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GOBERNACION QUINDIO 2018\PAGINA WEB\JULIO 2018\SGTO II TRIMESTRE 2018\INSTRUMENTOS II TRIMESTRE 2018\"/>
    </mc:Choice>
  </mc:AlternateContent>
  <bookViews>
    <workbookView xWindow="0" yWindow="0" windowWidth="24000" windowHeight="10725" firstSheet="8" activeTab="15"/>
  </bookViews>
  <sheets>
    <sheet name="ADMINISTRATIVA" sheetId="2" r:id="rId1"/>
    <sheet name="PLANEACION" sheetId="9" r:id="rId2"/>
    <sheet name="HACIENDA" sheetId="3" r:id="rId3"/>
    <sheet name="AGUAS INFRAESTRUCTURA" sheetId="17" r:id="rId4"/>
    <sheet name="INTERIOR" sheetId="13" r:id="rId5"/>
    <sheet name="CULTURA" sheetId="18" r:id="rId6"/>
    <sheet name="TURISMO" sheetId="12" r:id="rId7"/>
    <sheet name="AGRICULTURA" sheetId="8" r:id="rId8"/>
    <sheet name="PRIVADA" sheetId="4" r:id="rId9"/>
    <sheet name="EDUCACION" sheetId="11" r:id="rId10"/>
    <sheet name="FAMILIA" sheetId="7" r:id="rId11"/>
    <sheet name="REPRES. JUDICIAL" sheetId="10" r:id="rId12"/>
    <sheet name="SALUD" sheetId="16" r:id="rId13"/>
    <sheet name="INDEPORTES" sheetId="14" r:id="rId14"/>
    <sheet name="PROMOTORA" sheetId="15" r:id="rId15"/>
    <sheet name="IDTQ" sheetId="6" r:id="rId16"/>
  </sheets>
  <externalReferences>
    <externalReference r:id="rId17"/>
  </externalReferences>
  <definedNames>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3">#REF!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15">#REF!</definedName>
    <definedName name="_1._Apoyo_con_equipos_para_la_seguridad_vial_Licenciamiento_de_software_para_comunicaciones" localSheetId="1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4">#REF!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Print_Area" localSheetId="1">PLANEACION!$A$1:$AQ$11</definedName>
    <definedName name="CODIGO_DIVIPOLA" localSheetId="0">#REF!</definedName>
    <definedName name="CODIGO_DIVIPOLA" localSheetId="7">#REF!</definedName>
    <definedName name="CODIGO_DIVIPOLA" localSheetId="3">#REF!</definedName>
    <definedName name="CODIGO_DIVIPOLA" localSheetId="5">#REF!</definedName>
    <definedName name="CODIGO_DIVIPOLA" localSheetId="9">#REF!</definedName>
    <definedName name="CODIGO_DIVIPOLA" localSheetId="10">#REF!</definedName>
    <definedName name="CODIGO_DIVIPOLA" localSheetId="2">#REF!</definedName>
    <definedName name="CODIGO_DIVIPOLA" localSheetId="15">#REF!</definedName>
    <definedName name="CODIGO_DIVIPOLA" localSheetId="13">#REF!</definedName>
    <definedName name="CODIGO_DIVIPOLA" localSheetId="4">#REF!</definedName>
    <definedName name="CODIGO_DIVIPOLA" localSheetId="1">#REF!</definedName>
    <definedName name="CODIGO_DIVIPOLA" localSheetId="8">#REF!</definedName>
    <definedName name="CODIGO_DIVIPOLA" localSheetId="14">#REF!</definedName>
    <definedName name="CODIGO_DIVIPOLA" localSheetId="11">#REF!</definedName>
    <definedName name="CODIGO_DIVIPOLA" localSheetId="12">#REF!</definedName>
    <definedName name="CODIGO_DIVIPOLA" localSheetId="6">#REF!</definedName>
    <definedName name="CODIGO_DIVIPOLA">#REF!</definedName>
    <definedName name="DboREGISTRO_LEY_617" localSheetId="0">#REF!</definedName>
    <definedName name="DboREGISTRO_LEY_617" localSheetId="7">#REF!</definedName>
    <definedName name="DboREGISTRO_LEY_617" localSheetId="3">#REF!</definedName>
    <definedName name="DboREGISTRO_LEY_617" localSheetId="5">#REF!</definedName>
    <definedName name="DboREGISTRO_LEY_617" localSheetId="9">#REF!</definedName>
    <definedName name="DboREGISTRO_LEY_617" localSheetId="10">#REF!</definedName>
    <definedName name="DboREGISTRO_LEY_617" localSheetId="2">#REF!</definedName>
    <definedName name="DboREGISTRO_LEY_617" localSheetId="15">#REF!</definedName>
    <definedName name="DboREGISTRO_LEY_617" localSheetId="13">#REF!</definedName>
    <definedName name="DboREGISTRO_LEY_617" localSheetId="4">#REF!</definedName>
    <definedName name="DboREGISTRO_LEY_617" localSheetId="1">#REF!</definedName>
    <definedName name="DboREGISTRO_LEY_617" localSheetId="8">#REF!</definedName>
    <definedName name="DboREGISTRO_LEY_617" localSheetId="14">#REF!</definedName>
    <definedName name="DboREGISTRO_LEY_617" localSheetId="11">#REF!</definedName>
    <definedName name="DboREGISTRO_LEY_617" localSheetId="12">#REF!</definedName>
    <definedName name="DboREGISTRO_LEY_617" localSheetId="6">#REF!</definedName>
    <definedName name="DboREGISTRO_LEY_617">#REF!</definedName>
    <definedName name="ññ" localSheetId="0">#REF!</definedName>
    <definedName name="ññ" localSheetId="7">#REF!</definedName>
    <definedName name="ññ" localSheetId="3">#REF!</definedName>
    <definedName name="ññ" localSheetId="5">#REF!</definedName>
    <definedName name="ññ" localSheetId="9">#REF!</definedName>
    <definedName name="ññ" localSheetId="10">#REF!</definedName>
    <definedName name="ññ" localSheetId="2">#REF!</definedName>
    <definedName name="ññ" localSheetId="15">#REF!</definedName>
    <definedName name="ññ" localSheetId="13">#REF!</definedName>
    <definedName name="ññ" localSheetId="4">#REF!</definedName>
    <definedName name="ññ" localSheetId="1">#REF!</definedName>
    <definedName name="ññ" localSheetId="8">#REF!</definedName>
    <definedName name="ññ" localSheetId="14">#REF!</definedName>
    <definedName name="ññ" localSheetId="11">#REF!</definedName>
    <definedName name="ññ" localSheetId="12">#REF!</definedName>
    <definedName name="ññ" localSheetId="6">#REF!</definedName>
    <definedName name="ññ">#REF!</definedName>
    <definedName name="_xlnm.Print_Titles" localSheetId="1">PLANEACION!$1:$8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8" i="18" l="1"/>
  <c r="R47" i="18" s="1"/>
  <c r="Q49" i="18" s="1"/>
  <c r="AN47" i="18"/>
  <c r="R42" i="18"/>
  <c r="Q42" i="18" s="1"/>
  <c r="AN32" i="18"/>
  <c r="R32" i="18"/>
  <c r="Q32" i="18" s="1"/>
  <c r="R27" i="18"/>
  <c r="Q27" i="18" s="1"/>
  <c r="Q22" i="18"/>
  <c r="AN14" i="18"/>
  <c r="R14" i="18"/>
  <c r="Q18" i="18" s="1"/>
  <c r="Q14" i="18"/>
  <c r="AN12" i="18"/>
  <c r="V12" i="18"/>
  <c r="V52" i="18" s="1"/>
  <c r="Q12" i="18"/>
  <c r="V14" i="15"/>
  <c r="Q47" i="18" l="1"/>
  <c r="Q37" i="18"/>
  <c r="R52" i="18"/>
  <c r="V103" i="17"/>
  <c r="V102" i="17"/>
  <c r="V101" i="17"/>
  <c r="V100" i="17"/>
  <c r="V98" i="17"/>
  <c r="V90" i="17"/>
  <c r="V79" i="17"/>
  <c r="V78" i="17"/>
  <c r="AN75" i="17"/>
  <c r="R75" i="17"/>
  <c r="Q95" i="17" s="1"/>
  <c r="Q72" i="17"/>
  <c r="Q68" i="17"/>
  <c r="AN63" i="17"/>
  <c r="R63" i="17"/>
  <c r="Q63" i="17"/>
  <c r="AN52" i="17"/>
  <c r="R52" i="17"/>
  <c r="Q52" i="17" s="1"/>
  <c r="AN44" i="17"/>
  <c r="X44" i="17"/>
  <c r="R44" i="17"/>
  <c r="Q44" i="17" s="1"/>
  <c r="AN36" i="17"/>
  <c r="R36" i="17"/>
  <c r="Q36" i="17"/>
  <c r="AN28" i="17"/>
  <c r="R28" i="17"/>
  <c r="Q28" i="17"/>
  <c r="AN20" i="17"/>
  <c r="V20" i="17"/>
  <c r="R20" i="17"/>
  <c r="AN12" i="17"/>
  <c r="V12" i="17"/>
  <c r="R12" i="17" s="1"/>
  <c r="R114" i="17" s="1"/>
  <c r="Q85" i="17" l="1"/>
  <c r="Q97" i="17"/>
  <c r="Q102" i="17"/>
  <c r="V114" i="17"/>
  <c r="Q75" i="17"/>
  <c r="Q91" i="17"/>
  <c r="Q100" i="17"/>
  <c r="Q81" i="17"/>
  <c r="R259" i="16"/>
  <c r="R254" i="16"/>
  <c r="AD244" i="16"/>
  <c r="AD254" i="16" s="1"/>
  <c r="R244" i="16"/>
  <c r="Q244" i="16"/>
  <c r="R235" i="16"/>
  <c r="R229" i="16"/>
  <c r="Q229" i="16" s="1"/>
  <c r="R225" i="16"/>
  <c r="R220" i="16"/>
  <c r="R211" i="16"/>
  <c r="Q214" i="16" s="1"/>
  <c r="Q211" i="16"/>
  <c r="R200" i="16"/>
  <c r="Q204" i="16" s="1"/>
  <c r="AD193" i="16"/>
  <c r="AD200" i="16" s="1"/>
  <c r="AD211" i="16" s="1"/>
  <c r="AD220" i="16" s="1"/>
  <c r="AC193" i="16"/>
  <c r="AC200" i="16" s="1"/>
  <c r="AC211" i="16" s="1"/>
  <c r="AC220" i="16" s="1"/>
  <c r="AC225" i="16" s="1"/>
  <c r="AC229" i="16" s="1"/>
  <c r="AC235" i="16" s="1"/>
  <c r="AC244" i="16" s="1"/>
  <c r="AC254" i="16" s="1"/>
  <c r="AC259" i="16" s="1"/>
  <c r="V193" i="16"/>
  <c r="R193" i="16" s="1"/>
  <c r="R187" i="16"/>
  <c r="Q187" i="16" s="1"/>
  <c r="R162" i="16"/>
  <c r="Q182" i="16" s="1"/>
  <c r="Q162" i="16"/>
  <c r="R148" i="16"/>
  <c r="Q151" i="16" s="1"/>
  <c r="Q148" i="16"/>
  <c r="R136" i="16"/>
  <c r="Q142" i="16" s="1"/>
  <c r="Q131" i="16"/>
  <c r="R128" i="16"/>
  <c r="Q128" i="16"/>
  <c r="AD118" i="16"/>
  <c r="AD128" i="16" s="1"/>
  <c r="AD136" i="16" s="1"/>
  <c r="AD148" i="16" s="1"/>
  <c r="AC118" i="16"/>
  <c r="AC128" i="16" s="1"/>
  <c r="AC136" i="16" s="1"/>
  <c r="AC148" i="16" s="1"/>
  <c r="R118" i="16"/>
  <c r="V108" i="16"/>
  <c r="V266" i="16" s="1"/>
  <c r="R108" i="16"/>
  <c r="Q114" i="16" s="1"/>
  <c r="Q104" i="16"/>
  <c r="R100" i="16"/>
  <c r="Q100" i="16"/>
  <c r="R86" i="16"/>
  <c r="Q91" i="16" s="1"/>
  <c r="AE66" i="16"/>
  <c r="AE86" i="16" s="1"/>
  <c r="R66" i="16"/>
  <c r="Q80" i="16" s="1"/>
  <c r="AG37" i="16"/>
  <c r="AD37" i="16"/>
  <c r="AD66" i="16" s="1"/>
  <c r="AD86" i="16" s="1"/>
  <c r="AC37" i="16"/>
  <c r="AC66" i="16" s="1"/>
  <c r="AC86" i="16" s="1"/>
  <c r="R37" i="16"/>
  <c r="Q47" i="16" s="1"/>
  <c r="Q37" i="16"/>
  <c r="R31" i="16"/>
  <c r="Q34" i="16" s="1"/>
  <c r="R12" i="16"/>
  <c r="Q23" i="16" s="1"/>
  <c r="Q12" i="16" l="1"/>
  <c r="Q18" i="16"/>
  <c r="Q31" i="16"/>
  <c r="Q40" i="16"/>
  <c r="Q59" i="16"/>
  <c r="Q75" i="16"/>
  <c r="Q86" i="16"/>
  <c r="Q96" i="16"/>
  <c r="Q108" i="16"/>
  <c r="Q136" i="16"/>
  <c r="Q154" i="16"/>
  <c r="Q176" i="16"/>
  <c r="Q200" i="16"/>
  <c r="Q216" i="16"/>
  <c r="R266" i="16"/>
  <c r="Q66" i="16"/>
  <c r="Q169" i="16"/>
  <c r="R17" i="15"/>
  <c r="V16" i="15"/>
  <c r="V19" i="15" s="1"/>
  <c r="R15" i="15"/>
  <c r="AD14" i="15"/>
  <c r="AC14" i="15"/>
  <c r="AB14" i="15"/>
  <c r="AA14" i="15"/>
  <c r="Z14" i="15"/>
  <c r="Y14" i="15"/>
  <c r="R14" i="15"/>
  <c r="AN12" i="15"/>
  <c r="R12" i="15"/>
  <c r="AN14" i="15" l="1"/>
  <c r="R16" i="15"/>
  <c r="R19" i="15" s="1"/>
  <c r="Q17" i="15" s="1"/>
  <c r="V56" i="14"/>
  <c r="AN54" i="14"/>
  <c r="AC54" i="14"/>
  <c r="Q54" i="14"/>
  <c r="AN48" i="14"/>
  <c r="R48" i="14"/>
  <c r="Q51" i="14" s="1"/>
  <c r="Q46" i="14"/>
  <c r="Q45" i="14"/>
  <c r="Q44" i="14"/>
  <c r="Q43" i="14"/>
  <c r="Q42" i="14"/>
  <c r="Q41" i="14"/>
  <c r="Q40" i="14"/>
  <c r="Q39" i="14"/>
  <c r="Q38" i="14"/>
  <c r="AN37" i="14"/>
  <c r="Q37" i="14"/>
  <c r="Q32" i="14"/>
  <c r="Q29" i="14"/>
  <c r="Q27" i="14"/>
  <c r="R26" i="14"/>
  <c r="Q34" i="14" s="1"/>
  <c r="Q26" i="14"/>
  <c r="Q24" i="14"/>
  <c r="Q23" i="14"/>
  <c r="Q22" i="14"/>
  <c r="Q21" i="14"/>
  <c r="AP18" i="14"/>
  <c r="AN18" i="14"/>
  <c r="AK18" i="14"/>
  <c r="AC18" i="14"/>
  <c r="AB18" i="14"/>
  <c r="AA18" i="14"/>
  <c r="Z18" i="14"/>
  <c r="Y18" i="14"/>
  <c r="R18" i="14"/>
  <c r="Q18" i="14" s="1"/>
  <c r="Q14" i="14"/>
  <c r="R12" i="14"/>
  <c r="Q13" i="14" s="1"/>
  <c r="Q12" i="14"/>
  <c r="R184" i="13"/>
  <c r="R171" i="13"/>
  <c r="Q171" i="13" s="1"/>
  <c r="R166" i="13"/>
  <c r="R165" i="13"/>
  <c r="R160" i="13"/>
  <c r="R151" i="13"/>
  <c r="R148" i="13"/>
  <c r="R144" i="13"/>
  <c r="R131" i="13"/>
  <c r="R127" i="13"/>
  <c r="R117" i="13"/>
  <c r="R111" i="13"/>
  <c r="R105" i="13"/>
  <c r="R94" i="13"/>
  <c r="R90" i="13"/>
  <c r="R86" i="13"/>
  <c r="R82" i="13"/>
  <c r="R80" i="13"/>
  <c r="R75" i="13"/>
  <c r="R72" i="13"/>
  <c r="R65" i="13"/>
  <c r="R62" i="13"/>
  <c r="R47" i="13"/>
  <c r="R44" i="13"/>
  <c r="R40" i="13"/>
  <c r="V38" i="13"/>
  <c r="V37" i="13"/>
  <c r="V35" i="13"/>
  <c r="V34" i="13"/>
  <c r="R34" i="13"/>
  <c r="R31" i="13"/>
  <c r="V30" i="13"/>
  <c r="V29" i="13"/>
  <c r="V28" i="13"/>
  <c r="V27" i="13"/>
  <c r="V26" i="13"/>
  <c r="V22" i="13"/>
  <c r="V21" i="13"/>
  <c r="V19" i="13"/>
  <c r="V18" i="13"/>
  <c r="V17" i="13"/>
  <c r="V15" i="13"/>
  <c r="R14" i="13" s="1"/>
  <c r="R13" i="13"/>
  <c r="AN12" i="13"/>
  <c r="R12" i="13"/>
  <c r="R17" i="13" l="1"/>
  <c r="Q14" i="13" s="1"/>
  <c r="R35" i="13"/>
  <c r="Q35" i="13" s="1"/>
  <c r="Q72" i="13"/>
  <c r="Q65" i="13"/>
  <c r="Q75" i="13"/>
  <c r="Q80" i="13"/>
  <c r="Q94" i="13"/>
  <c r="Q127" i="13"/>
  <c r="Q117" i="13"/>
  <c r="Q131" i="13"/>
  <c r="Q144" i="13"/>
  <c r="Q165" i="13"/>
  <c r="Q166" i="13"/>
  <c r="Q15" i="14"/>
  <c r="Q19" i="14"/>
  <c r="Q28" i="14"/>
  <c r="Q31" i="14"/>
  <c r="Q33" i="14"/>
  <c r="Q12" i="15"/>
  <c r="Q16" i="15"/>
  <c r="Q14" i="15"/>
  <c r="Q15" i="15"/>
  <c r="Q16" i="14"/>
  <c r="Q49" i="14"/>
  <c r="Q30" i="14"/>
  <c r="Q48" i="14"/>
  <c r="Q50" i="14"/>
  <c r="Q17" i="13"/>
  <c r="Q86" i="13"/>
  <c r="V189" i="13"/>
  <c r="Q47" i="13"/>
  <c r="Q82" i="13"/>
  <c r="Q90" i="13"/>
  <c r="Q105" i="13"/>
  <c r="Q148" i="13"/>
  <c r="Q160" i="13"/>
  <c r="Q184" i="13"/>
  <c r="Q62" i="13"/>
  <c r="Q111" i="13"/>
  <c r="Q151" i="13"/>
  <c r="AN81" i="12"/>
  <c r="V81" i="12"/>
  <c r="R81" i="12" s="1"/>
  <c r="Q81" i="12" s="1"/>
  <c r="V78" i="12"/>
  <c r="V76" i="12"/>
  <c r="V74" i="12"/>
  <c r="V72" i="12"/>
  <c r="V70" i="12"/>
  <c r="R68" i="12" s="1"/>
  <c r="AN68" i="12"/>
  <c r="V68" i="12"/>
  <c r="AN62" i="12"/>
  <c r="R62" i="12"/>
  <c r="Q62" i="12" s="1"/>
  <c r="AN51" i="12"/>
  <c r="V51" i="12"/>
  <c r="R51" i="12"/>
  <c r="Q57" i="12" s="1"/>
  <c r="V42" i="12"/>
  <c r="AN32" i="12"/>
  <c r="V32" i="12"/>
  <c r="R32" i="12" s="1"/>
  <c r="V28" i="12"/>
  <c r="AN22" i="12"/>
  <c r="V22" i="12"/>
  <c r="V16" i="12"/>
  <c r="AN12" i="12"/>
  <c r="V85" i="12" l="1"/>
  <c r="R22" i="12"/>
  <c r="Q25" i="12" s="1"/>
  <c r="R189" i="13"/>
  <c r="Q40" i="13"/>
  <c r="Q12" i="13"/>
  <c r="Q13" i="13"/>
  <c r="Q31" i="13"/>
  <c r="Q44" i="13"/>
  <c r="Q34" i="13"/>
  <c r="Q42" i="12"/>
  <c r="Q46" i="12"/>
  <c r="Q38" i="12"/>
  <c r="Q32" i="12"/>
  <c r="Q51" i="12"/>
  <c r="Q54" i="12"/>
  <c r="Q68" i="12"/>
  <c r="R12" i="12"/>
  <c r="Q65" i="12"/>
  <c r="R94" i="11"/>
  <c r="Q94" i="11" s="1"/>
  <c r="V91" i="11"/>
  <c r="AN89" i="11"/>
  <c r="V89" i="11"/>
  <c r="R89" i="11" s="1"/>
  <c r="AN87" i="11"/>
  <c r="V87" i="11"/>
  <c r="R87" i="11" s="1"/>
  <c r="Q87" i="11" s="1"/>
  <c r="V85" i="11"/>
  <c r="R81" i="11"/>
  <c r="Q83" i="11" s="1"/>
  <c r="V78" i="11"/>
  <c r="V77" i="11"/>
  <c r="R77" i="11"/>
  <c r="V76" i="11"/>
  <c r="V75" i="11"/>
  <c r="R73" i="11" s="1"/>
  <c r="R67" i="11"/>
  <c r="Q69" i="11" s="1"/>
  <c r="AN60" i="11"/>
  <c r="Y60" i="11"/>
  <c r="V60" i="11"/>
  <c r="R60" i="11" s="1"/>
  <c r="Q60" i="11" s="1"/>
  <c r="V58" i="11"/>
  <c r="V56" i="11"/>
  <c r="R54" i="11" s="1"/>
  <c r="Q54" i="11" s="1"/>
  <c r="V55" i="11"/>
  <c r="AN54" i="11"/>
  <c r="V52" i="11"/>
  <c r="V51" i="11"/>
  <c r="V50" i="11"/>
  <c r="V43" i="11"/>
  <c r="V42" i="11"/>
  <c r="V41" i="11"/>
  <c r="V31" i="11"/>
  <c r="R30" i="11" s="1"/>
  <c r="Q34" i="11" s="1"/>
  <c r="V27" i="11"/>
  <c r="R27" i="11"/>
  <c r="V26" i="11"/>
  <c r="Q24" i="11"/>
  <c r="R20" i="11"/>
  <c r="Q21" i="11" s="1"/>
  <c r="Q20" i="11"/>
  <c r="V16" i="11"/>
  <c r="V14" i="11"/>
  <c r="V11" i="11"/>
  <c r="Q28" i="12" l="1"/>
  <c r="Q22" i="12"/>
  <c r="V95" i="11"/>
  <c r="Q26" i="11"/>
  <c r="Q55" i="11"/>
  <c r="Q58" i="11"/>
  <c r="Q77" i="11"/>
  <c r="Q12" i="12"/>
  <c r="Q16" i="12"/>
  <c r="R85" i="12"/>
  <c r="Q74" i="11"/>
  <c r="Q76" i="11"/>
  <c r="Q73" i="11"/>
  <c r="Q91" i="11"/>
  <c r="Q89" i="11"/>
  <c r="Q56" i="11"/>
  <c r="Q25" i="11"/>
  <c r="Q22" i="11"/>
  <c r="Q31" i="11"/>
  <c r="R39" i="11"/>
  <c r="Q71" i="11"/>
  <c r="Q75" i="11"/>
  <c r="Q81" i="11"/>
  <c r="R85" i="11"/>
  <c r="Q85" i="11" s="1"/>
  <c r="R11" i="11"/>
  <c r="V20" i="10"/>
  <c r="R20" i="10"/>
  <c r="AN12" i="10"/>
  <c r="Q39" i="11" l="1"/>
  <c r="Q52" i="11"/>
  <c r="Q43" i="11"/>
  <c r="Q41" i="11"/>
  <c r="Q45" i="11"/>
  <c r="Q49" i="11"/>
  <c r="Q48" i="11"/>
  <c r="Q40" i="11"/>
  <c r="Q42" i="11"/>
  <c r="Q51" i="11"/>
  <c r="R95" i="11"/>
  <c r="Q17" i="11"/>
  <c r="Q11" i="11"/>
  <c r="Q14" i="11"/>
  <c r="V108" i="9"/>
  <c r="V103" i="9"/>
  <c r="V102" i="9"/>
  <c r="AN101" i="9"/>
  <c r="AN85" i="9"/>
  <c r="AL85" i="9"/>
  <c r="R85" i="9"/>
  <c r="V84" i="9"/>
  <c r="V75" i="9"/>
  <c r="V74" i="9"/>
  <c r="AN71" i="9"/>
  <c r="R60" i="9"/>
  <c r="V59" i="9"/>
  <c r="V58" i="9"/>
  <c r="V57" i="9"/>
  <c r="V56" i="9"/>
  <c r="V54" i="9"/>
  <c r="AN53" i="9"/>
  <c r="V53" i="9"/>
  <c r="V52" i="9"/>
  <c r="V51" i="9"/>
  <c r="V46" i="9"/>
  <c r="V45" i="9"/>
  <c r="AN44" i="9"/>
  <c r="V44" i="9"/>
  <c r="R44" i="9" s="1"/>
  <c r="AN34" i="9"/>
  <c r="R34" i="9"/>
  <c r="R24" i="9"/>
  <c r="V22" i="9"/>
  <c r="V20" i="9"/>
  <c r="V18" i="9"/>
  <c r="V110" i="9" l="1"/>
  <c r="Q109" i="9"/>
  <c r="R53" i="9"/>
  <c r="Q107" i="9"/>
  <c r="R71" i="9"/>
  <c r="Q108" i="9"/>
  <c r="Q44" i="9"/>
  <c r="Q49" i="9"/>
  <c r="Q47" i="9"/>
  <c r="Q50" i="9"/>
  <c r="Q51" i="9"/>
  <c r="Q104" i="9"/>
  <c r="R12" i="9"/>
  <c r="Q101" i="9"/>
  <c r="Q105" i="9"/>
  <c r="R101" i="9"/>
  <c r="Q103" i="9"/>
  <c r="Q106" i="9"/>
  <c r="Q102" i="9"/>
  <c r="V71" i="8"/>
  <c r="V66" i="8"/>
  <c r="R60" i="8"/>
  <c r="Q60" i="8" s="1"/>
  <c r="AP55" i="8"/>
  <c r="AO55" i="8"/>
  <c r="Y55" i="8"/>
  <c r="R55" i="8"/>
  <c r="Q56" i="8" s="1"/>
  <c r="V53" i="8"/>
  <c r="AN52" i="8"/>
  <c r="R52" i="8"/>
  <c r="AN51" i="8"/>
  <c r="R51" i="8"/>
  <c r="AN44" i="8"/>
  <c r="R44" i="8"/>
  <c r="Q49" i="8" s="1"/>
  <c r="V42" i="8"/>
  <c r="V41" i="8"/>
  <c r="V40" i="8"/>
  <c r="V35" i="8"/>
  <c r="AN26" i="8"/>
  <c r="R26" i="8"/>
  <c r="Q28" i="8" s="1"/>
  <c r="AN23" i="8"/>
  <c r="Q23" i="8"/>
  <c r="V21" i="8"/>
  <c r="AN20" i="8"/>
  <c r="Q18" i="8"/>
  <c r="Q15" i="8"/>
  <c r="AN12" i="8"/>
  <c r="R12" i="8"/>
  <c r="Q17" i="8" s="1"/>
  <c r="Q12" i="8"/>
  <c r="R35" i="8" l="1"/>
  <c r="Q39" i="8" s="1"/>
  <c r="Q44" i="8"/>
  <c r="V77" i="8"/>
  <c r="Q29" i="8"/>
  <c r="Q14" i="8"/>
  <c r="Q26" i="8"/>
  <c r="Q42" i="8"/>
  <c r="R66" i="8"/>
  <c r="Q73" i="8" s="1"/>
  <c r="R110" i="9"/>
  <c r="Q75" i="8"/>
  <c r="Q68" i="8"/>
  <c r="Q30" i="8"/>
  <c r="Q50" i="8"/>
  <c r="Q57" i="8"/>
  <c r="Q61" i="8"/>
  <c r="Q16" i="8"/>
  <c r="R20" i="8"/>
  <c r="Q31" i="8"/>
  <c r="Q37" i="8"/>
  <c r="Q58" i="8"/>
  <c r="Q62" i="8"/>
  <c r="Q35" i="8"/>
  <c r="Q47" i="8"/>
  <c r="Q55" i="8"/>
  <c r="Q66" i="8"/>
  <c r="S135" i="7"/>
  <c r="O127" i="7" s="1"/>
  <c r="W127" i="7"/>
  <c r="S124" i="7"/>
  <c r="S123" i="7"/>
  <c r="S117" i="7"/>
  <c r="S116" i="7"/>
  <c r="S115" i="7"/>
  <c r="O111" i="7"/>
  <c r="N111" i="7" s="1"/>
  <c r="O108" i="7"/>
  <c r="N108" i="7"/>
  <c r="O106" i="7"/>
  <c r="N106" i="7" s="1"/>
  <c r="O101" i="7"/>
  <c r="N101" i="7" s="1"/>
  <c r="S98" i="7"/>
  <c r="O79" i="7" s="1"/>
  <c r="AA60" i="7"/>
  <c r="Z60" i="7"/>
  <c r="Y60" i="7"/>
  <c r="X60" i="7"/>
  <c r="O60" i="7"/>
  <c r="N60" i="7" s="1"/>
  <c r="O47" i="7"/>
  <c r="N51" i="7" s="1"/>
  <c r="N47" i="7"/>
  <c r="S38" i="7"/>
  <c r="Z32" i="7"/>
  <c r="Y32" i="7"/>
  <c r="X32" i="7"/>
  <c r="W32" i="7"/>
  <c r="V32" i="7"/>
  <c r="O32" i="7"/>
  <c r="N43" i="7" s="1"/>
  <c r="O22" i="7"/>
  <c r="N22" i="7" s="1"/>
  <c r="O12" i="7"/>
  <c r="N16" i="7" s="1"/>
  <c r="N12" i="7"/>
  <c r="Q71" i="8" l="1"/>
  <c r="Q21" i="8"/>
  <c r="Q20" i="8"/>
  <c r="R77" i="8"/>
  <c r="S138" i="7"/>
  <c r="O119" i="7"/>
  <c r="N119" i="7" s="1"/>
  <c r="O115" i="7"/>
  <c r="N115" i="7" s="1"/>
  <c r="N54" i="7"/>
  <c r="N135" i="7"/>
  <c r="N136" i="7"/>
  <c r="N127" i="7"/>
  <c r="N137" i="7"/>
  <c r="N32" i="7"/>
  <c r="N40" i="7"/>
  <c r="R12" i="6"/>
  <c r="Q12" i="6" s="1"/>
  <c r="V16" i="6"/>
  <c r="O138" i="7" l="1"/>
  <c r="Q14" i="6"/>
  <c r="Q15" i="6"/>
  <c r="R16" i="6"/>
  <c r="AL19" i="4"/>
  <c r="T19" i="4"/>
  <c r="P19" i="4" s="1"/>
  <c r="O19" i="4" s="1"/>
  <c r="AL16" i="4"/>
  <c r="P16" i="4"/>
  <c r="O16" i="4" s="1"/>
  <c r="T13" i="4"/>
  <c r="AL12" i="4"/>
  <c r="P12" i="4"/>
  <c r="P22" i="4" l="1"/>
  <c r="O12" i="4"/>
  <c r="T22" i="4"/>
  <c r="V22" i="3"/>
  <c r="V21" i="3"/>
  <c r="R20" i="3" s="1"/>
  <c r="V14" i="3"/>
  <c r="V13" i="3"/>
  <c r="R12" i="3" s="1"/>
  <c r="V12" i="3"/>
  <c r="V23" i="3" l="1"/>
  <c r="Q15" i="3"/>
  <c r="Q17" i="3"/>
  <c r="Q12" i="3"/>
  <c r="V24" i="2"/>
  <c r="V23" i="2"/>
  <c r="V22" i="2"/>
  <c r="R20" i="2"/>
  <c r="Q24" i="2" s="1"/>
  <c r="V19" i="2"/>
  <c r="R19" i="2" s="1"/>
  <c r="Q19" i="2" s="1"/>
  <c r="V17" i="2"/>
  <c r="R17" i="2" s="1"/>
  <c r="Q17" i="2" s="1"/>
  <c r="V14" i="2"/>
  <c r="R14" i="2" s="1"/>
  <c r="V13" i="2"/>
  <c r="V12" i="2"/>
  <c r="V26" i="2" l="1"/>
  <c r="Q23" i="2"/>
  <c r="R23" i="3"/>
  <c r="Q20" i="3"/>
  <c r="Q21" i="3"/>
  <c r="Q14" i="2"/>
  <c r="R12" i="2"/>
  <c r="Q12" i="2" s="1"/>
  <c r="Q20" i="2"/>
  <c r="Q25" i="2"/>
  <c r="Q21" i="2"/>
  <c r="R26" i="2" l="1"/>
</calcChain>
</file>

<file path=xl/sharedStrings.xml><?xml version="1.0" encoding="utf-8"?>
<sst xmlns="http://schemas.openxmlformats.org/spreadsheetml/2006/main" count="3791" uniqueCount="2510">
  <si>
    <t>06</t>
  </si>
  <si>
    <t xml:space="preserve"> 1 de 1</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</si>
  <si>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</si>
  <si>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</si>
  <si>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</si>
  <si>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</si>
  <si>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</si>
  <si>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</si>
  <si>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</si>
  <si>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</si>
  <si>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</si>
  <si>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</si>
  <si>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</si>
  <si>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</si>
  <si>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</si>
  <si>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</si>
  <si>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</si>
  <si>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</si>
  <si>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</si>
  <si>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</si>
  <si>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</si>
  <si>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</si>
  <si>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</si>
  <si>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</si>
  <si>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</si>
  <si>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</si>
  <si>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</si>
  <si>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</si>
  <si>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MUJER</t>
  </si>
  <si>
    <t>HOMBRE</t>
  </si>
  <si>
    <t>Edad Escolar 
(0 - 14 años)</t>
  </si>
  <si>
    <t>Adolescencia
 (15 - 19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</si>
  <si>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</si>
  <si>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</si>
  <si>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</si>
  <si>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</si>
  <si>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</si>
  <si>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</si>
  <si>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</si>
  <si>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</si>
  <si>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</si>
  <si>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</si>
  <si>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PRESUPUESTADO</t>
  </si>
  <si>
    <t>BUEN GOBIERNO</t>
  </si>
  <si>
    <t>GESTIÓN TERRITORIAL</t>
  </si>
  <si>
    <t>MODERNIZACIÓN TECNOLOGICA Y ADMINISTRATIVA</t>
  </si>
  <si>
    <t>Virtualizar ocho (8) trámites de la administración departamental a través de Gobierno en Línea</t>
  </si>
  <si>
    <t>Número de trámites virtualizados</t>
  </si>
  <si>
    <t>0304 - 5 - 3 1 5 28 89 17 1 - 20
0304 - 5 - 3 1 5 28 89 17 1 - 88</t>
  </si>
  <si>
    <t>201663000-0001</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</si>
  <si>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</si>
  <si>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</si>
  <si>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t>
  </si>
  <si>
    <t>Sostenibilidad de la estrategia de gobierno en linea</t>
  </si>
  <si>
    <t xml:space="preserve">        20        88</t>
  </si>
  <si>
    <t xml:space="preserve">Recurso Ordinario
</t>
  </si>
  <si>
    <t xml:space="preserve">Secretaría Administrativa
</t>
  </si>
  <si>
    <t>Compra o adquisición de Sofware</t>
  </si>
  <si>
    <t>Superavit  Recurso Ordinario</t>
  </si>
  <si>
    <t>Formular e  implementar un (1) programa de seguridad y salud en el trabajo, capacitación y bienestar social en  el departamento</t>
  </si>
  <si>
    <t>Programa de seguridad y salud formulado e implementado</t>
  </si>
  <si>
    <t>0304 - 5 - 3 1 5 28 89 17 2 - 20
0304 - 5 - 3 1 5 28 89 17 2 - 88</t>
  </si>
  <si>
    <t>201663000-0002</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</si>
  <si>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</si>
  <si>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formulados para la vigencia 2018.
</t>
  </si>
  <si>
    <t>Formular e implementar 1 programa de seguridad y salud en el trabajo para la Gobernación del Departamento del Quindío, para la vigencia 2018</t>
  </si>
  <si>
    <t>Desarrollo y Ejecución de actividades de Seguridad y Salud en el Trabajo, de conformidad con el Plan anual de trabajo de seguridad y salud en el trabajo aprobado</t>
  </si>
  <si>
    <t>20
88</t>
  </si>
  <si>
    <t>Recurso Ordinario
Superavit  Recurso Ordinario</t>
  </si>
  <si>
    <t>Secretaría Administrativa
Dirección Talento Humano</t>
  </si>
  <si>
    <t>Formular e implementar 1 programa de bienestar social e incentivos para los funcionarios de la entidad en la vigencia 2018.</t>
  </si>
  <si>
    <t>Desarrollo y ejecución de Actividades de Bienestar Social e incentivos,  de conformidad con los programas de bienestar social e incentivos aprobados</t>
  </si>
  <si>
    <t>Recurso Ordinario</t>
  </si>
  <si>
    <t>Formular e implementar 1 plan institucional de capacitación para los funcionarios de la entidad en  la vigencia 2018</t>
  </si>
  <si>
    <t>Desarrollo y ejecución de capacitaciones de conformidad con el plan institucional de capacitaciones aprobado</t>
  </si>
  <si>
    <t>Fortalecer el programa de  infraestructura tecnológica de la  Administración Departamental (hadware, aplicativos, redes, y capacitación)</t>
  </si>
  <si>
    <t>Programa de infraestructura tecnologica de la administracion fortalecido</t>
  </si>
  <si>
    <t xml:space="preserve">0304 - 5 - 3 1 5 28 89 17 3 - 20
0304 - 5 - 3 1 5 28 89 17 3 - 88        </t>
  </si>
  <si>
    <t>201663000-0003</t>
  </si>
  <si>
    <t>Actualización de la infraestructura tecnológica de la Gobernación del Quindío.</t>
  </si>
  <si>
    <t xml:space="preserve">Apoyar el programa de  infraestructura tecnológica de la  Administración Departamental (hadware, aplicativos, redes, y capacitación)
</t>
  </si>
  <si>
    <t>Compra o adquisicion de hardware</t>
  </si>
  <si>
    <t>Recurso Ordinario
Superavit Recurso Ordinario</t>
  </si>
  <si>
    <t>Secretaría Administrativa
Dirección  TIC´S</t>
  </si>
  <si>
    <t>Incrementar la  renovación de las herramientas tecnológicas a través de outsourcing para ampliar el numero de equipos de ultima tecnología logrando una mejor atención a los usuarios</t>
  </si>
  <si>
    <t>Soporte aplicativos</t>
  </si>
  <si>
    <t xml:space="preserve">Fortalecer el programa de sostenibilidad de las  Tecnologias de la Información de las Comunicaciones de la Gobernación del Quindio </t>
  </si>
  <si>
    <t>Programa de sostenibilidad de las TIC fortalecido</t>
  </si>
  <si>
    <t>0304 - 5 - 3 1 5 28 89 17 4 - 20
0304 - 5 - 3 1 5 28 89 17 4 - 88</t>
  </si>
  <si>
    <t>201663000-0004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</si>
  <si>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</si>
  <si>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</si>
  <si>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</si>
  <si>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Apoyo técnico y/o profesional</t>
  </si>
  <si>
    <t xml:space="preserve">20
88
</t>
  </si>
  <si>
    <t>Recurso Ordinario
Superavit Recurso Ordinario
Superavit Recurso Ordinario</t>
  </si>
  <si>
    <t>Adquirir e implementar un (1) software para la sistematización de las historias laborales del Fondo Territorial de Pensiones del departamento</t>
  </si>
  <si>
    <t>Software adquirido e implementado</t>
  </si>
  <si>
    <t>201663000-0005</t>
  </si>
  <si>
    <t>Implementación de un programa  de  modernización de la gestión administrativa en el Departamento del Quindio</t>
  </si>
  <si>
    <t xml:space="preserve">Satisfacer en un 90%, las necesidades de los usuarios y partes interesadas de la entidad. 
</t>
  </si>
  <si>
    <t>Digitalizar y consultar en línea los expedientes de los pensionados, evitando la perdida de documentos</t>
  </si>
  <si>
    <t xml:space="preserve">Actualización y registro en el aplicativo de gestión documental de la información relacionada con las historias laborales del fondo territorial de pensiones </t>
  </si>
  <si>
    <t xml:space="preserve">Recurso Ordinario 
</t>
  </si>
  <si>
    <t>Secretaría Administrativa
Dirección  FTP</t>
  </si>
  <si>
    <t>Implementar un programa de actualización y registro de los bienes de propiedad del departamento</t>
  </si>
  <si>
    <t>Programa de actualización y registro implementado</t>
  </si>
  <si>
    <t>Administrar, depurar y registrar la totalidad de los bienes  de propiedad de la Gobernación del Departamento del Quindío con información real  y pertinente</t>
  </si>
  <si>
    <t>Implementar procedimientos correspondiente  a las bodegas a cargo de la dirección de almacén</t>
  </si>
  <si>
    <t>Secretaría Administrativa
Dirección Recursos Físicos
Dirección Almacén</t>
  </si>
  <si>
    <t xml:space="preserve">0304 - 5 - 3 1 5 28 89 17 5 - 20 </t>
  </si>
  <si>
    <t>Realizar avalúos a los bienes inmuebles a cargo de la entidad</t>
  </si>
  <si>
    <t xml:space="preserve">Recurso Ordinario
Superavit  Recurso Ordinario 
</t>
  </si>
  <si>
    <t xml:space="preserve">Realizar un (1) estudio de modernización administrativa en el departamento </t>
  </si>
  <si>
    <t>Estudio de modernización administrativa realizado</t>
  </si>
  <si>
    <t>0304 - 5 - 3 1 5 28 89 17 5 - 46</t>
  </si>
  <si>
    <t>Realizar estudio que permita conformar una planta de cargos de acuerdo a las necesidades del servicio de la entidad</t>
  </si>
  <si>
    <t xml:space="preserve">
Recurso Ordinario 
Superavit  Recurso Ordinario</t>
  </si>
  <si>
    <t>Implementar un (1) programa de modernización de la gestión documental en el departamento</t>
  </si>
  <si>
    <t>Programa de modernización implementado</t>
  </si>
  <si>
    <t xml:space="preserve"> 0304 - 5 - 3 1 5 28 89 17 5 - 88</t>
  </si>
  <si>
    <t>Cumplir las directrices definidas por la Ley General de Archivo</t>
  </si>
  <si>
    <t>Ejecutar las actividades establecidas en el Plan Institucional de Archivos PINAR</t>
  </si>
  <si>
    <t>Adquirir  un (1) bien inmueble para adelantar acciones de cara al servicio de la comunidad</t>
  </si>
  <si>
    <t>Bien inmueble adquirido</t>
  </si>
  <si>
    <t>Disponer de espacios físicos más amplios y acordes para la atención a los diferentes tipos de población que se acerca a la  entidad y así como para la debida disposición de los documentos que reposan en el archivo central evitando la perdida  y/o deterioro de los mismos.</t>
  </si>
  <si>
    <t>Adelantar acciones en el procesos de adquisición de un bien inmueble</t>
  </si>
  <si>
    <t xml:space="preserve">Recurso del Crédito </t>
  </si>
  <si>
    <t>Secretaría Administrativa
Dirección Recursos Físicos</t>
  </si>
  <si>
    <t>CATALINA GÓMEZ RESTREPO</t>
  </si>
  <si>
    <t>Secretaria Administrativa</t>
  </si>
  <si>
    <t xml:space="preserve">F-PLA-06   </t>
  </si>
  <si>
    <t>Noviembre 22 de 2017</t>
  </si>
  <si>
    <t>PROGRAMACION PLAN DE ACCIÓN
SECRETARIA DE HACIENDA Y FINANZAS PUBLICAS
II TRIMESTRE DE 2018</t>
  </si>
  <si>
    <t>F-PLA-06</t>
  </si>
  <si>
    <t>O6</t>
  </si>
  <si>
    <t>Nov. 22 de 2017</t>
  </si>
  <si>
    <t xml:space="preserve">                                                               </t>
  </si>
  <si>
    <t>Edad Económicamente Activa
(20-59 años)</t>
  </si>
  <si>
    <t>GESTIÓN TERRIITORIAL</t>
  </si>
  <si>
    <t>Implementar 4 procesos de fiscalización de las Rentas Departamentales</t>
  </si>
  <si>
    <t>Procesos de fiscalización implementados</t>
  </si>
  <si>
    <t>201663000-0016</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</si>
  <si>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</si>
  <si>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cumplimiento del  Programa Anticontrabando 
</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</si>
  <si>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</si>
  <si>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t>fiscalización tributaria del Impuesto vehiculos automotores I.S.V.A.</t>
  </si>
  <si>
    <t>20
88
56</t>
  </si>
  <si>
    <t xml:space="preserve">
Recurso Ordinario
Superavit Recurso Ordinario
Cofinanciación Convenios Interadministrativos
</t>
  </si>
  <si>
    <t xml:space="preserve"> Secretaría de Hacienda</t>
  </si>
  <si>
    <t>0307 - 5 - 3 1 5 28 88 17 16 - 20</t>
  </si>
  <si>
    <t xml:space="preserve">Fiscalización impuesto de registro </t>
  </si>
  <si>
    <t xml:space="preserve">0307 - 5 - 3 1 5 28 88 17 16 - 88_x000D_
</t>
  </si>
  <si>
    <t>Procesos de Fiscalización sobre las diferentes rentas Departamentales</t>
  </si>
  <si>
    <t>Implementar una estrategia de cobro coactivo sobre la cartera morosa de las Rentas Departamentales.</t>
  </si>
  <si>
    <t>Estrategia de cobro coactivo implementada</t>
  </si>
  <si>
    <t>0307 - 5 - 3 1 5 28 88 17 16 - 56</t>
  </si>
  <si>
    <t>Llevar a cabo la implementaciòn de los diferentes Procesos Administrativos de Cobro Coactivo sobre aquellos contribuyentes que se encuentran en mora de cancelar sus obligaciones tributarias</t>
  </si>
  <si>
    <t xml:space="preserve">Procedimiento Administrativo de cobro coactivo frente a la cartera de las diferentes Rentas del Departamento del Quindío </t>
  </si>
  <si>
    <t xml:space="preserve">Ejecutar el programa anti contrabando suscrito con la Federación Nacional de Departamentos.                               </t>
  </si>
  <si>
    <t>Programa anticontrabando ejecutado</t>
  </si>
  <si>
    <t xml:space="preserve">Ejecutar el Programa Anticontrabando en el Departamento del Quindìo con ocasion de la suscripcion del Convenio entre el Departamento del Quindìo y la Federaciòn Nacional de Departamentos
</t>
  </si>
  <si>
    <t xml:space="preserve">Programa Anticontrabando de licores, Cerveza y Cigarrillos.
</t>
  </si>
  <si>
    <t>Elaborar el diagnóstico del sistema de Información tributario y financiero</t>
  </si>
  <si>
    <t>Diagnostico del sistema de información tributario y financiero elaborado</t>
  </si>
  <si>
    <t>0307 - 5 - 3 1 5 28 88 17 17 - 20</t>
  </si>
  <si>
    <t>201663000-0017</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</si>
  <si>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</si>
  <si>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</si>
  <si>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en el Departamento del Quindío</t>
  </si>
  <si>
    <t>consolidación de lls sistemas de información</t>
  </si>
  <si>
    <t xml:space="preserve">  Secretaría de Hacienda</t>
  </si>
  <si>
    <t xml:space="preserve">Implementar un programa para el cumplimiento de las políticas y prácticas contables para la administración departamental         </t>
  </si>
  <si>
    <t>Programa para el cumplimiento de políticas contables implementado</t>
  </si>
  <si>
    <t>0307 - 5 - 3 1 5 28 88 17 17 - 88</t>
  </si>
  <si>
    <t xml:space="preserve">Adoptar el nuevo modelo de informaciòn Financiera determinado por las Normas Internacionales de Contabilidad de información financiera NIIF, a fin de garantizar la confiabilidad de la información financiera.
</t>
  </si>
  <si>
    <t>Implementacion de Normas Internacionales Información Financiera (NIIF).</t>
  </si>
  <si>
    <t xml:space="preserve">Fortalecimiento institucional para el cumplimiento de las politicas y practicas contables en el area de tesoreria, presupuesto y contabilidad </t>
  </si>
  <si>
    <t>                         </t>
  </si>
  <si>
    <t xml:space="preserve">LUZ HELENA MEJIA  CARDONA </t>
  </si>
  <si>
    <t xml:space="preserve">Secretaria de Hacienda </t>
  </si>
  <si>
    <t>01 de 1</t>
  </si>
  <si>
    <t>No.</t>
  </si>
  <si>
    <t>Quindío Transparente y Legal</t>
  </si>
  <si>
    <t>QUINDIO EJEMPLAR Y LEGAL</t>
  </si>
  <si>
    <t xml:space="preserve">Realizar 40 eventos  de sensibilización en transparencia , participación, buen gobierno y valores éticos y morales  </t>
  </si>
  <si>
    <t>No de Eventos  de sensibilización   realizados</t>
  </si>
  <si>
    <t>0313 - 5 - 3 1 5 26 83 17 82 - 20
0313 - 5 - 3 1 5 26 83 17 82 - 88</t>
  </si>
  <si>
    <t>201663000-0082</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</si>
  <si>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</si>
  <si>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</si>
  <si>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t>
  </si>
  <si>
    <t xml:space="preserve">Puesta en marcha del sistema departamental del servicio al ciudadano </t>
  </si>
  <si>
    <t>Recurso Ordinario
Superávit Ordinario</t>
  </si>
  <si>
    <t xml:space="preserve">Diseño e implementacion de la estrategia de transparencia </t>
  </si>
  <si>
    <t>Mejorar la cultura del civismo y participación de los ciudadanos  en los  procesos institucionales del gobierno.</t>
  </si>
  <si>
    <t>Implemetación de una escuela de liderazgo</t>
  </si>
  <si>
    <t>Fortalecimiento del presupuesto participativo</t>
  </si>
  <si>
    <t>Implementar una (1) sala de transparencia "Urna de Cristal" en el Departamento</t>
  </si>
  <si>
    <t>Sala de transparencia implementada</t>
  </si>
  <si>
    <t xml:space="preserve">0313 - 5 - 3 1 5 26 83 17 83 - 20  </t>
  </si>
  <si>
    <t>201663000-0083</t>
  </si>
  <si>
    <t>Implementacion de una (1) sala de transparencia "Urna de Cristal" en el Departamento del Quindio</t>
  </si>
  <si>
    <t>Mejorar el nivel de credibilidad en la transparencia  de la contratación  pública en el Departamento.</t>
  </si>
  <si>
    <t xml:space="preserve">Aumentar el conocimiento de la ciudadanía de los procesos precontractuales de la administración departamental    Mejorar el promedio de participación de la ciudadania en los procesos de elección  popular en el cuatrenio 
</t>
  </si>
  <si>
    <t xml:space="preserve">Operatividad de la sala de transparencia </t>
  </si>
  <si>
    <t>Gestión Territorial</t>
  </si>
  <si>
    <t xml:space="preserve">MODERNIZACIÓN TECNOLOGICA Y ADMINISTRATIVA </t>
  </si>
  <si>
    <t xml:space="preserve">Desarrollar e implementar una (1) estrategía de comunicaciones  </t>
  </si>
  <si>
    <t>Estrategía de comunicaciones desarrollada e implementada</t>
  </si>
  <si>
    <t xml:space="preserve">0313 - 5 - 3 1 5 28 89 17 81 - 20
0313 - 5 - 3 1 5 28 89 17 81 - 88            </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</si>
  <si>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</si>
  <si>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</si>
  <si>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</si>
  <si>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</si>
  <si>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Ejecución de Plan de Medios (prensa, radio y televisión)</t>
  </si>
  <si>
    <t>20
88</t>
  </si>
  <si>
    <t>Recurso Ordinario 
Superavit Ordinario</t>
  </si>
  <si>
    <t>Desarrollo de la estrategia de comunicación interna (boletin informativo)</t>
  </si>
  <si>
    <t>Planificación institucional en la divulgación de los programas y proyectos</t>
  </si>
  <si>
    <t xml:space="preserve">Operatividad de la estrategica de comunicaciones </t>
  </si>
  <si>
    <t>TOTALES</t>
  </si>
  <si>
    <t>SECRETARIO DE DESPACHO</t>
  </si>
  <si>
    <t>PROGRAMACION PLAN DE ACCIÓN
SECRETARIA ADMINISTRATIVA
II TRIMESTRE 2018</t>
  </si>
  <si>
    <t>Edad Económicamente 
Activa
(20-59 años)</t>
  </si>
  <si>
    <t>Adultos Mayores
(Mayores a 60 años)</t>
  </si>
  <si>
    <t>Discapacitados</t>
  </si>
  <si>
    <t>Palenqueras</t>
  </si>
  <si>
    <t>PROGRAMACION PLAN DE ACCIÓN
OFICINA PRIVADA
II TRIMESTRE 2018</t>
  </si>
  <si>
    <t>José Joaquin Rincon Pastrana
Director Oficina Privada</t>
  </si>
  <si>
    <t xml:space="preserve">JOSE JOAQUIN RINCON PASTRANA </t>
  </si>
  <si>
    <t xml:space="preserve">CODIGO:  </t>
  </si>
  <si>
    <t xml:space="preserve">VERSIÓN: </t>
  </si>
  <si>
    <t xml:space="preserve">FECHA: </t>
  </si>
  <si>
    <t>PÁGINA:</t>
  </si>
  <si>
    <t>Edad Económicamente Activa      (20-59 años)</t>
  </si>
  <si>
    <t xml:space="preserve">SEGURIDAD HUMANA </t>
  </si>
  <si>
    <t>Seguridad humana como dinamizador de la vida, dignidad y libertad en el Qundío</t>
  </si>
  <si>
    <t>Fortalecimiento dela seguridad vial en el Departamentol del Quindío</t>
  </si>
  <si>
    <t>Implementar un programa para disminuir la accidentalidad en las vías del departamento</t>
  </si>
  <si>
    <t>Programa para disminuir la accidentalidad implementado</t>
  </si>
  <si>
    <t>201663000-172</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</si>
  <si>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</si>
  <si>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</si>
  <si>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</si>
  <si>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Realizar inventario, diagnostico situacional y diseño del programa de señalización vial</t>
  </si>
  <si>
    <t xml:space="preserve">Recursos Propios </t>
  </si>
  <si>
    <t>Gloria Mercedes Buitrago
Directora</t>
  </si>
  <si>
    <t>Implementar el programa orientado a disminución de la accidentalidad en las vias</t>
  </si>
  <si>
    <t xml:space="preserve">Formular e implementar el Plan de Seguridad Vial del Departamento </t>
  </si>
  <si>
    <t>Plan departamental de seguridad vial elaborado e implementado</t>
  </si>
  <si>
    <t>Formulación del Plan de Seguridad Vial</t>
  </si>
  <si>
    <t xml:space="preserve">Apoyar la implementación del programa: Ciclorutas en el departamento del Quindío </t>
  </si>
  <si>
    <t>Programa: Ciclorutas en el departamento del Quindío apoyado</t>
  </si>
  <si>
    <t>Generear oportunidadesinstitucionales a través de procesos de gestion orientados a insentivar programas de movilidad sostenible en la jurisdiccion del I.D.T.Q</t>
  </si>
  <si>
    <t>Campañas de difusión y sensibilización a la población del Programa Nacional de ciclorutas</t>
  </si>
  <si>
    <t>Directora</t>
  </si>
  <si>
    <t>GLORIA MERCEDES BUITRAGO SALAZAR</t>
  </si>
  <si>
    <t>PROGRAMACION PLAN DE ACCIÓN
Instituto Departamental de Tránsito del Quindiío IDTQ
II TRIMESTRE 2018</t>
  </si>
  <si>
    <t>META FISICA</t>
  </si>
  <si>
    <t>INCLUSION SOCIAL</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</si>
  <si>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</si>
  <si>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</si>
  <si>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</si>
  <si>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</si>
  <si>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</si>
  <si>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201663000-0102</t>
  </si>
  <si>
    <t>Implementación de un modelo de atenciòn integral a niños y niñas en entornos protectores en el Departamento del Quindìo</t>
  </si>
  <si>
    <t>Atención integral a los niños, niñas de primera infancia desde la gestación hasta los 4 años y 11 meses con un modelo integral y diferencial, que permita mejorar sus condiciones de vida.</t>
  </si>
  <si>
    <t xml:space="preserve">Incrementar los indices de apoyo y acompañamiento en el desarrollo infantil en  ambientes familiares y grupales,  alimentación adecuada y seguimiento al desarrollo.
</t>
  </si>
  <si>
    <t xml:space="preserve">Implementar un programa de atencion integral a menores de 5 años y madres gestantes en entornos familiares
</t>
  </si>
  <si>
    <t xml:space="preserve">20
</t>
  </si>
  <si>
    <t xml:space="preserve">Recurso Ordinario
</t>
  </si>
  <si>
    <t>Maria Del Carmen Aguirre Botero
Secretaria de Familia</t>
  </si>
  <si>
    <t>Realizar talleres de sensibilización en entorno Institucional a la primera infancia</t>
  </si>
  <si>
    <t>Apoyo en la realizacion de actividades y seguimiento del modelo intersectorial de atencion integral a los municipios del departamento</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</si>
  <si>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</si>
  <si>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</si>
  <si>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</si>
  <si>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</si>
  <si>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Cordoba, Salento, Montenegro, Genova, Calarcá y Filandia.</t>
  </si>
  <si>
    <t xml:space="preserve">Apoyar la socialización de las rutas integrales de atención, en marco de los comites y consejos que así lo requieran, del orden Departamental y municipal. </t>
  </si>
  <si>
    <t>Apoyo en el seguimiento de la Implemantación de la ruta integral de  atención departamental.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</si>
  <si>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</si>
  <si>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</si>
  <si>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</si>
  <si>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</si>
  <si>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</si>
  <si>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201663000-0103</t>
  </si>
  <si>
    <t xml:space="preserve"> Formulación e implementación de  la politica pública  de la familia en el departamento del Quindio</t>
  </si>
  <si>
    <t>Implementar la política pública que garantice los derechos de las familias del departamento del Quindío.</t>
  </si>
  <si>
    <t>Aumentar espacios de atención, formación y reflexión, orientados al fortalecimiento de los entornos familiares, sociales y educativos.</t>
  </si>
  <si>
    <t xml:space="preserve">Elaboracion del  plan de accion con los actores responsables del cumplimiento de la politica publica de familia
</t>
  </si>
  <si>
    <t xml:space="preserve">Apoyar con el seguimiento  al plan de accion de la politica publica de familia
</t>
  </si>
  <si>
    <t>Proceso de  formulacion de la politica publica de familia</t>
  </si>
  <si>
    <t>Apoyo  al  seguimiento de  la  ejecucion presupuestal  de los recursos destinados  a la a la  politica pública de familia</t>
  </si>
  <si>
    <t xml:space="preserve">Apoyo y acompañamiento juridico en el marco de la formulacion e implementacion de la politica publica de familia
</t>
  </si>
  <si>
    <t>Realizar acciones tendientes a la implementacion de la politica publica de familia</t>
  </si>
  <si>
    <t>Realizar  actividades tendientes al cumplimiento de las acciones de responsabilidad de la jefatura de familia</t>
  </si>
  <si>
    <t xml:space="preserve">Alto grado de tolerancia ante la diversidad de pensamientos y comportamientos al interior de las familias </t>
  </si>
  <si>
    <t xml:space="preserve">Campañas, publicidad y promocion </t>
  </si>
  <si>
    <t>Refrigerios, logistica y sonido</t>
  </si>
  <si>
    <t xml:space="preserve">Quindío departamento de derechos  de niñas, niños y adolescentes </t>
  </si>
  <si>
    <t/>
  </si>
  <si>
    <t>Implementar la política pública de primera infancia, infancia y adolescencia</t>
  </si>
  <si>
    <t>Política publica de primera infancia, infancia y adolescencia implementada</t>
  </si>
  <si>
    <t>201663000-0109</t>
  </si>
  <si>
    <t>Implementación de la  política de primera infancia, infancia y adolescencia en el Departamento del Quindio</t>
  </si>
  <si>
    <t xml:space="preserve">Implementar la política pública que garantice los derechos de los niños, niñas y adolescentes del depto del Quindío. </t>
  </si>
  <si>
    <t>Eficiencia en la articulacion Interinstitucional que garantice un seguimiento efectivo del cumplimiento dfel plan de accion de la politica publica de infancia y adolescencia</t>
  </si>
  <si>
    <t xml:space="preserve">Apoyar con el seguimiento al Plan de Acción de la Politica Publica  de primera infancia, infancia y adolescencia del departamento
</t>
  </si>
  <si>
    <t xml:space="preserve">Apoyo al Comite de  Primera Infancia, Infancia y Adolescencia y al Consejo de Politica Social
</t>
  </si>
  <si>
    <t>Apoyo a programas que conlleven a la  implementación de la Politica publica de primera infancia, infancia y adolescencia en el Departamento del Quindio</t>
  </si>
  <si>
    <t>Apoyo  al  seguimiento de  la  ejecución presupuestal  de los recursos destinados  a la a la  política pública de primera infancia, infancia y adolescencia en el Departamento del Quindío</t>
  </si>
  <si>
    <t>Apoyo en la revisión juridica en los temas relacionados con la implementacion de la politica publica de primera infancia, infancia y adolescencia del departamento</t>
  </si>
  <si>
    <t>Brindar asistencia tecnica a los municipios del departamento, que así lo requieran en temas relacionados con el seguimiento e implementación de la politica publica de primera infancia, infancia y adolescencia del departamento</t>
  </si>
  <si>
    <t>0316 - 5 - 3 1 3 17 59 14 109 - 20</t>
  </si>
  <si>
    <t>Promover prácticas deportivas, recreativas, lúdicas y culturales, como generadora y potenciadora en el desarrollo integral de los niños, niñas y adolescentes vulnerables del departamento del Quindío.</t>
  </si>
  <si>
    <t xml:space="preserve">Recurso Ordinario
Superavit Recurso Ordinario
</t>
  </si>
  <si>
    <t>Logistica operativa, sonido, refrigerios.</t>
  </si>
  <si>
    <t>Implementar  una estrategia de prevención y atención de embarazos y segundos embarazos a temprana edad.</t>
  </si>
  <si>
    <t>Estrategia de prevención  y atención de embarazos a temprana edad implementada</t>
  </si>
  <si>
    <t>0316 - 5 - 3 1 3 17 59 14 109 - 88</t>
  </si>
  <si>
    <t xml:space="preserve">Disminuir los factores de vulneracion de los derechos de niños, niñas y adolescentes (maltrato, abuso,abandono, explotación sexual) </t>
  </si>
  <si>
    <t xml:space="preserve">Apoyar la Implementación de una estrategia de prevencion de embarazos y segundos embarazos a temprana edad
</t>
  </si>
  <si>
    <t>Realizar jornadas pedagogicas de prevencion en las Instituciones educativas del depto</t>
  </si>
  <si>
    <t>Apoyar la articulación intersectorial, a través de mesas de trabajo en pro de la prevencion de los embarazos en adolescentes y segundos embarazos a temprana edad.</t>
  </si>
  <si>
    <r>
      <t>Implemen</t>
    </r>
    <r>
      <rPr>
        <sz val="12"/>
        <rFont val="Arial"/>
        <family val="2"/>
      </rPr>
      <t xml:space="preserve">tar una  </t>
    </r>
    <r>
      <rPr>
        <sz val="12"/>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</si>
  <si>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</si>
  <si>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Formular estrategias de prevencion de y atención en la erradicacion del abuso, explotación sexual, comercial, actividdades delecitivas</t>
  </si>
  <si>
    <t xml:space="preserve">Apoyar la implementación de una  estrategia  de prevención y atención de la erradicación del abuso, explotación sexual comercial, trabajo infantil y peores formas de trabajo, y actividades delictivas
</t>
  </si>
  <si>
    <t>Apoyar la implementación del Plan integral de prevención y erradicación del trabajo infantil "PIPETI", las peores formas de trabajo y apoyar al CIETI</t>
  </si>
  <si>
    <t xml:space="preserve">Apoyar la Implementacion  y  el seguimiento en los doce municipios de la ruta departamental de prevención del abuso y maltrato infantil en los ambientes familiares, escolares, sociales e institucionales 
</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</si>
  <si>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</si>
  <si>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</si>
  <si>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</si>
  <si>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</si>
  <si>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201663000-0110</t>
  </si>
  <si>
    <t>Desarrollar  acciones encaminadas a la atención integral  de los adolescentes y jóvenes del Departamento del Quindio</t>
  </si>
  <si>
    <t>Desarrollar procesos efectivos de atención, generación de impacto, oferta pública y garantía de derechos.</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</si>
  <si>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</si>
  <si>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 xml:space="preserve">Apoyo y seguimiento a los indicadores de cumplimiento del plan de accion de la politica publica de juventud </t>
  </si>
  <si>
    <t xml:space="preserve">20
</t>
  </si>
  <si>
    <t>170</t>
  </si>
  <si>
    <t xml:space="preserve">Aunar exfuerzos con entidades de apoyo a la micro y mediana empresa. </t>
  </si>
  <si>
    <t xml:space="preserve">Capacitaciones, socialización y conformación de espacios de participación juvenil </t>
  </si>
  <si>
    <t>Desarrollo de acciones dispuestas a la implementacion de la politica de juventud, en los componentes de responsabilidad de la oficina de juventud</t>
  </si>
  <si>
    <t>Implementar  dos (2) estrategias de prevención para adolescentes y jóvenes en riesgo social y/o vinculados a la Ley de responsabilidad  penal</t>
  </si>
  <si>
    <t>Número  de estrategias  de prevención  para adolescentes y jóvenes implementadas</t>
  </si>
  <si>
    <t xml:space="preserve">Actividades pedagógicas y Jornadas de movilización social  sobre el concepto de la práctica barrista como expresión cultural, dirigidas a los jóvenes que son líderes y miembros  de las barras futboleras del Departamento del Quindío. </t>
  </si>
  <si>
    <t>Realizar actividades de prevención para adolescentes y jóvenes en riesgo social y/o vinculados a la Ley de responsabilidad  penal</t>
  </si>
  <si>
    <t>Apoyo y seguimientoa los procesos de coordinación del sistema de responsabilidad penal</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</si>
  <si>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</si>
  <si>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</si>
  <si>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de  sensibilizar  la población frente  a  los daños colaterales generados por  el consumo.</t>
  </si>
  <si>
    <t>Implementar una estrategia de prevencion del consumo de SPA en el departamento del Quindío</t>
  </si>
  <si>
    <t>Apoyar  en temas de prevención del consumo de sustancias psicoactivas, a través de talleres de sensibilización.</t>
  </si>
  <si>
    <t xml:space="preserve">Seguimiento a la implementación de la estrategia de prevencion de consumo de SPA </t>
  </si>
  <si>
    <t>ADQUISICION DE BIENES Y SERVICIOS: Logistica operativa,  refrigerios, sonido, ferreteria, etc</t>
  </si>
  <si>
    <t>Volantes, pendones, afiches, manillas, etc.</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</si>
  <si>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</si>
  <si>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</si>
  <si>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</si>
  <si>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</si>
  <si>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201663000-0114</t>
  </si>
  <si>
    <t>Actualización e implementación  de   la política pública departamental de discapacidad  "Capacidad sin limites" en el Quindio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</si>
  <si>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</si>
  <si>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</si>
  <si>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LOGISTICA OPERATIVA: Rrefrigerios, sonido, logistica en genreal, elementos y/o materia prima </t>
  </si>
  <si>
    <t xml:space="preserve">Apoyar la elaboración ,seguimiento y evaluacion de los planes de accion de los municipios y depto de la Politica Publica de discapacidad.
</t>
  </si>
  <si>
    <t xml:space="preserve">Diseñar , construir  y difundir  de manera concertada la malla de oferta institucional con los diferentes actores
</t>
  </si>
  <si>
    <t>Promover el derecho a participar en los escenarios políticos y generar los espacios necesios para la formación política de las personas con discapacidad</t>
  </si>
  <si>
    <t>Procesos de  fortalecimiento en la cultura organizacional  del sector público y privado</t>
  </si>
  <si>
    <t xml:space="preserve">Apoyar la elaboración de diagnósticos comunitarios sobre la situación de personas con discapacidad en comunidades focalizadas. 
</t>
  </si>
  <si>
    <t xml:space="preserve">Apoyar la Implementación de programas para la creación de empresas asociativas 
</t>
  </si>
  <si>
    <t xml:space="preserve">Promover  y  fortalecer la creación de organizaciones que trabajan con y para las personas con discapacidad y sus familias 
</t>
  </si>
  <si>
    <t xml:space="preserve">Apoyar la Formación a líderes y al Comité Departamental de Discapacidad en gestión y formulación de proyectos
</t>
  </si>
  <si>
    <t>Apoyar la Formación de la población con discapacidad, cuidadores , cuidadoras y sus familias, en talleres de formación en maderas, pintura, muralismo, escultura y artes plasticas, etc, con el fin de realizar inclusion social y mejoramiento de su calidad de vida.</t>
  </si>
  <si>
    <t xml:space="preserve">Apoyar con un plan de mercadeo a las unidades productivas de las personas con discapacidad
</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</si>
  <si>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</si>
  <si>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</si>
  <si>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Acompañamiento a  las personas con discapacidad,  familias y comunidad en la implementación del programa RBC</t>
  </si>
  <si>
    <t>Realizar  capacitaciones en agentes comunitarios en RBC</t>
  </si>
  <si>
    <t>Servicio permanente de untérpretes de lengua de señas en servicios de urgencia y de información pública.</t>
  </si>
  <si>
    <t>Conformación y fortalecimiento a las redes de apoyo de la estrategia RBC</t>
  </si>
  <si>
    <t>Eventos de participacion e integración de la poblacion con discapacidad</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</si>
  <si>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</si>
  <si>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</si>
  <si>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</si>
  <si>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</si>
  <si>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201663000-0117</t>
  </si>
  <si>
    <t xml:space="preserve">Diseño e implementación  de la estratégica para la atención de la  población  en vulnerabiliada extrema  en el Departamento del Quindio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</si>
  <si>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</si>
  <si>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</si>
  <si>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Apoyar el seguimiento al plan de acción que conlleve a la implementación de la estrategia para atención de la población en alta vulnerabilidad</t>
  </si>
  <si>
    <t xml:space="preserve">Apoyar con el diagnóstico situacional de Habitantes en Calle y  personas en alta  vulnerabilidad y alto riesgo social
</t>
  </si>
  <si>
    <t>Apoyar a las poblaciones en estado de vulnerabilidad de los Barrios priorizados en procesos de emprendimiento, creación  y formalización de empresas asociativas.</t>
  </si>
  <si>
    <t>Apoyar a las poblaciones vulnerables de los Barrios priorizados del departamento, con talleres de capacitación y  seguimiento en  proyectos productivos</t>
  </si>
  <si>
    <t>Atención a habitantes de calle en los municipios del departamento, en la ejecución de acciones encaminadas a garantizar los derechos de la población en estado  de  vulnerabilidad  extrema  en el departamento del Quindío".</t>
  </si>
  <si>
    <t>Brindar apoyo en los procesos que conlleven a la ejecución de la meta 191: Diseñar  e   implementar una  estrategia para la atención de la  población  en  situación  de  vulnerabilidad  extrema  en el Departamento del Quindío (habitantes de  calle, trabajo  sexual, reincidencia delictiva, drogadicción, bandas delincuenciales, entre otros).</t>
  </si>
  <si>
    <t xml:space="preserve">Apoyo  al  seguimiento de  la  ejecución presupuestal  de los recursos destinados  a la Implementacion de la estrategioa de atención de la poblacion en situacion de vulnerabilidad del departamento </t>
  </si>
  <si>
    <t>Brindar apoyo a la Secretaría de Familia en la   difusión de Derechos y garantías fundamentales de la  población vulnerable del Departamento del Quindío</t>
  </si>
  <si>
    <t xml:space="preserve">Brindar apoyo a la Secretaría de Familia en las diferentes jornadas realizadas  con  población vulnerable.
</t>
  </si>
  <si>
    <t xml:space="preserve">Apoyar a la secretaría de familia, en las diferentes actividades que se realicen,   tendientes a  la implementación de una estrategia para la   atención a  la  población en  vulnerabilidad extrema en el  departamento del Quindío” </t>
  </si>
  <si>
    <t xml:space="preserve">Apoyar a la Secretaría de Familia en la realización de convocatorias, acompañamiento logístico y asistencia operativa tendientes a la atención de la población vulnerable del departamento.
</t>
  </si>
  <si>
    <t>0316 - 5 - 3 1 3 18 62 14 117 - 20</t>
  </si>
  <si>
    <t>Apoyar  con los procesos que conlleven a  la implementacion de la estrategia para la atención de la población en situación de vulnerabilidad extrema del departamento. (habitantes de calle, trabajo sexual,  reincidencia delictiva, drogadicción, bandas delincuenciales, entre otras</t>
  </si>
  <si>
    <t>0316 - 5 - 3 1 3 18 62 14 117 - 88</t>
  </si>
  <si>
    <t>Apoyar con la realización de informes relacionados con el cumplimiento d ela meta: 191: Diseñar  e   implementar una  estrategia para la atención de la  población  en  situación  de  vulnerabilidad  extrema  en el Departamento del Quindío (habitantes de  calle, trabajo  sexual, reincidencia delictiva, drogadicción, bandas delincuenciales, entre otros).</t>
  </si>
  <si>
    <t>Apoyar en la realizacion de un ciclo de talleres que comprenden temáticas que permiten promover el desarrollo de competencias sociales y laborales  en la poblacion vulenrable del depto</t>
  </si>
  <si>
    <t xml:space="preserve">Establecer convenios con Instituciones de orden departamental y/o privada para promover programas de formación laboral complementaria.
</t>
  </si>
  <si>
    <t xml:space="preserve">Apoyar con la realización de un  documento denominado  proyecto o programa  piloto  para  atender  la  población  vulnerable  de cuatro municipios del depto
                                                                           </t>
  </si>
  <si>
    <t xml:space="preserve">Identificación de las necesidades y perfil  educativo de las poblaciones que se encuentran en riesgo, para ser vinculadas a la fuerza laboral, de conformidad con los diagnósticos locales realizados por organismos gubernamentales y no  gubernamentales
</t>
  </si>
  <si>
    <t>Apoyar la coordinación entre las diferentes Secretarías del orden departamental para la atención integral de la polbacion vulnerable</t>
  </si>
  <si>
    <t>Apoyar  con  programas específicos, dirigido  a grupos  que viven en entornos de alto riesgo: Extrema pobreza, desarraigo social,  drogadicción, delincuencia, prostitución, o pertenecen a familias    multiproblemáticas  y de alto riesgo social</t>
  </si>
  <si>
    <t>Aunar esfuerzos técnicos y financieros para la realización de estrategias orientadas a  permitir la  garantía de  derechos de las comunidades en situación de riesgo social focalizadas en los municipios  del departamento”.</t>
  </si>
  <si>
    <t>Facilitar   el acceso  a la  oferta institucional para  garantizar  a la  población en situación de riesgo la atención oportuna de conformidad con las rutas de atención  establecidas en la ley para  la atención de los diferentes tipos violencias  o afectaciones  a  los  derechos.</t>
  </si>
  <si>
    <t>Logistica operativa, refrigerios, sonido</t>
  </si>
  <si>
    <t xml:space="preserve">Campañas  de difusion, socialziacion  y participación  ciudadana para la prevencion del  riesgo social en el depto
</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</si>
  <si>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</si>
  <si>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</si>
  <si>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</si>
  <si>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201663000-0118</t>
  </si>
  <si>
    <t xml:space="preserve"> Implementación del programa  para la atención y acompañamiento  del ciudadano migrante  y de repatración en el Departamento del Quindio.</t>
  </si>
  <si>
    <t>IImplementar el plan de acompañamiento al ciudadano migrante (el que sale y el que retorna).</t>
  </si>
  <si>
    <t>Existencia de planes de acompañamiento al ciudadano migrante del depto. del Quindío</t>
  </si>
  <si>
    <t>Procesos  de capacitación, asistencia técnica, seguimiento y evaluación en cuanto a la garantia de derechos de la población migrante del Departamento</t>
  </si>
  <si>
    <t xml:space="preserve">1.1.2.Asistencias tecnicas  personales y grupales para la creación de rutas de atención al ciudadano migrante </t>
  </si>
  <si>
    <t>Capacitación secretarias sectoriales en cuanto la atención al ciudadano migrante</t>
  </si>
  <si>
    <t>Apoyar el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</si>
  <si>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</si>
  <si>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</si>
  <si>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</si>
  <si>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</si>
  <si>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201663000-0121</t>
  </si>
  <si>
    <t>Fortalecimiento resguardo  indígena DACHI AGORE DRUA del municipio de Calarcá del Departamento del Quindío.</t>
  </si>
  <si>
    <t>Garantizar el apoyo y fortalecimiento del plan de vida del Resguardo Dachi Agore Drua del municipio de Calarcá en el Departamento del Quindío.</t>
  </si>
  <si>
    <t>Apoyar con unidades productivas al plan de vida del Resguardo Indigena</t>
  </si>
  <si>
    <t xml:space="preserve">Apoyo, acompañamiento y fortalecimiento en cuanto procesos de seguridad alimentaria, saneamiento basico, educación, salud, justicia, gobernabilidad y territorio </t>
  </si>
  <si>
    <t xml:space="preserve"> Compra de herramientas, materiales, insumos, etc.para beneficiar a la poblacion indigena DACHI AGORE DRUA</t>
  </si>
  <si>
    <t>Apoyar   y fortalecer  la elaboración y puesta en marcha  de  planes de vida de los pueblos indígenas asentados en el Departamento del Quindío.</t>
  </si>
  <si>
    <t>Planes de vida apoyados y fortalecidos</t>
  </si>
  <si>
    <t>0316 - 5 - 3 1 3 18 63 14 122 - 20</t>
  </si>
  <si>
    <t>201663000-0122</t>
  </si>
  <si>
    <t xml:space="preserve">Apoyo  a la elaboración y puesta marcha de Planes de Vida  de los cabildos indigenas en el departamento del Quindio  </t>
  </si>
  <si>
    <t>Apoyar la elaboración y puesta en marcha de planes de vida de los cabildos indígenas en el depto del Quindío.</t>
  </si>
  <si>
    <t>Elaborar un diagnóstico real de las condiciones de vida de las comunidades indígenas del depto</t>
  </si>
  <si>
    <t xml:space="preserve"> Garantizar la atención integral y con enfoque diferencial de las comunidades indigenas asentadas en el Departamento del Quindío</t>
  </si>
  <si>
    <t>Articulación institucional para la atención diferencial de los indígenas del depto</t>
  </si>
  <si>
    <t>Adqusicion de bienes y servicios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</si>
  <si>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</si>
  <si>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</si>
  <si>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</si>
  <si>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</si>
  <si>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201663000-0124</t>
  </si>
  <si>
    <t xml:space="preserve">Implementación de un  programa de atención integral a la población  afrodescendiente en el Departamento del Quindio </t>
  </si>
  <si>
    <t>Garantizar la protección de derechos y la atención integral con enfoque diferencial de las comunidades afrodescendientes asentadas en el
Departamento del Quindío.</t>
  </si>
  <si>
    <t>Implementar un programa articulado interinstitucional para la atencion integral con enfoque disferencial a la poblacion afro del departamento</t>
  </si>
  <si>
    <t>Capacitaciones dirigidas a comunidades Afros del Departamento</t>
  </si>
  <si>
    <t xml:space="preserve">Apoyo, acompañamiento y fortalecimiento en cuanto procesos de seguridad alimentaria, saneamiento basico, educación, salud y vivienda  </t>
  </si>
  <si>
    <t>Compra de herramientas, materiales, insumos, etc.</t>
  </si>
  <si>
    <t>Sí a la diversidad sexual e identidad de género y su familia.</t>
  </si>
  <si>
    <t>Formular  la política pública departamental de diversidad sexual e identidad de género</t>
  </si>
  <si>
    <t>Política pública formulada e implementada</t>
  </si>
  <si>
    <t>0316 - 5 - 3 1 3 18 65 14 125 - 20
0316 - 5 - 3 1 3 18 65 14 125 - 88</t>
  </si>
  <si>
    <t>201663000-0125</t>
  </si>
  <si>
    <t>Fomulación e implementación de la politca pública  de diversidad sexual en el Departamento del Quindio</t>
  </si>
  <si>
    <t>Implementación de la política pública que garantice los derechos de las personas con diversidad sexual e identidad de género en el dpto del Quindío.</t>
  </si>
  <si>
    <t>Establecer políticas claras para la inclusión social de la población LGTBI</t>
  </si>
  <si>
    <t>Articulacion insteristitucional de la politica publica de diversidad sexual</t>
  </si>
  <si>
    <t xml:space="preserve">Recurso Ordinario
Superavit ordinario
</t>
  </si>
  <si>
    <t>Apoyo al seguimiento del plan de accion de la politica publica de diversidad sexual, con los sectores y actores del depto</t>
  </si>
  <si>
    <t>Logistica Operativa</t>
  </si>
  <si>
    <t>Mujeres constructoras de Familia y de paz.</t>
  </si>
  <si>
    <t>Revisar, ajustar  e  implementar  la política publica de equidad de género para la  mujer del departamento</t>
  </si>
  <si>
    <t>Política pública  de equidad de genero revisada, ajustada e implementada.</t>
  </si>
  <si>
    <t>201663000-0128</t>
  </si>
  <si>
    <t>Implementaciòn de la polìtica pùblica de equidad de género para la mujer en el Departamento del Quindìo</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</si>
  <si>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</si>
  <si>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Cumplimiento de la normatividad jurídica nacional e internacional</t>
  </si>
  <si>
    <t>Campañas de socialización de las normas y las leyes que cobijan a la Mujer</t>
  </si>
  <si>
    <t>Logística operativa para los eventos en la implementación de la política publica de equidad</t>
  </si>
  <si>
    <t>seguimiento al Plan de Acción de la Política Publica de Equidad de Género para Mujer</t>
  </si>
  <si>
    <t xml:space="preserve">Apoyar la realización de Ruedas de negocios para mujeres emprendedoras y empresarias del departamento del Quindio.
</t>
  </si>
  <si>
    <t>0316 - 5 - 3 1 3 19 67 14 128 - 20</t>
  </si>
  <si>
    <t>Fortalecimiento a unidades productivas y/o proyectos de emprendemiento de mujeres</t>
  </si>
  <si>
    <t>0316 - 5 - 3 1 3 19 67 14 128 - 88</t>
  </si>
  <si>
    <t>Apoyo en el diseño de  estrategias de articulación e incorporación entre las organizaciones de mujeres del departamento y los consejos municipales y departamental de mujeres.</t>
  </si>
  <si>
    <t xml:space="preserve">Seguimiento al cumplimiento de los planes de acción de la Politica Publica de  Equidad de Género para la mujer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</si>
  <si>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</si>
  <si>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</si>
  <si>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</si>
  <si>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</si>
  <si>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201663000-0129</t>
  </si>
  <si>
    <t xml:space="preserve">Apoyo y bienestar integral a las personas mayores del Departamento del Quindio </t>
  </si>
  <si>
    <t>Altos índices de atención a los adultos mayores en el departamento del Quindío.</t>
  </si>
  <si>
    <t xml:space="preserve">Apoyar la elaboración ,seguimiento y evaluacion de los planes de accion de los municipios y depto de la Politica Publica de envejecimiento y vejez
</t>
  </si>
  <si>
    <t>Apoyo  al  seguimiento de  la  ejecución presupuestal  de los recursos destinados   a la  política pública de Envejecimiento y vejez</t>
  </si>
  <si>
    <t xml:space="preserve">Apoyar elseguimiento y evaluacion de los planes de accion de los municipios y depto de la Politica Publica de envejecimiento y vejez
</t>
  </si>
  <si>
    <t xml:space="preserve">Apoyar asistencias técnicas grupales a los grupos de adultos mayores del depto, en deporte, cultura, recreación y motivación </t>
  </si>
  <si>
    <t>0316 - 5 - 3 1 3 19 67 14 129 - 06</t>
  </si>
  <si>
    <t xml:space="preserve">Desarrollar actividades como asistente jurídico para el cumplimiento de la normatividad que protejan los derechos de la población adulto mayor del departamento del Quindío </t>
  </si>
  <si>
    <t>Realizar motivación e infundir  sentido de pertenencia y compromiso de parte del Consejo Departamental del  adulto mayor</t>
  </si>
  <si>
    <t xml:space="preserve">
Superavit Recurso Ordinario</t>
  </si>
  <si>
    <t>0316 - 5 - 3 1 3 19 67 14 129 - 20</t>
  </si>
  <si>
    <t xml:space="preserve">Desarrollar estrategias de vigilancia y control que permitan garantizar el cumplimiento y reconocimiento de los derechos de las personas mayores 
</t>
  </si>
  <si>
    <t xml:space="preserve">
 Estampilla Pro Adulto Mayor</t>
  </si>
  <si>
    <t>Logística Operativa: Sonido, logistica, refrigerios</t>
  </si>
  <si>
    <t>Superavit Estampilla Pro Adulto Mayor</t>
  </si>
  <si>
    <t>0316 - 5 - 3 1 3 19 67 14 129 - 84</t>
  </si>
  <si>
    <t>Apoyo a  eventos programados por la Secretaría dia de la celebracion de las eprsonas de la tercera edad y el pensionado</t>
  </si>
  <si>
    <t>Crear el cabildo de adulto mayor del Departamento y apoyar la creación en once municipios del Quindío</t>
  </si>
  <si>
    <t>Número de Cabildos de Adulto Mayor creados.</t>
  </si>
  <si>
    <t>0316 - 5 - 3 1 3 19 67 14 129 - 88</t>
  </si>
  <si>
    <t xml:space="preserve">
Apoyar con actividades para la  creacion del cabildo de adulto mayoren en 6 municipios del Quindio
</t>
  </si>
  <si>
    <t xml:space="preserve">Apoyar 12 Centros de Bienestar del Departamento </t>
  </si>
  <si>
    <t>Centro de bienestar apoyados</t>
  </si>
  <si>
    <t>Centros de Binestar del Adulto Mayor (CBA)</t>
  </si>
  <si>
    <t xml:space="preserve">Apoyar 14 Centros Vida del Departamento </t>
  </si>
  <si>
    <t>Centros vida apoyados</t>
  </si>
  <si>
    <t>Centros Vida (DV)</t>
  </si>
  <si>
    <t>Proyectó y elaboró: Doris Castaño Agudelo, contratista</t>
  </si>
  <si>
    <t>MARIA DEL CARMEN AGUIRRE BOTERO</t>
  </si>
  <si>
    <t>SECRETARIA DE FAMILIA</t>
  </si>
  <si>
    <t>PROGRAMACION PLAN DE ACCIÓN
SECRETARIA DE AGRICULTURA, DESARROLLO RURAL Y MEDIO AMBIENTE
II TRIMESTRE 2018</t>
  </si>
  <si>
    <t>Edad Económicamente
Activa (20-59 años)</t>
  </si>
  <si>
    <t>DESARROLLO SOSTENIBLE</t>
  </si>
  <si>
    <t>Quindío territorio vital</t>
  </si>
  <si>
    <t>Generación de entornos favorables y sostenibilidad ambiental</t>
  </si>
  <si>
    <t xml:space="preserve">Implementar un (1)  Sistema de Gestión Ambiental Departamental SIGAD </t>
  </si>
  <si>
    <t>Sistema de Gestión Ambiental Departamental SIGAD implementado</t>
  </si>
  <si>
    <t>0312 - 5 - 3 1 1 1 1 10 64 - 20</t>
  </si>
  <si>
    <t>201663000-0064</t>
  </si>
  <si>
    <t>Generación de entornos favorables y sostenibilidad ambiental para el Departamento del Quindío</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</si>
  <si>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</si>
  <si>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</si>
  <si>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</si>
  <si>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Recursos Ordinarios</t>
  </si>
  <si>
    <t>Carlos Alberto Soto Rave
Secretario de Agricultura, Desarrollo Rural y Medio Ambiente</t>
  </si>
  <si>
    <t xml:space="preserve">Actualización, analisis, y recomendaciones de mejora sobre  la información ambiental de los doce municipios. </t>
  </si>
  <si>
    <t xml:space="preserve">Apoyar cuatro (4) planes de manejo de áreas protegidas del departamento </t>
  </si>
  <si>
    <t>Planes de manejo apoyados</t>
  </si>
  <si>
    <t>Actualización y apoyo en el fortalecimiento de  los planes de manejo de áreas protegidas del departamento</t>
  </si>
  <si>
    <t xml:space="preserve">Apoyar el Plan Departamental  para la Gestión Integral de la Biodiversidad y sus Servicios Ecosistémicos PDGIB 2013-2024  </t>
  </si>
  <si>
    <t>Plan departamental apoyado</t>
  </si>
  <si>
    <t>Adecuadar planificación para la sostenibilidad de los recursos naturales</t>
  </si>
  <si>
    <t>Apoyo al Plan de gestión de la biodiversidad y sus servicios ecosistemicos PDGIB</t>
  </si>
  <si>
    <t>Diseñay ejecutar una poiica Departamental de uso racional de resiudos solidos y uso eficiente de energia</t>
  </si>
  <si>
    <t>Política departamental diseñada y ejecutada</t>
  </si>
  <si>
    <t xml:space="preserve">Realizar actividades de educación en competencias de sostenibilidad  que esten encamidas a la estructuración e implementación de las politicas de residuos y energia. </t>
  </si>
  <si>
    <t xml:space="preserve">Desarrollar en (5) cinco de los sectores productivos del departamento, actividades de producción más limpia y Buenas  Prácticas Ambientales (BPA) </t>
  </si>
  <si>
    <t>Actividades de producción  desarrolladas</t>
  </si>
  <si>
    <t xml:space="preserve">Generar apropiación de las acciones  de producción más limpia y Buenas  Prácticas Ambientales (BPA) en los sectores productivos  del departamento. </t>
  </si>
  <si>
    <t xml:space="preserve">Apoyar a los doce (12) municipios en las acciones de control y vigilancia de la explotación minera en coordinación con la autoridad ambiental </t>
  </si>
  <si>
    <t>Número de municipios en acciones de control y vigilancia de la explotación minera apoyados</t>
  </si>
  <si>
    <t xml:space="preserve">Acompañamiento a los municipios en las acciones de control y vigilancia de la explotación minera en coordinación con la autoridad ambiental </t>
  </si>
  <si>
    <t>Manejo integral del agua y saneamiento básico</t>
  </si>
  <si>
    <t>Caracterizar los servicios ecosistémicos en seis  (6) cuencas de abastecimiento de los acueductos municipales con sus correspondientes acciones de mejoramiento</t>
  </si>
  <si>
    <t>Número de cuencas con servicios ecosistémicos caracterizados</t>
  </si>
  <si>
    <t xml:space="preserve">0312 - 5 - 3 1 1 1 2 10 67 -20
0312 - 5 - 3 1 1 1 2 10 67 - 88 </t>
  </si>
  <si>
    <t>201663000-0067</t>
  </si>
  <si>
    <t>Gestón integral de cuencas hirdográficas en el Departamento del Quindío</t>
  </si>
  <si>
    <t xml:space="preserve">Mantener la oferta hídrica promedio anual  de las Unidades de Manejo de Cuenca (UMC) del departamento del Quindío 
</t>
  </si>
  <si>
    <t xml:space="preserve">Realizar y coordinar acciones de  recuperación y mantenimiento del recursos hídrico
</t>
  </si>
  <si>
    <t>Elaboracion de inventario de servicios ecosistemicos y diagnostico de los componentes de flora, fauna y recursos hidricos de 2 cuencas hidrograficas</t>
  </si>
  <si>
    <t xml:space="preserve">Crear e implementar el Fondo del Agua del departamento del Quindío  </t>
  </si>
  <si>
    <t>Fondo del Agua creado e implementado</t>
  </si>
  <si>
    <t>Superavit recurso ordinario</t>
  </si>
  <si>
    <t>Bienes y servicios ambientales para las nuevas generaciones</t>
  </si>
  <si>
    <t xml:space="preserve">Conservar y restaurar seis (6) áreas de importancia estratégica para el recurso hídrico del departamento </t>
  </si>
  <si>
    <t>Áreas conservadas y restauradas</t>
  </si>
  <si>
    <t xml:space="preserve">0312 - 5 - 3 1 1 1 3 10 68 - 20
0312 - 5 - 3 1 1 1 3 10 68 - 88
</t>
  </si>
  <si>
    <t>201663000-0068</t>
  </si>
  <si>
    <t>Aplicación de mecanismos de protección ambiental en el Departamento del Quindío.</t>
  </si>
  <si>
    <t xml:space="preserve">Potencializar  el Sistema Departamental y municipal de áreas protegidas
</t>
  </si>
  <si>
    <t>Vigilancia, control y seguimiento a las áreas de protección</t>
  </si>
  <si>
    <t>Recursos Ordinarios
Superavit recurso ordinario</t>
  </si>
  <si>
    <t>Recuperación y mantenimiento de  las  zonas deterioradas en las áreas de protección.</t>
  </si>
  <si>
    <t>Conservar para la sostenibilidad ambiental dos (2) cuencas de los municipios con declaratoria de Paisaje Cultural Cafetero PCC</t>
  </si>
  <si>
    <t>Número de cuencas conservadas</t>
  </si>
  <si>
    <t>0312 - 5 - 3 1 1 1 3 10 69 - 20</t>
  </si>
  <si>
    <t>201663000-0069</t>
  </si>
  <si>
    <t>Fortalecimiento  y potencialización de los servicios ecosistemicos en el Departamento del Quindío</t>
  </si>
  <si>
    <t>Disminuir en la presión por cargas contaminantes, medida por el Índice de Alteración Potencial de la Calidad del Agua (IACAL), a categoría “moderada”</t>
  </si>
  <si>
    <t xml:space="preserve">Mejorar en la calidad del agua en los sistemas hídricos  </t>
  </si>
  <si>
    <t>Intervenir en herramientas del PCC las cuencas de los municipios con declaratoria de paisaje cultural cafetero</t>
  </si>
  <si>
    <t>0101/2018</t>
  </si>
  <si>
    <t>Diagnosticar y diseñar los corredores de conservación del PCC</t>
  </si>
  <si>
    <t xml:space="preserve">Promover la creación y adopción  en los doce (12) municipios del departamento, de herramientas para el estímulo de incentivos a la conservación </t>
  </si>
  <si>
    <t>Número de municipios con acciones de incentivos a la conservación promovidas</t>
  </si>
  <si>
    <t xml:space="preserve">Poner en marcha programas e incentivos a la conservación </t>
  </si>
  <si>
    <t>Restaurar con obras de bioingeniería veinte (20) Hectáreas o zonas críticas de riesgo.</t>
  </si>
  <si>
    <t xml:space="preserve">Número de hectáreas restauradas </t>
  </si>
  <si>
    <t xml:space="preserve">Poner en marcha obras de bioingenieria </t>
  </si>
  <si>
    <t>Desarrollar treinta y un (31) estrategias de educación ambiental  en los espacios participativos, comunitarios y educativos del departamento</t>
  </si>
  <si>
    <t>Número de estrategias de educación desarrolladas</t>
  </si>
  <si>
    <t xml:space="preserve"> Planificar en los procesos de educación ambiental</t>
  </si>
  <si>
    <t>Desarrollar estrategias de educación  ambiental</t>
  </si>
  <si>
    <t>Capacitar a doscientos cincuenta (250)   jóvenes,  mujeres, población vulnerable y con enfoque diferencial como líderes ambientales en el departamento.</t>
  </si>
  <si>
    <t>Número de  jóvenes,  mujeres, población vulnerable y con enfoque diferencial capacitados</t>
  </si>
  <si>
    <t xml:space="preserve">Aumentar el número de multiplicadores ambientales  </t>
  </si>
  <si>
    <t xml:space="preserve">Formar multiplicadores ambientales </t>
  </si>
  <si>
    <t>PROSPERIDAD CON EQUIDAD</t>
  </si>
  <si>
    <t>Quindío rural, inteligente, competitivo y empresarial</t>
  </si>
  <si>
    <t>Innovación para una caficultura sostenible en el departamento del Quindío</t>
  </si>
  <si>
    <t>Capacitar a cuatrocientos (400) caficultores del departamento en producción limpia y sostenible con producción de café con taza limpia, catación, tostión y barismo</t>
  </si>
  <si>
    <t>Número de caficultores capacitados</t>
  </si>
  <si>
    <t xml:space="preserve">0312 - 5 - 3 1 2 2 4 13 72 - 20
0312 - 5 - 3 1 2 2 4 13 72 - 88  </t>
  </si>
  <si>
    <t>201663000-0072</t>
  </si>
  <si>
    <t>Fortalecimiento e innovación empresarial de la caficultura en el Departamento del Quindío</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</si>
  <si>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</si>
  <si>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</si>
  <si>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 xml:space="preserve">Capacitación a caficultores  en buenas prácticas agrícolas sostenible y aseguramiento de la calidad de café 
</t>
  </si>
  <si>
    <t xml:space="preserve">Capacitacion a caficultores en catacion, tostion y barismo </t>
  </si>
  <si>
    <t>Crear (6) seis grupos multiplicadores de conocimiento en emprendimiento y calidad del café  para jóvenes y mujeres rurales, campesinas y cafeteras</t>
  </si>
  <si>
    <t>Número de grupos multiplicadores creados</t>
  </si>
  <si>
    <t>Fortalecimiento a asociaciones de café de jovenes y mujeres rurales en buenas practicas agricolas y aseguramiento de la calidad del café a traves de asistencia tecnica y talleres</t>
  </si>
  <si>
    <t xml:space="preserve">Capacitación  a jovenes y mujeres rurales en asociatividad, emprendimiento,  en mejoramiento y aseguramiento de la calidad  
</t>
  </si>
  <si>
    <t>Crear (1) portafolio de café origen Quindío a través de la valoración de 6000 predios</t>
  </si>
  <si>
    <t>Portafolio de café origen Quindío creado</t>
  </si>
  <si>
    <t>Alto nivel de conocimiento de los productores en producción limpia y sostenible con énfasis en calidad sensorial del café</t>
  </si>
  <si>
    <t xml:space="preserve">Visitas de asistencia tecnicas de caracterizacion a predios productores de café del Departamento del Quindio </t>
  </si>
  <si>
    <t>Superavít Recursos Ordinarios</t>
  </si>
  <si>
    <t>Toma de muestras de café y analisis de catación y perfilación a traves de convenios interadminitrativos y/o interinstitucionales.</t>
  </si>
  <si>
    <t>Promocion y divulgacion del portafolio de café origen Quindio</t>
  </si>
  <si>
    <t>Formalizar (1) un convenio interinstitucional para la inserción de los cafés de origen Quindío en los mercados nacionales e internacionales</t>
  </si>
  <si>
    <t>Convenio interinstitucional formalizado</t>
  </si>
  <si>
    <t xml:space="preserve">Convenio Interinstitucional 
</t>
  </si>
  <si>
    <t>Centros Agroindustriales Regionales para la Paz - CARPAZ</t>
  </si>
  <si>
    <t>Crear e implementar seis (6) núcleos de asistencia técnica y transferencia de tecnología en el sector agropecuario</t>
  </si>
  <si>
    <t>Núcleos de asistencia creados e implementados</t>
  </si>
  <si>
    <t>201663000-0176</t>
  </si>
  <si>
    <t>Creacion e implementacion de los centros agroindustriales para  la paz CAPAZ en el Deparamento del Quindio</t>
  </si>
  <si>
    <t xml:space="preserve">Equiparar el crecimiento del PIB del departamento del Quindío al PIB nacional
</t>
  </si>
  <si>
    <t>Mejorar  la productividad primaria agropecuaria</t>
  </si>
  <si>
    <t>Acompañamiento en la implementacion y asistencia tecnica y transferencia de tecnologia a pequeños productores  el sector agricola y pecuario a traves de visitas a predios</t>
  </si>
  <si>
    <t xml:space="preserve">Evento de tranferencia de tecnologia para el sector agricola y pecuario a productores del departamento del quindio </t>
  </si>
  <si>
    <t>0312 - 5 - 3 1 2 2 5 8 176 - 20</t>
  </si>
  <si>
    <t xml:space="preserve">Dotacion tecnologica de centros agroindustriales carpaz para la tranferencia de tecnologias a productores </t>
  </si>
  <si>
    <t>Apoyar cinco (5) sectores productivos agropecuarios del departamento en métodos de mercadeo que propicien innovación en los aspectos comerciales de los productos del Quindío</t>
  </si>
  <si>
    <t>Sectores productivos apoyados</t>
  </si>
  <si>
    <t>0312 - 5 - 3 1 2 2 5 8 176 - 46</t>
  </si>
  <si>
    <t>Articular la demanda existente y la oferta efectiva</t>
  </si>
  <si>
    <t>Capacitacion en estrategias de mercadeo a diferentes   grupos asociativos de productores y agroindustriales</t>
  </si>
  <si>
    <t>Apoyo logistico</t>
  </si>
  <si>
    <t>Recurso del Crédito</t>
  </si>
  <si>
    <t>Crear  seis (6) centros logísticos  para la transformación agroindustrial - CARPAZ</t>
  </si>
  <si>
    <t>Centros logísticos creados</t>
  </si>
  <si>
    <t>Brindar un sistema eficiente de prestación de servicios públicos</t>
  </si>
  <si>
    <t>Capacitar seis (6) unidades agro empresariales de jóvenes y mujeres rurales</t>
  </si>
  <si>
    <t>Unidades agro empresariales capacitadas</t>
  </si>
  <si>
    <t>Capacitaciones a los sectores agropecuarios</t>
  </si>
  <si>
    <t>Crear e implementar el Fondo de Financiamiento de Desarrollo Rural - FIDER</t>
  </si>
  <si>
    <t>Fondo de financiamiento creado e implementado</t>
  </si>
  <si>
    <t>0312 - 5 - 3 1 2 2 5 8 177 - 20</t>
  </si>
  <si>
    <t>201663000-0177</t>
  </si>
  <si>
    <t>Creación e implementación del Fondo de Financiamiento de Desarrollo Rural FIDER</t>
  </si>
  <si>
    <t xml:space="preserve">Mejoramiento de las condiciones de acceso al financiamiento de los productores agropecuarios, mediante la creacion de un fondo financiero para el desarrollo rural en el departamento del Quindío.                                               
</t>
  </si>
  <si>
    <t xml:space="preserve">Generación de procesos de  apoyo financiero de facil acceso para desarrolo del sector productivo rural.
</t>
  </si>
  <si>
    <t>Asistencia técnica en la creacion y elaboracion de FIDER</t>
  </si>
  <si>
    <t>Reactivar un instrumento de prevención por eventos naturales para productos agrícolas.</t>
  </si>
  <si>
    <t>Instrumento de prevención por eventos naturales para productos agrícolas reactivado</t>
  </si>
  <si>
    <t>0312 - 5 - 3 1 2 2 5 8 175 - 20</t>
  </si>
  <si>
    <t>0312 - 5 - 3 1 2 2 5 8 175 - 20
0312 - 5 - 3 1 2 2 5 8 175 - 88</t>
  </si>
  <si>
    <t>Implementacion de un instrumento para la Prevención de eventos naturales productos agricolas en e Departamento del Quindio</t>
  </si>
  <si>
    <t>Sostenibilidad de la produccion, mediante estrategias de mitigacion, para contrarrestar eventos y riesgos naturales en el sector agropecuario</t>
  </si>
  <si>
    <t xml:space="preserve">Fortalecimiento de los  programas de prevención en el sector rural, para mejorar la capacidad de respuesta ante inminencia de eventos y riesgos naturales </t>
  </si>
  <si>
    <t>Establecimiento de barreras vivas</t>
  </si>
  <si>
    <t xml:space="preserve">Generación de espacios de articulación institucional en apoyo de asistencia técnica rural ante eventos y riesgos naturales  </t>
  </si>
  <si>
    <t>Acompañamiento técnico y educación ambiental  en prevención en eventos y riesgos naturales</t>
  </si>
  <si>
    <t>Superavit de recurso ordinario</t>
  </si>
  <si>
    <t>Emprendimiento y empleo rural</t>
  </si>
  <si>
    <t>Apoyar la formalización de empresas en cuatro (4)  sectores productivos agropecuarios del Departamento</t>
  </si>
  <si>
    <t>Número de sectores productivos apoyados</t>
  </si>
  <si>
    <t>0312 - 5 - 3 1 2 2 6 13 75 - 20</t>
  </si>
  <si>
    <t>201663000-0075</t>
  </si>
  <si>
    <t xml:space="preserve">Fomento al emprendimiento y  al empleo rural en el Departamento del Quindío  </t>
  </si>
  <si>
    <t xml:space="preserve"> Aumetar crecimiento del PIB del departamento  del Quindio a frente al PIB Nacional</t>
  </si>
  <si>
    <t xml:space="preserve">Apoyar la formalización de empresas en los sectores productivos del Departamento, a través de la identificación, analisis y priorización de los potenciales emprendimientos rurales, con el fin de contribuir a generar condiciones para aumentar producto interno bruto el departamento durante la vigencia 2016 </t>
  </si>
  <si>
    <t>apoyo en la formalización de empresas en los sectores productivos</t>
  </si>
  <si>
    <t>Generar un apalancamiento a 100  iniciativas productivas rurales</t>
  </si>
  <si>
    <t>Número de iniciativas productivas apalancadas</t>
  </si>
  <si>
    <t>Realizar apálancamiento a las iniciativas productivas rurales, a través de procesos de acompañamiento a la consolidación  de ideas de negocio e implementación de garantias complementarias parael  facilitar el acceso a diferentes fuentes financiación con el fin de contribuir a generar condiciones para aumentar producto interno bruto el departamento durante la vigencia 2016</t>
  </si>
  <si>
    <t>Identificacion, caraterizacion de las nuevas iniciativas productivas rurales</t>
  </si>
  <si>
    <t xml:space="preserve">Capacitar mil doscientos (1200)  jóvenes y mujeres rurales en actividades agrícolas y no agrícolas </t>
  </si>
  <si>
    <t>Número de jóvenes y mujeres rurales capacitados</t>
  </si>
  <si>
    <t xml:space="preserve">capacitar a jóvenes y mujeres en actividades agricolas y no agricolas con procesos de seguimiento y evaluación en la generación de ideas y/o consolidación de negocios con el fin de contribuir a generar condiciones para aumentar producto interno bruto el departamento durante la vigencia 2016 </t>
  </si>
  <si>
    <t>Capacitacion a jovenes y mujeres rurales en actividades agricolas y no agricolas.</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</si>
  <si>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</si>
  <si>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</si>
  <si>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 xml:space="preserve">formacion para el trabajo y el desarrollo humano
</t>
  </si>
  <si>
    <t>Impulso a la competitividad productiva y empresarial del sector Rural</t>
  </si>
  <si>
    <t>Apoyar (5) cinco sectores productivos del Departamento en ruedas de negocio</t>
  </si>
  <si>
    <t>0312 - 5 - 3 1 2 2 7 13 78 - 20</t>
  </si>
  <si>
    <t>201663000-0078</t>
  </si>
  <si>
    <t>Fortalecimiento a la competitividad productiva y empresarial del sector rural en el Departamento del Quindio</t>
  </si>
  <si>
    <t xml:space="preserve">Crecimiento del PIB del departamento  del Quindio frente al PIB Nacional                                         
</t>
  </si>
  <si>
    <t xml:space="preserve">Conocimiento de metodos no tradicionales de comercialización </t>
  </si>
  <si>
    <t>Impulsar la competitivdad productiva y empresarial  mediante ruedas de negocio</t>
  </si>
  <si>
    <t>Realizar (3) tres eventos  de capacitación para acceder a mercados internacionales</t>
  </si>
  <si>
    <t>Numero de eventos de capacitación realizados</t>
  </si>
  <si>
    <t xml:space="preserve">Aumentar la divulgación de eventos especializados para acceder a mercados Internacionales </t>
  </si>
  <si>
    <t xml:space="preserve">Capacitar al sector empresarial rural para el acceso a mercados internacionales.
</t>
  </si>
  <si>
    <t>Diseñar e implementar (1) un instrumento de planificación e información rural para la comercialización de productos transables</t>
  </si>
  <si>
    <t>Instrumento de planificación e información diseñado e implementado</t>
  </si>
  <si>
    <t xml:space="preserve">Puesta en marcha de los instrumentos de planificación e información rural
</t>
  </si>
  <si>
    <t xml:space="preserve"> INCLUSION SOCIAL</t>
  </si>
  <si>
    <t>Soberanía, seguridad alimentaria y nutricional</t>
  </si>
  <si>
    <t>Fomento a la Agricultura Familiar Campesina, agricultura urbana y mercados campesinos para la soberanía y  Seguridad alimentaria</t>
  </si>
  <si>
    <t>Diseñar e implementar un (1) programa de agricultura familiar campesina</t>
  </si>
  <si>
    <t>Programa de agricultura familiar campesina diseñado e implementado</t>
  </si>
  <si>
    <t xml:space="preserve">0312 - 5 - 3 1 3 11 34 8 79 - 20
0312 - 5 - 3 1 3 11 34 8 79 - 88                   </t>
  </si>
  <si>
    <t>201663000-0079</t>
  </si>
  <si>
    <t>Fomento a la agricultura familiar , urbana y  mercados campesinos para la soberanía y  Seguridad alimentaria en el Departamento del Quindio.</t>
  </si>
  <si>
    <t>Aumentar la producción de frutas y verduras para el autoconsumo del departamento del Quindío a través de la implementación de un sistema de parcelas campesinas y comercio de excedentes.</t>
  </si>
  <si>
    <t xml:space="preserve">Implementacion del programa de Agricultura Familiar Campesina a traves de acompañamiento tecnico a beneficiarios </t>
  </si>
  <si>
    <t>Apoyar la conformación de cuatro (4) alianzas para contratos de compra anticipada de productos de la agricultura familiar en el departamento del Quindío</t>
  </si>
  <si>
    <t>Numero de alianzas para contratos de compra anticipada apoyados</t>
  </si>
  <si>
    <t>Acompañamiento tecnico a productores agropecuarios en la productividad primaria y alistamiento de la oferta, permitiendo asi la insercion en nuevos mercados locales, regionales y nacionales</t>
  </si>
  <si>
    <t>Sembrar quinientas (500) Ha de productos de la canasta básica familiar para aumentar la disponibilidad de alimentos</t>
  </si>
  <si>
    <t>Número de hectáreas sembradas</t>
  </si>
  <si>
    <t xml:space="preserve">Sembrar 150 Ha de productos de la canasta basica familiar a traves del apoyo en siembras directas y convenios que fortalezcan  la produccion en pequeños y medianos agricultores  
</t>
  </si>
  <si>
    <t>Beneficiar a 2400 familias urbanas y periurbanas con parcelas de agricultura familiar para autoconsumo y comercio de excedentes</t>
  </si>
  <si>
    <t>Numero de familias beneficiadas</t>
  </si>
  <si>
    <t>Acompañamiento a familias urbanas y periurbanas en el establecimiento de parcelas de agricultura familiar</t>
  </si>
  <si>
    <t>Acompañamiento tecnico y logistico en el alistamiento de la oferta productiva de peqeños agricultores en mercados campesinos en los municipios del Departamento del Quindio</t>
  </si>
  <si>
    <t>Mejorar el estado nutricional de 1795 niños menor de 5 años y de 1531 niños de 6 a 18 años  en riesgo de desnutrición en el departamento</t>
  </si>
  <si>
    <t>Numero de población infantil en riesgo con estado nutricional de 0 a 5 años y de 6 a 18 años mejorado</t>
  </si>
  <si>
    <t xml:space="preserve">1795 -  1531 </t>
  </si>
  <si>
    <r>
      <rPr>
        <sz val="12"/>
        <rFont val="Arial"/>
        <family val="2"/>
      </rPr>
      <t xml:space="preserve">Talleres de capacitacion en el mejoramiento de la dieta alimenticia a partir de productos de la canasta basica familiar </t>
    </r>
    <r>
      <rPr>
        <sz val="12"/>
        <color indexed="10"/>
        <rFont val="Arial"/>
        <family val="2"/>
      </rPr>
      <t xml:space="preserve">
</t>
    </r>
  </si>
  <si>
    <t>CARLOS ALBERTO SOTO RAVE</t>
  </si>
  <si>
    <t>SECRETARIO DE AGRICULTURA, DESARROLLO RURAL Y MEDIO AMBIENTE</t>
  </si>
  <si>
    <t>PROGRAMACION PLAN DE ACCIÓN
SECRETARIA DE PLANEACION
II TRIMESTRE 2018</t>
  </si>
  <si>
    <t>Quindío Ejemplar y Legal</t>
  </si>
  <si>
    <t>Realizar en el Departamento y  los doce (12) municipios  del Quindío  procesos de sensibilización, seguimiento  y evaluación en la aplicabilidad de los componentes   del Índice de Transparencia.</t>
  </si>
  <si>
    <t>Número de procesos de seguimiento y evaluación realizados</t>
  </si>
  <si>
    <t>0305 - 5 - 3 1 5 26 83 17 6 - 20</t>
  </si>
  <si>
    <t>201663000-0006</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</si>
  <si>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</si>
  <si>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2018 . </t>
  </si>
  <si>
    <t xml:space="preserve">Realizar  procesos de capacitación, asistencia técnica, seguimiento y evaluación del  Indice de Transparencia a las Secretarias Sectoriales eInstitutos Descentralizados del  Departamento del Quindio,  </t>
  </si>
  <si>
    <t>A. Capacitación asistencia tecnica, seguimiento y evaluacion  indice de transparencia  administración departamental e institutos descentralizados (promotora de vivienda, idtq  e indeportes)   * (Bienes y Servicios)</t>
  </si>
  <si>
    <t>José Ignacio Rojas Sepúlveda
Secretario Departamental de Planeación</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</si>
  <si>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2018 . </t>
  </si>
  <si>
    <t>B. Capacitación asistencia técnica, seguimiento y evaluación  índice de transparencia   entes territoriales departamentales</t>
  </si>
  <si>
    <t>1.  Análisis histórico y socialización   índices de gobierno abierto IGA  e índice de transparencia departamento  del Quindío</t>
  </si>
  <si>
    <t>2. Diagnóstico implementación Ley 1712 de 2012  municipios del departamento del Quindío</t>
  </si>
  <si>
    <t>3. Asistencia técnica  implementación  componentes Ley 1712 de 2012</t>
  </si>
  <si>
    <t>4.  Seguimiento y evaluación y socialización  implementación y operatividad componentes índice de transparencia</t>
  </si>
  <si>
    <t xml:space="preserve">Socializacion informes  seguimiento </t>
  </si>
  <si>
    <t xml:space="preserve">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2018 .   
</t>
  </si>
  <si>
    <t>C. Capacitación temas de interés</t>
  </si>
  <si>
    <t xml:space="preserve">Capacitación </t>
  </si>
  <si>
    <t>D. Logística</t>
  </si>
  <si>
    <t xml:space="preserve">Refrigerios </t>
  </si>
  <si>
    <t>Veedurías y Rendición de Cuentas</t>
  </si>
  <si>
    <t xml:space="preserve">Realizar  doce (12) procesos de Rendición Publica de Cuentas Departamentales en entes territoriales municipales. </t>
  </si>
  <si>
    <t>Número de procesos de Rendición de Cuentas en los municipios realizadas</t>
  </si>
  <si>
    <t>0305 - 5 - 3 1 5 26 84 17 15 - 20</t>
  </si>
  <si>
    <t>201663000-0015</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</si>
  <si>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</si>
  <si>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2017   y la preparación recolección y  consolidación del informe de la vigencia 2017, con el fin de divulgar a la comunidad de los resultados de la ejecutorias generando en la Administraciòn la cultura de la Rendiciòn Pùblica de Cuentas durante la vigencia 2018.
</t>
  </si>
  <si>
    <t xml:space="preserve">Realizar el video de las ejecutorias de la Administración Departamental vigencia 2017 por ejes estratégicos, buscando aumentar el promedio de la participación ciudadana en los procesos de elección popular en el Departamento del Quindío durante la vigencia 2018. 
</t>
  </si>
  <si>
    <t>Estrategia de Desarrollo Sostenible</t>
  </si>
  <si>
    <t>Recursos Ordinarios.</t>
  </si>
  <si>
    <t>Estrategia de Prosperidad con Equidad</t>
  </si>
  <si>
    <t>Estrategia de Inclusion Social</t>
  </si>
  <si>
    <t>Estrategia de Seguridad Humana</t>
  </si>
  <si>
    <t>Estrategia de Buen Gobierno</t>
  </si>
  <si>
    <t xml:space="preserve">Realizar un periodico informativo de las ejecutorias de la Administración Departamental vigencia 2017 por ejes estratégicos, buscando aumentar el promedio de la participación ciudadana en los procesos de elección popular en el Departamento del Quindío durante la vigencia 2018. 
</t>
  </si>
  <si>
    <t>Diseño y edición periódico ejecutorias Administración  Departamental 2017</t>
  </si>
  <si>
    <t xml:space="preserve">  Realizar  eventos de Rendición Pública de Cuentas en los doce entes Territoriales del Departamento , de las ejecutorias de la Administración Departamental vigencia 2017 por ejes estratégicos, buscando aumentar el promedio de la participación ciudadana en los procesos de elección popular en el Departamento del Quindío durante la vigencia 2018. 
</t>
  </si>
  <si>
    <t xml:space="preserve">Sonido </t>
  </si>
  <si>
    <t>Poder Ciudadano</t>
  </si>
  <si>
    <t>Quindío si a la participación</t>
  </si>
  <si>
    <t xml:space="preserve">Fortalecer  técnica y logísticamente al  Consejo Territorial de Planeación  Departamental  </t>
  </si>
  <si>
    <t>Consejo Territorial de Planeación fortalecido</t>
  </si>
  <si>
    <t>0305 - 5 - 3 1 5 27 85 16 7 - 20</t>
  </si>
  <si>
    <t>201663000-0007</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</si>
  <si>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</si>
  <si>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2018.   
</t>
  </si>
  <si>
    <t xml:space="preserve">Apoyar la participación de los integrantes del consejo territorial a congresos y eventos nacionales regionales y departamentales, en el Departamento del Quindio, durante la vigencia 2018 </t>
  </si>
  <si>
    <t>1.1 Sesiones itinerantes - Servicio de transporte Suministro de almuerzos en los doce municipios del Quindío, durante las sesiones descentralizadas.</t>
  </si>
  <si>
    <t xml:space="preserve">1.2. XII Encuentro CTP, traslados de ida y vuelta Suministro de alimentación en el municipio sede, Servicio de alojamiento </t>
  </si>
  <si>
    <t xml:space="preserve">1.3.XXII Congreso del Sistema Nacional de Planeación, traslado de ida y vuelta en transporte aéreo.   suministro de alimentación servicio de alojamiento </t>
  </si>
  <si>
    <t>1.4. Asistencia de los Consejeros a Foros regionales de participación ciudadana y estratégicos, incluye:  Traslados aéreos, terrestres e internos, alojamiento y alimentación.</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</si>
  <si>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2018.  
</t>
  </si>
  <si>
    <t xml:space="preserve">3.1 Comunicaciones externas de interes público, a traves de medios radiales, prensa y televisivos. </t>
  </si>
  <si>
    <t>3.3. Suministro de material litografico, papeleria, impresos y publicaciones, entre otros</t>
  </si>
  <si>
    <t xml:space="preserve">Aumentar los  espacios para capacitación orientados en planificación del territorio Quindiano a través de diplomado o Escuela de liderazgo en ordenamiento territorial en el Departamento del Quindio, durante la vigencia 2018. 
</t>
  </si>
  <si>
    <t>4. 1.  Realización Diplomado  para los Consejeros Territoriales del Departamento</t>
  </si>
  <si>
    <t>4.2. Diseñar y elaborar el Contenido Programatico de la Escuela de Liderazgo y Planeación participativa</t>
  </si>
  <si>
    <t xml:space="preserve">Los instrumentos  de planificación como  ruta para el cumplimiento de la gestión pública  </t>
  </si>
  <si>
    <t>Diseñar e implementar el Plan de Ordenamiento del Departamento del Quindio.</t>
  </si>
  <si>
    <t>Plan diseñado e implementado</t>
  </si>
  <si>
    <t>0305 - 5 - 3 1 5 28 87 17 9 - 20
0305 - 5 - 3 1 5 28 87 17 9 - 88</t>
  </si>
  <si>
    <t>201663000-0009</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</si>
  <si>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</si>
  <si>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</si>
  <si>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</si>
  <si>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Alistamiento para implementar y diagnosticar los ejes y directrices del plan d eordenamiento departamental POD</t>
  </si>
  <si>
    <t>Actualizacion permanente de las determinantes del POD</t>
  </si>
  <si>
    <t>Puesta en marcha del proceso contractual de implementacion del POD</t>
  </si>
  <si>
    <t>Diseñar e implementar Un (1) Sistema de Información geo referenciado para el ordenamiento social  y económico del territorio rural</t>
  </si>
  <si>
    <t>Sistema de información geo referenciado diseñado e implementado</t>
  </si>
  <si>
    <t>Diseñar e implementar un  Sistema de Información geo referenciado para el ordenamiento social  y económico del territorio rural</t>
  </si>
  <si>
    <t>Mantener y actualizar los componentes del sig institucional</t>
  </si>
  <si>
    <t>Actualizacion de Licencias y Software del sig institucional</t>
  </si>
  <si>
    <t xml:space="preserve">Actualizar y fortalecer  las directrices   del Modelo de Ocupación del Territorio   en el Departamento del Quindío </t>
  </si>
  <si>
    <t>Modelo de Ocupación del Territorio actualizado y fortalecido</t>
  </si>
  <si>
    <t>Actualizar y fortalecer  las directrices   del Modelo de Ocupación del Territorio   en el Departamento del Quindío</t>
  </si>
  <si>
    <t>Actualizar las Directrices MOD como insumo fundamental del POD</t>
  </si>
  <si>
    <t xml:space="preserve">Fortalecer el  Sistema de Información Geográfica del Departamento del Quindío  </t>
  </si>
  <si>
    <t>Sistema de información geográfica fortalecida</t>
  </si>
  <si>
    <t xml:space="preserve">Fortalecer el  Sistema de Información Geográfica del Departamento del Quindío </t>
  </si>
  <si>
    <t>fortalecimeinto de la Plataforma SIG Quindio.</t>
  </si>
  <si>
    <t>Adoptar dos (2) mecanismo de integracion regional  y  de asociatividad  entre los municipios.</t>
  </si>
  <si>
    <t>Mecanismo de integración adoptado</t>
  </si>
  <si>
    <t xml:space="preserve">Adoptar dos (2) mecanismos de integracion regional  y  de asociatividad  entre los municipios.
</t>
  </si>
  <si>
    <t>Implementacion de procesos de asociatividad mas favorables en el Departamento</t>
  </si>
  <si>
    <t>Apoyo actos constitutivos y mesas tecnicas RAP EJE CAFETERO</t>
  </si>
  <si>
    <t>Reorientar+K73:Q79 el observatorio económico actual, a un enfoque de Desarrollo humano incluyente con variables sociales, económicas y de seguridad humana</t>
  </si>
  <si>
    <t>Observatorio economico reorientado</t>
  </si>
  <si>
    <t>0305 - 5 - 3 1 5 28 87 17 10 - 20
0305 - 5 - 3 1 5 28 87 17 10 - 88</t>
  </si>
  <si>
    <t>201663000-0010</t>
  </si>
  <si>
    <t>Diseño e implementación del Observatorio de Desarrollo Humano en el departamento del Quindío</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</si>
  <si>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</si>
  <si>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2018
</t>
  </si>
  <si>
    <t>Actualización de los instrumentos (Anuario Estadístico, Carta Estadística, Indicadores) de identificación, validación y cálculo de indicadores del observatorio departamental  contenidos en las dos áreas temáticas abordadas (Social y económica) para los 17 sectores priorizados en la vigencia 2017.</t>
  </si>
  <si>
    <t>Recursos Ordinarios
Superavit ordinario</t>
  </si>
  <si>
    <t>José Iganacio Rojas Sepúlveda
Secretario Departamental de Planeación</t>
  </si>
  <si>
    <t>Análisis de la información recolectada para la actualización y generación de los  boletines trimestrales (4), el informe anual del departamento (1) y los demás análisis requeridos correspondientes a la vigencia 2017 (1 Informe de Empleo)</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</si>
  <si>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2018</t>
  </si>
  <si>
    <t>Fortalecer el seguimiento a los problemas identificados en el departamento con relacion a los ODS para la ultima vigencia de analisis</t>
  </si>
  <si>
    <t>Apoyo en la implementación del sistema de consulta del Observatorio de Desarrollo Humano a partir de la compra de un equipo de computo con su respectiva licencia de funcionamiento</t>
  </si>
  <si>
    <t xml:space="preserve">Apoyo en la recolección y procesamiento de bases y datos estadísticos para la estructuración del sistema de información </t>
  </si>
  <si>
    <t>Apoyo en la asistencia y revisión de las Fichas Básicas Municipales</t>
  </si>
  <si>
    <t xml:space="preserve"> Impresos, diseños, visualizaciones</t>
  </si>
  <si>
    <t>Diseñar e implementar el tablero de control  para el seguimiento y evaluación del Plan de Desarrollo  y   políticas públicas  Departamentales</t>
  </si>
  <si>
    <t>Tablero de control diseñado e implementado</t>
  </si>
  <si>
    <t>0305 - 5 - 3 1 5 28 87 17 11 - 20
0305 - 5 - 3 1 5 28 87 17 11 - 88</t>
  </si>
  <si>
    <t>201663000-0011</t>
  </si>
  <si>
    <t>Diseño  e implementación del Tablero de Control  para el seguimiento y evalución del Plan de Desarrollo y las Políticas Públicas del  Departamento del Quindio.</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</si>
  <si>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</si>
  <si>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las políticas públicas por periodo administrativo 2016-2019, con el fin de fortalecer los procesos de planificación del departamento y mejorar los indices de eficacia y eficiencia de la inversión social   
</t>
  </si>
  <si>
    <t xml:space="preserve">1.1. Identificación   de metas estratégicas por parte del gobierno departamental a diciembre 31 de 2018
</t>
  </si>
  <si>
    <t xml:space="preserve">Recursos Ordinarios
Superavit Recurso Ordinario
</t>
  </si>
  <si>
    <t>1.2.  caracterización de las metas estrategicas por parte del Gobierno Departamental a Diciembre 31  de 2018</t>
  </si>
  <si>
    <t>2.1. Convocar, coordinar y direccionar las mesas de trabajo que harán seguimiento a las metas estratégicas, de acuerdo con los temas relacionados con su gestión</t>
  </si>
  <si>
    <t>2.2. Elaboración de cronogramas de actividades en las mesas de trabajo por parte de los equipos tecnicos para el seguimiento de las metas estrategicas</t>
  </si>
  <si>
    <t>2.3. Identificación de la ruta critica de gestion para cada una de las metas estrategicas</t>
  </si>
  <si>
    <t xml:space="preserve">2.4 Establecimiento de los indicadores de gestión para cada una de las metas estratégicas </t>
  </si>
  <si>
    <t>2.5  Revisar periódicamente los avances en el cumplimiento de las metas 2017-2018 por parte de las mesas que, en cualquier caso, contarán con la representación de los equipos jurídicos, administrativos, técnicos (de acuerdo a la meta correspondiente) y de comunicaciones</t>
  </si>
  <si>
    <t>2.6  Reportar al gobernador el avance que las mesas de trabajo han tenido en el cumplimiento de las metas estratégicas a 2017-2018</t>
  </si>
  <si>
    <t>2.7   Acompañamiento en las reuniones que cite el señor Gobernador para el seguimiento de metas estratégicas</t>
  </si>
  <si>
    <t>Otros Gastos Implementación Tablero de Control</t>
  </si>
  <si>
    <t>2.8  Reportar al consejo de gobierno los resultados de las mesas y el análisis de los avances que se han realizado por parte de la administración en el cumplimiento de cada una de las metas definidas para 2017-2018</t>
  </si>
  <si>
    <t>ALVARO ARIAS YOUNG</t>
  </si>
  <si>
    <t xml:space="preserve">Diseñar e implementar la  Fábrica de Proyectos de Inversión en el Departamento del Quindío </t>
  </si>
  <si>
    <t>Fábrica de Proyectos de Inversión diseñada e implementada</t>
  </si>
  <si>
    <t xml:space="preserve">0305 - 5 - 3 1 5 28 87 17 12 - 20
0305 - 5 - 3 1 5 28 87 17 12 - 88
</t>
  </si>
  <si>
    <t>201663000-0012</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</si>
  <si>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</si>
  <si>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</si>
  <si>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nacionales, a través del SGR e Internacional para el apoyo de alternativas regionales</t>
  </si>
  <si>
    <t>Capacitación formulación proyectos Sistema General de Regalias  SGR (Matriz  de Marco Lógico ; Metodología General Ajustada  y  requisitos generales para la viabilización  de proyectos)</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</si>
  <si>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</si>
  <si>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Asistencia Técnica  formulación Metodología General Ajustada MGA, gestión de insumos para el cumplimiento de requisitos mínimos,  revisión  de proyectos componente   Económico, Social y Ambiental</t>
  </si>
  <si>
    <t>Asistencia Técnica  componentes Económico, Social y Ambiental</t>
  </si>
  <si>
    <t xml:space="preserve">Asistencia Tecnica componente  de Ingenieria y/o Arquitectura </t>
  </si>
  <si>
    <t>Asistencia Técnica en la formulación y estructuración de  proyectos del orden Departamental, Regional, Nacional e Internacional, en  la Metodología requerida implementadas para tal efecto.</t>
  </si>
  <si>
    <t>Apoyo en la formulación y estructuración de programas y proyectos de Cooperación Internacional, en las metodologias requeridas, a través de la casa Delegada</t>
  </si>
  <si>
    <t xml:space="preserve">Apoyar las acciones para la  identificacion de la oferta de proyectos de cooperación internacional, a través de la casa Delegada </t>
  </si>
  <si>
    <t>Desarrollo de estrategias de Promoción de los planes, programas y proyectos del  Departamento del Quindío, a través de la casa Delegada</t>
  </si>
  <si>
    <t>Fortalecer el Monitoreo, control y seguimietno de los proyectos de inversión en tiempo real</t>
  </si>
  <si>
    <t xml:space="preserve">Seguimiento y evaluación ejecución  proyectos de inversión Sistema General de Regalias </t>
  </si>
  <si>
    <t>Socialización de Informes a las unidades ejecutoras</t>
  </si>
  <si>
    <t>Realización mesas técnicas con las unidades ejecutoras</t>
  </si>
  <si>
    <t>Brindar apoyo técnico integral o interdisciplinario a las Secretarias de la Gobernación del Quindío y a los entes territoriales en la identificación y formulación  de Proyectos en el marco de la Metodología General Ajustada, Marco Lógico y otras</t>
  </si>
  <si>
    <t>Apoyo a la formulación, estructuración, ajustes y Actualización  de proyectos de Inversión vigencias  2018 y 2019, en su marco logico y a través de la Herramienta MGA WEB .   b) Apoyo a los procesos de control y seguimiento a la inversión pública del Departamento.  c) Apoyo a los trámites de rendición de informes</t>
  </si>
  <si>
    <t xml:space="preserve">Estudios de preinversión  Departamento del Quindio </t>
  </si>
  <si>
    <t xml:space="preserve">Actualizar el Sistema Integrado de Gestión Administrativa SIGA del departamento del Quindío </t>
  </si>
  <si>
    <t>Sistema Integrado de Gestión actualizado</t>
  </si>
  <si>
    <t>0305 - 5 - 3 1 5 28 87 17 13 - 20</t>
  </si>
  <si>
    <t>201663000-0013</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</si>
  <si>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</si>
  <si>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2018
 </t>
  </si>
  <si>
    <t xml:space="preserve">Actualizar  y ajustar los procesos  Estrategicos,  Misionales de apoyo y evaluación y control del Sistema Integrado de  Gestión Administrativa del Departamento del Quindio.
</t>
  </si>
  <si>
    <t>1. Ajuste y actualización  procedimiento procesos  Sistema Integrado de Gestión Administrativa</t>
  </si>
  <si>
    <t>2. Ajuste  y actualización contexto estratégico  Sistema Integrado de Gestión Administrativa  (misión. visión  y matriz DOFFA)</t>
  </si>
  <si>
    <t>3. Ajuste y actualización  manual de calidad departamento del Quindío</t>
  </si>
  <si>
    <t xml:space="preserve">3.1     Politica de Calidad </t>
  </si>
  <si>
    <t xml:space="preserve">3.2 Objetivos de Calidad </t>
  </si>
  <si>
    <t xml:space="preserve">3.3 Indicadores de  Calidad </t>
  </si>
  <si>
    <t xml:space="preserve">3.4    Listado Maestro de Normograma </t>
  </si>
  <si>
    <t xml:space="preserve">3.5  Servicio No Conforme </t>
  </si>
  <si>
    <t xml:space="preserve">3.6  Listado de Maestros Internos  </t>
  </si>
  <si>
    <t xml:space="preserve">3.7  Listado de Maestros Externos </t>
  </si>
  <si>
    <t xml:space="preserve">3.8 Listado de Maestros de Registros </t>
  </si>
  <si>
    <t xml:space="preserve">3.9  Interelaciones de procesos </t>
  </si>
  <si>
    <t xml:space="preserve">3.10. Matriz Plan de Comunicaciones </t>
  </si>
  <si>
    <t xml:space="preserve">3.11 Socialización Comité Coordinador Sistema Integrado de Gestión Admnistrativa </t>
  </si>
  <si>
    <t xml:space="preserve">3.12 Estructuración Manual de Calidad </t>
  </si>
  <si>
    <t xml:space="preserve">Capacitar a los funcionarios de la Administración departamental  en la operatividad del Sistema Integrado de la Gestión Administrativa  del Departamento del Quindio, con el fin de aumentar los indices de eficiencia y efiacia </t>
  </si>
  <si>
    <t xml:space="preserve">4.  Socialización  Ajuste y Actualización Contexto Estrategico Manual de Calidad Secretarias de Despacho </t>
  </si>
  <si>
    <t xml:space="preserve">Implementar el Comité  de Planificación  Departamental   </t>
  </si>
  <si>
    <t>Comité de Planificación Departamental implementado</t>
  </si>
  <si>
    <t>0305 - 5 - 3 1 5 28 87 17 14 - 20
0305 - 5 - 3 1 5 28 87 17 14 - 88</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</si>
  <si>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</si>
  <si>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</si>
  <si>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2018 . 
</t>
  </si>
  <si>
    <t xml:space="preserve">Implementar el Comite Departamental de Planificación , con el fin de articular  procesos  que coadyuven al desarrollo economco y social del departamento del quindio de manera planificada durante la vigencia 2018 
</t>
  </si>
  <si>
    <t>Activar los comites de Planificación  descentralizados en los municipios del departamento mediante capacitaciones y talleres</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</si>
  <si>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</si>
  <si>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</si>
  <si>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2018</t>
  </si>
  <si>
    <t xml:space="preserve">Asistencia técnica, seguimiento y/o evaluación Planes Básicos de Ordenamiento Territorial  </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</si>
  <si>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</si>
  <si>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</si>
  <si>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Asistencia técnica, seguimiento y/o evaluación  Ranking Integral de Desempeño, Identificación de incosistencias del FUT, Evaluación de requisitos legales, viabilidad fiscal.</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</si>
  <si>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</si>
  <si>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</si>
  <si>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Capacitación , Asistencia técnica, seguimiento y evaluación  instrumentos de planificación a los doce municipios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</si>
  <si>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</si>
  <si>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Asistencia técnica en la operatividad del Sistema de Selección de Beneficiarios SISBEN III en los doce municipios del Departamento del Quindío:  </t>
  </si>
  <si>
    <t xml:space="preserve">Implementar en doce (12) municipios del Departamento del Quindío procesos de  sensibilización, capacitación, asistencia técnica, seguimiento  y evaluación  en la aplicabilidad   de las políticas públicas </t>
  </si>
  <si>
    <t xml:space="preserve">Capacitación , Asistencia técnica, seguimiento y/o evaluación Politicas Públicas  </t>
  </si>
  <si>
    <t xml:space="preserve">Implementar en doce (12) municipios del Departamento del Quindío  procesos  de capacitación,  asistencia técnica, seguimiento  y evaluación  en la aplicabilidad   de la Estratificación Socioeconómica </t>
  </si>
  <si>
    <t>Capacitación , Asistencia técnica, seguimiento y/o evaluación Estratificación Socioeconómica</t>
  </si>
  <si>
    <t xml:space="preserve">Implementar en doce (12) municipios del departamento del Quindío procesos de capacitación  en  la Metodología General Ajustada  MGA </t>
  </si>
  <si>
    <t>Capacitación , Asistencia técnica, seguimiento y/o evaluación Metodologia General Ajustada</t>
  </si>
  <si>
    <t xml:space="preserve">Realizar procesos  de asistencia técnica, seguimiento y evaluacion  en la incorporación  de  las directrices del  Modelo de Ocupación del Territorio en los doce (12) Municipios </t>
  </si>
  <si>
    <t>Entes territoriales municipales asistidos</t>
  </si>
  <si>
    <t xml:space="preserve">Capacitación, asistencia técnica, seguimiento y/o evaluación incorporación Modelo de Ocupación del Territorio en los doce municipios </t>
  </si>
  <si>
    <t>JOSE IGNACIO ROJAS SEPULVEDA</t>
  </si>
  <si>
    <t xml:space="preserve">SECRETARIO DE PLANEACION DEPARTAMENTAL </t>
  </si>
  <si>
    <t>PROGRAMACIÓN PLAN DE ACCIÓN
SECRETARIA REPRESENTACION JUDICIAL
II TRIMESTRE 2018</t>
  </si>
  <si>
    <t xml:space="preserve">TOTAL </t>
  </si>
  <si>
    <t>Establecer y socializar veinte (20)  políticas desde la cultura de la legalidad y  la prevención de daño antijurídico en  el Departamento.</t>
  </si>
  <si>
    <t>Número muncipios con políticas establecidas</t>
  </si>
  <si>
    <t>0317 - 5 - 3 1 5 26 83 17 131 - 20</t>
  </si>
  <si>
    <t>201663000-0131</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</si>
  <si>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</si>
  <si>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</si>
  <si>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</si>
  <si>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</si>
  <si>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Ordinario</t>
  </si>
  <si>
    <t>Secretario de Representación Judicial y Defensa del Departamento</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</si>
  <si>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</si>
  <si>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</si>
  <si>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</si>
  <si>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</si>
  <si>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</si>
  <si>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PROGRAMACION PLAN DE ACCIÓN
SECRETARIA DE EDUCACION
II TRIMESTRE 2018</t>
  </si>
  <si>
    <t>CÓDIGO</t>
  </si>
  <si>
    <t>Cobertura Educativa</t>
  </si>
  <si>
    <t>Acceso y Pemanencia</t>
  </si>
  <si>
    <t>Implementar un (1) plan, programa y/o proyecto para el acceso de niños, niñas y jóvenes en las instituciones educativas</t>
  </si>
  <si>
    <t>Número de planes, programas y/o proyectos implementados</t>
  </si>
  <si>
    <t>0314 - 5 - 3 1 3 5 16 1 84 - 20</t>
  </si>
  <si>
    <t>201663000-0084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</si>
  <si>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</si>
  <si>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</si>
  <si>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</si>
  <si>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Servicio de Aseo y  Vigilancia para las Instituciones Educativas Oficiales y sus sedes educativas del Departamento del Quindio</t>
  </si>
  <si>
    <t xml:space="preserve">35
20
134
88
81
137
81
</t>
  </si>
  <si>
    <t>Recurso Monopolio
Recurso Ordinario
Material de rio
Superavit Ordinario
 Educación PAE 
 Superavit PAE  
Superavit Monopolio</t>
  </si>
  <si>
    <t xml:space="preserve">
Secretario de Educación Departamental</t>
  </si>
  <si>
    <t>0314 - 5 - 3 1 3 5 16 1 84 - 35</t>
  </si>
  <si>
    <t>0314 - 5 - 3 1 3 5 16 1 84 - 88</t>
  </si>
  <si>
    <t>Implementar el Programa de Alimentación Escolar (PAE) en el departamento del Quindío</t>
  </si>
  <si>
    <t>Programa PAE implementado</t>
  </si>
  <si>
    <t>0314 - 5 - 3 1 3 5 16 1 84 - 91</t>
  </si>
  <si>
    <t xml:space="preserve">Implementar un programa de alimentacion escolar para las Instituciones educativas del departamento del Quindio, con el fin de  disminuir los indices de deserciòn escolar  durante la vigencia 2017
</t>
  </si>
  <si>
    <t xml:space="preserve">Suministro de alimientación escolar para la jornada regular y unica par los niños, niñas, adolescentes  y jóvenes escolarizados con matricula oficial en las Instituciones Educativas </t>
  </si>
  <si>
    <t>1404 - 5 - 3 1 3 5 16 1 84 - 137</t>
  </si>
  <si>
    <t>Contratación Equipo, para el acompañamiento, seguimiento y verificación de la ejecucion del PAE</t>
  </si>
  <si>
    <t>Implementar el programa de transporte escolar en el departamento del Quindio</t>
  </si>
  <si>
    <t>Programa de transporte escolar implementado</t>
  </si>
  <si>
    <t>1404 - 5 - 3 1 3 5 16 1 84 - 134</t>
  </si>
  <si>
    <t>Garantizar el transporte escolar a los niños, niñas, jóvenes y adolescentes de la zona rural de los 11 municipios no certificados del Departamento del Quindío para disminuir las distancias de desplazamiento y garantizar el acceso al sistema educativo.</t>
  </si>
  <si>
    <t>Transferencia de recursos  a los Municipios, para la cofinanciación del servicio de transporte a los alumnos de básica y media que habiten en los corregimientos y veredas, que granaticen la permanencia en el sistema educativo 
Municipios Transporte</t>
  </si>
  <si>
    <t>1404 - 5 - 3 1 3 5 16 1 84 - 81</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</si>
  <si>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</si>
  <si>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</si>
  <si>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</si>
  <si>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xml:space="preserve"> 0314 - 5 - 3 1 3 5 17 1 86 - 20
1404 - 5 - 3 1 3 5 17 1 86 - 25</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</si>
  <si>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</si>
  <si>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</si>
  <si>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</si>
  <si>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</si>
  <si>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Logística (papeleria, afiches, volantes, folletos, pendones, entre otras), para el desarrollo de actividades  educativas de la poblacion adulta del departamento</t>
  </si>
  <si>
    <t>Diseñar e implementar una estrategia que permita disminuir la tasa de analfabetismo en los municipios del Departamento del Quindío</t>
  </si>
  <si>
    <t xml:space="preserve">Estrategia diseñada e  implementada </t>
  </si>
  <si>
    <t>Promoción desarrollo del programa de alfabetización y  educación  poblacion adulta del departamento</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</si>
  <si>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</si>
  <si>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</si>
  <si>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Personal de apoyo educativo,  para población étnica, afrodescendientes e indigenas,</t>
  </si>
  <si>
    <t>Adquisición implementos artísticos, para el fortalecimeinto de la cultura de la población étnica, afrodescendientes e indigenas, en el Departamento</t>
  </si>
  <si>
    <t xml:space="preserve">Atender dos mil quinientos setenta estudiantes (2570) en condición de población  victima del conflicto, residentes en el departamento del Quindío </t>
  </si>
  <si>
    <t xml:space="preserve">Número de estudiantes  pertenecientes a la población victima del conflicto atendidos </t>
  </si>
  <si>
    <t>Personal de apoyo educativo, para población  víctima del conflicto en el Departamento</t>
  </si>
  <si>
    <t>SGP Educacion</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</si>
  <si>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</si>
  <si>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</si>
  <si>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Personal de apoyo educativo,  para la población  con situación penal, iletrados, menores trabajadores  en el Departamento</t>
  </si>
  <si>
    <t>Diseñar e implementar un plan para la caracterización y atención de la población en condiciones especiales y excepcionales del departa</t>
  </si>
  <si>
    <t>Desarrollo de actividades de apoyo pedagógico, estudiantes con discapacidad, capacidades o con talentos excepcionales</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</si>
  <si>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</si>
  <si>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</si>
  <si>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1402 - 5 - 3 1 3 5 18 1 87 - 25
1402 - 5 - 3 1 3 5 18 1 87 - 26
1402 - 5 - 3 1 3 5 18 1 87 -146
1402 - 5 - 3 1 3 5 18 1 87 - 9
1403 - 5 - 3 1 3 5 18 1 87 - 25
1403 - 5 - 3 1 3 5 18 1 87 - 26</t>
  </si>
  <si>
    <t>201663000-0087</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</si>
  <si>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</si>
  <si>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</si>
  <si>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</si>
  <si>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Gastos de personal,  generales, transferencias de la Planta Docente, Directivos Docentes y  personal administrativo de las Instituciones Educativas del Departamento.</t>
  </si>
  <si>
    <t xml:space="preserve">25
26
09
146
</t>
  </si>
  <si>
    <t>SGP
SGP</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</si>
  <si>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</si>
  <si>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</si>
  <si>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</si>
  <si>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</si>
  <si>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201663000-0089</t>
  </si>
  <si>
    <t xml:space="preserve">Implementación de  estrategias para el mejoramiento continuo del indice sintetico de calidad educativa en los niveles de básica primaria, básica secundaria y nivel de media en el Departamento del Quindio 
</t>
  </si>
  <si>
    <t xml:space="preserve">iImplementación de estrategias para el mejoramiento del  índice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</si>
  <si>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</si>
  <si>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</si>
  <si>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20
88</t>
  </si>
  <si>
    <t>Recurso Ordinario
Superavit Ordinario</t>
  </si>
  <si>
    <t>Secretario de Educación Departamental</t>
  </si>
  <si>
    <t>Capacitar a mil doscientos (1.200) docentes en estrategias para el mejoramiento del ISCE en el Departamento del Quindío</t>
  </si>
  <si>
    <t>Número de docentes capacitados</t>
  </si>
  <si>
    <t xml:space="preserve">0314 - 5 - 3 1 3 6 19 1 89 - 20
0314 - 5 - 3 1 3 6 19 1 89 - 88
</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</si>
  <si>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</si>
  <si>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</si>
  <si>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Beneficiar a ochenta (80) docentes  con becas de posgrado</t>
  </si>
  <si>
    <t xml:space="preserve">Número de docentes beneficiados </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</si>
  <si>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</si>
  <si>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</si>
  <si>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</si>
  <si>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Número de Instituciones Ediucatrivas participando  en el Progrma PTA</t>
  </si>
  <si>
    <t xml:space="preserve">Gestionar con el Ministerio de Educación nacional para la focalización  de nuevas instituciones educativas del departamento del quindío con el programa todos a aprender  </t>
  </si>
  <si>
    <t>Brindar apoyo a las instituciones educativas focalizadas, para la Formación  del Programa Todos a Aprender</t>
  </si>
  <si>
    <t>Brindar acompañamiento a doscientos treinta (230) docentes con  tutores PTA</t>
  </si>
  <si>
    <t>Número de docentes acompañados de tutores PTA</t>
  </si>
  <si>
    <t xml:space="preserve">Brindar acompañamiento a docentes de instituciones educativas del departamento del quindío con tutores del programa todos a  aprender  </t>
  </si>
  <si>
    <t>Brindar acompañamiento a los docentes con tutores,  para la Formación  del Programa Todos a Aprender</t>
  </si>
  <si>
    <t>Beneficiar a 4.700  estudiantes con el  Programas Todos  a Aprender</t>
  </si>
  <si>
    <t>Número de estudiantes beneficiados con el PTA</t>
  </si>
  <si>
    <t>Beneficiar a estudiantes de instituciones Educativas del departamento del quindío con el  Programa Todos  a Aprender</t>
  </si>
  <si>
    <t>Beneficiar a estudiantes de instituciones Educativas del departamento,  con el  Programa Todos  a Aprender</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</si>
  <si>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</si>
  <si>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</si>
  <si>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Capacitación y Lógistica, para el  mejoramiento  del  índice sintético de calidad educativa (ISCE) en el nivel de básica secundaria.</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</si>
  <si>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</si>
  <si>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</si>
  <si>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Capacitación y Lógistica, para el  mejoramiento  del  índice sintético de calidad educativa (ISCE) en el nivel de básica media</t>
  </si>
  <si>
    <t>Educación, Ambientes Escolares y Cultura para la Paz</t>
  </si>
  <si>
    <t xml:space="preserve">Fortalecer cincuenta y cuatro (54) comités de convivencia escolar de las instituciones educativas </t>
  </si>
  <si>
    <t>Numero de comités fortalecidos</t>
  </si>
  <si>
    <t>201663000-0090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</si>
  <si>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</si>
  <si>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</si>
  <si>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</si>
  <si>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Apoyo para el fortalecimiento de los Comités de Convivencia Escolar</t>
  </si>
  <si>
    <t xml:space="preserve">20
88
25 </t>
  </si>
  <si>
    <t>Recurso Ordinario
Supéravit Ordinario
SGP Educación</t>
  </si>
  <si>
    <t>Diseñar y ejecutar treinta (30)  proyectos educativos institucionales resignificados en el contexto de la paz y la jornada única</t>
  </si>
  <si>
    <t>Proyectos educativos institucionales diseñados y ejecutados</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</si>
  <si>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</si>
  <si>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</si>
  <si>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</si>
  <si>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Numero de instituciones con estrategia de escuela de padres diseñada e implementada</t>
  </si>
  <si>
    <t>Diseñar e implementar la estrategia Escuela de Padres</t>
  </si>
  <si>
    <t xml:space="preserve">Acompañamiento a la instituciones educativas  para la implementación de la escuela de padres </t>
  </si>
  <si>
    <t>Conformar y dotar   grupos culturales y artísticos en treinta (30)  instituciones educativas con  protagonismo en cada uno de los municipios</t>
  </si>
  <si>
    <t>Número de instituciones educativas con grupos conformados y dotados</t>
  </si>
  <si>
    <t>Conformar y dotar grupos culturales artísticos en instituciones educativas</t>
  </si>
  <si>
    <t>Adquisición  de Instrumentos Músicales para el apoyo a los Grupos culturales y  Artísticos de las Instituciones Educativas</t>
  </si>
  <si>
    <t>Implementar el proyecto PRAE en treinta y seis (36)  instituciones educativas del departamento</t>
  </si>
  <si>
    <t>Número de instituciones educativas con PRAE implementado</t>
  </si>
  <si>
    <t>Implementar el proyecto PRAE en instituciones educativas del departamento</t>
  </si>
  <si>
    <t>Apoyo  para la Implementación  del proyecto PRAE en treinta y seis (36)  instituciones educativas del departamento</t>
  </si>
  <si>
    <t>0314 - 5 - 3 1 3 6 20 1 90 - 20</t>
  </si>
  <si>
    <t>Dotación de implementos de mitigación, prevencion y atención del riesgo para el fortalecimiento del Plan Escolar de Gestión del Riesgo (PEGER)</t>
  </si>
  <si>
    <t>Realizar ocho (8) eventos académicos, investigativos y culturales</t>
  </si>
  <si>
    <t>Número de eventos realizados</t>
  </si>
  <si>
    <t>0314 - 5 - 3 1 3 6 20 1 90 - 88</t>
  </si>
  <si>
    <t>Encuentro Cultural de Étnoeducación</t>
  </si>
  <si>
    <t>1404 - 5 - 3 1 3 6 20 1 90 - 25</t>
  </si>
  <si>
    <t>Feria Concetar TIC</t>
  </si>
  <si>
    <t xml:space="preserve">Festival de Literatura y Escritura
</t>
  </si>
  <si>
    <t xml:space="preserve">Implementar el  programa de  jornada única con el acceso y permanencia de veinte mil (20.000) estudiantes </t>
  </si>
  <si>
    <t>Numero de estudiantes en el programa jornada única</t>
  </si>
  <si>
    <t>Implementar el programa de jornada única</t>
  </si>
  <si>
    <t>Coordinación del programa de Jornada Unica con el acompañamiento de los  rectores de las Instituciones Educativas focalizadas</t>
  </si>
  <si>
    <t xml:space="preserve">Mantener, adecuar y/o construir la infraestructura ciento treinta (130) sedes de las instituciones educativas  </t>
  </si>
  <si>
    <t>Numero de sedes mantenidas, adecuadas y/o construidas</t>
  </si>
  <si>
    <t>Mejorar las condiciones de infraestructura y de elementos pedagógicos para la implementación de la jornada única y ambientes escolares para la Paz</t>
  </si>
  <si>
    <t>Tranferencia de Recursos para Pequeñas Intervenciones en las Instituciones Educativas del Departamento.</t>
  </si>
  <si>
    <t>Levantamiento de planos para determinar necesidades en la adecuación y/o construcción de pequeñas intervenciones en infraestructura de las sedes educativas</t>
  </si>
  <si>
    <t xml:space="preserve">Dotar cincuenta y cuatro (54) instituciones educativas con material didáctico, mobiliario escolar y/o infraestructura tecnológica  </t>
  </si>
  <si>
    <t>Numero de instituciones educativas dotadas</t>
  </si>
  <si>
    <t>Dotar Instituciones Educativas de material didáctico, mobiliario escolar y/o infraestructura tecnológica</t>
  </si>
  <si>
    <t>Dotación  de material didactico, mobiliario escolar y/o infraestructura tecnológica en las instituciones educativas.</t>
  </si>
  <si>
    <t>Implementar la jornada complementaria y/o unica que articule arte,deporte y cultura, en seis (6) municipios declarados en el sistema de alertas tempranas de la defensoría del pueblo</t>
  </si>
  <si>
    <t>Municipios declarados en el sistema de alertas tempranas con jormada complementaria y/o única</t>
  </si>
  <si>
    <t>Implementar jornada complementaria y/o única que articule arte, cultura y deporte.</t>
  </si>
  <si>
    <t>Implementación jornada complementaria y/o única que articule arte, cultura y deporte.</t>
  </si>
  <si>
    <t>Plan Departamental del Lectura y Escritura</t>
  </si>
  <si>
    <t xml:space="preserve">Implementar el programa "pásate a la biblioteca"  en treinta y seis (36)  instituciones educativas </t>
  </si>
  <si>
    <t>Número de instituciones educativas con programa "pásate a la biblioteca" implementado</t>
  </si>
  <si>
    <t>201663000-0091</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</si>
  <si>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</si>
  <si>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</si>
  <si>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</si>
  <si>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Fortalecimiento del programa EN Literatuta y Escritura</t>
  </si>
  <si>
    <t>20
88
21
25</t>
  </si>
  <si>
    <t>Orinarios 
Superavit Ordinarios
Rendimientos Financieros
Recurso SGP</t>
  </si>
  <si>
    <t xml:space="preserve">Dotar ciento cuarenta (140) sedes educativas con la colección semilla </t>
  </si>
  <si>
    <t>Número de sedes educativas dotadas</t>
  </si>
  <si>
    <t>0314 - 5 - 3 1 3 6 21 1 91 - 20</t>
  </si>
  <si>
    <t xml:space="preserve"> Dotar sedes educativas del Departamento del Quindío con la colección semilla</t>
  </si>
  <si>
    <t>Adquisiciíon Colección Semilla</t>
  </si>
  <si>
    <t>Apoyar los  procesos de capacitación  de quinientos (500) docentes del departamento</t>
  </si>
  <si>
    <t>Número de docentes apoyados</t>
  </si>
  <si>
    <t>0314 - 5 - 3 1 3 6 21 1 91 - 88</t>
  </si>
  <si>
    <t>Apoyar los  procesos de capacitación  de docentes de instituciones educativas del departamento del quindío en estrategias de lectura y escritura</t>
  </si>
  <si>
    <t>Apoyo procesos de capacitación de docentes en   Inglés,  Español y Literatura,  Convivencia Escolar,  PRAES</t>
  </si>
  <si>
    <t>1404 - 5 - 3 1 3 6 21 1 91 - 21</t>
  </si>
  <si>
    <t xml:space="preserve">Realizar seis (6)  festivales o encuentros de literatura y escritura el departamento </t>
  </si>
  <si>
    <t>Número de festivales o encuentros realizados</t>
  </si>
  <si>
    <t>Realizar festivales o encuentros de literatura y escritura dirigidos a estudiantes y docentes de instituciones educativas del  departamento del Quindío</t>
  </si>
  <si>
    <t xml:space="preserve">Realización de festivales de Literatura y Escritura  en las Instituciones Educativas del Departamento
</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</si>
  <si>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</si>
  <si>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</si>
  <si>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</si>
  <si>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201663000-0093</t>
  </si>
  <si>
    <t>Mejoramiento de estrategias que permitan una mayor eficiencia en la gestion de procesos y proyectos de las instituciones educativas del Departamento del Quindio.</t>
  </si>
  <si>
    <t> asistir tecnicamente a las instituciones educativas del departamento para mejorar los proceos administrativos para el manejo de los fondos educativos.</t>
  </si>
  <si>
    <t>debida ejecucion de los recursos de los fondos educativos</t>
  </si>
  <si>
    <t xml:space="preserve"> Capacitaciones ditigidas a los rectores de las Instituciones Educativas para el manejo de los fondos Educativos.</t>
  </si>
  <si>
    <t>25
21</t>
  </si>
  <si>
    <t>Recurso SGP
Rendimientosnfinancieros SGP</t>
  </si>
  <si>
    <t>1404 - 5 - 3 1 3 6 22 1 93 - 21</t>
  </si>
  <si>
    <t>Pertinencia e Innovación</t>
  </si>
  <si>
    <t>Quindío Bilingüe</t>
  </si>
  <si>
    <t>Apoyar cincuenta y cinco (55) docentes licenciados en lenguas modernas formados en ingles con  dominio B2</t>
  </si>
  <si>
    <t>Numero de docentes apoyados en formación en ingles con dominio B2</t>
  </si>
  <si>
    <t>201663000-0094</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</si>
  <si>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</si>
  <si>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</si>
  <si>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</si>
  <si>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Capacitar docentes licenciados en lenguas modernas, en competencias linguisticas y medtodologia de la enseñanza del ingles</t>
  </si>
  <si>
    <t>Superavit Ordinario</t>
  </si>
  <si>
    <t>Cualificar la formación de ciento cincuenta (150) docentes de preescolar y básica primaria en inglés con dominio A2 y B1 y metodología para la enseñanza</t>
  </si>
  <si>
    <t>Numero de docentes de preescolar y básica primaria formados</t>
  </si>
  <si>
    <t>Capacitar docentes de  preescolar y básica primaria con dominio A2 y B1 en inglés</t>
  </si>
  <si>
    <t>capacitar docentes de preescolar y básica primaria, en competencias linguisticas y medtodologia de la enseñanza del ingles</t>
  </si>
  <si>
    <t>Iniciar el proceso de bilinguismo  en niños  entre pre-escolar - quinto grado de primaria de colegios públicos en seis (6) municipios</t>
  </si>
  <si>
    <t>Número de Municipio con Bilinguismo</t>
  </si>
  <si>
    <t>0314 - 5 - 3 1 3 7 23 1 94 - 88</t>
  </si>
  <si>
    <t>Implementar un curriculo de preescolar a grado quinto con docentes en lengua extranjera ingles en isticuiones educativas</t>
  </si>
  <si>
    <t>Dotar cincuenta y cuatro (54) instituciones educativas con herramientas audiovisuales para la enseñanza del ingles</t>
  </si>
  <si>
    <t>Número de instituciones educativas dotadas</t>
  </si>
  <si>
    <t>Dotar insitituciones educativas con herramientas audiovisuales</t>
  </si>
  <si>
    <t>Adquisición herramientas audiovisuales para la enseñanza del Inglés</t>
  </si>
  <si>
    <t>Realizar siete (7)  concursos  para evaluar las competencias comunicativas en ingles de los estudiantes</t>
  </si>
  <si>
    <t>Número de concursos en inglés realizados</t>
  </si>
  <si>
    <t>Realizar actividades de evaluación de competencias comunicativas en inglés a estudiantes</t>
  </si>
  <si>
    <t xml:space="preserve">Concurso de Deletreo Inglés
</t>
  </si>
  <si>
    <t>Fortalecimiento de la Media Técnica</t>
  </si>
  <si>
    <t>Desarrollar doce (12) talleres para docentes en el uso de las TICs</t>
  </si>
  <si>
    <t>Número de talleres desarrollados</t>
  </si>
  <si>
    <t>201663000-0095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</si>
  <si>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</si>
  <si>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</si>
  <si>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</si>
  <si>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Apoyo  a docentes de las Instituciones Educativas,  en el  Uso y Apropiacion de TICs  y Redes LAN</t>
  </si>
  <si>
    <t>Fortalecer cincuenta (50)   instituciones educativas en competencias básicas</t>
  </si>
  <si>
    <t>Número de instituciones educativas fortalecidas</t>
  </si>
  <si>
    <t>0314 - 5 - 3 1 3 7 24 1 95 - 20
0314 - 5 - 3 1 3 7 24 1 95 - 88</t>
  </si>
  <si>
    <t>Capacitación y Logistica, Talleres de Referentes, Planeación Curricular, Evaluación de los Aprendizajes</t>
  </si>
  <si>
    <t>Fortalecer cuarenta y siete (47) instituciones educativas con el programa de articulación con la educación superior y Educacion para el Trabajo y Desarrollo  Humano ETDH</t>
  </si>
  <si>
    <t>Atención estudiantes de educación media de las Instituciones Educativas Oficiales del Departamento, en programas de nivel técnico  profesional</t>
  </si>
  <si>
    <t>Implementar un Programa de Alimentación Escolar Universitario PAEU para estudiantes universitarios</t>
  </si>
  <si>
    <t>Programa PAEU implementado</t>
  </si>
  <si>
    <t>Implementación  Programa de Alimentación Escolar Universitario PAEU para estudiantes universitarios</t>
  </si>
  <si>
    <t>Implementar el programa de acceso y permanencia de la educación técnica, tecnologica y superior en el departamento del Quindío</t>
  </si>
  <si>
    <t>Programa Implementado</t>
  </si>
  <si>
    <t>0314 - 5 - 3 1 3 7 24 1 122 - 20
0314 - 5 - 3 1 3 7 24 1 122 - 88</t>
  </si>
  <si>
    <t>2017003630-122</t>
  </si>
  <si>
    <t>Implementación de un Fondo de apoyo departamental para el acceso y la permanencia de la educación técnica, tecnológica y superior en el Departamneto del Quindío</t>
  </si>
  <si>
    <t>Asignación Becas a Estudianrtes Egresados de las Instituciones  Educativas  Oficiales del Departamento</t>
  </si>
  <si>
    <t>20
88
91</t>
  </si>
  <si>
    <t>Recurso Ordinadio
Superavit Ordinario 
Superavit Monopolio</t>
  </si>
  <si>
    <t>0314 - 5 - 3 1 3 7 24 1 122 - 91</t>
  </si>
  <si>
    <t>Aportes ente territorial para la infraestructura en educación superior</t>
  </si>
  <si>
    <t>Eficiencia Educativa</t>
  </si>
  <si>
    <t>Eficiencia y modernización administrativa</t>
  </si>
  <si>
    <t>Fortalecer, hacer seguimiento y auditar cuatro (4)  procesos certificados con que cuenta la Secretaria de Educación Departamental</t>
  </si>
  <si>
    <t>Numero de procesos certificados fortalecidos, con seguimiento y auditados</t>
  </si>
  <si>
    <t>201663000-0096</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</si>
  <si>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</si>
  <si>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</si>
  <si>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</si>
  <si>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</si>
  <si>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0314 - 5 - 3 1 3 8 25 1 96 - 20</t>
  </si>
  <si>
    <t>Crear e implementar  en cincuenta y dos (52) instituciones educativas procesos presupuestales y financieros integrados</t>
  </si>
  <si>
    <t>Número de instituciones educativas con proceso presupuestal y financiero integrado creado e implementado</t>
  </si>
  <si>
    <t>0314 - 5 - 3 1 3 8 25 1 96 - 88</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</si>
  <si>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</si>
  <si>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</si>
  <si>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</si>
  <si>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 xml:space="preserve"> </t>
  </si>
  <si>
    <t>Implementar y/o mejorar el sistema de conectividad en 200 sedes educativas oficiales en el departamento.</t>
  </si>
  <si>
    <t>Número de sedes educativas implementadas y/o mejoradas</t>
  </si>
  <si>
    <t>1404 - 5 - 3 1 3 8 26 1 97 - 25</t>
  </si>
  <si>
    <t>201663000-0097</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</si>
  <si>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</si>
  <si>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</si>
  <si>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</si>
  <si>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Mejoramiento del Sistema de  Conectividad de las Sedes Educativas del Departamento</t>
  </si>
  <si>
    <t xml:space="preserve">SGP </t>
  </si>
  <si>
    <t>Funcionamiento y prestación de servicios del sector educativo del nivel central</t>
  </si>
  <si>
    <t>Realizar el pago oportuno al 100% de los funcionarios de la planta de  administrativos, docentes y directivos docentes del sector central</t>
  </si>
  <si>
    <t>% de funcionarios con pago oportuno</t>
  </si>
  <si>
    <t>1400 - 5 - 3 1 3 8 27 1 98 25
1401 - 5 - 3 1 3 8 27 1 98 25
0314 - 5 - 3 1 3 8 27 1 98 - 88</t>
  </si>
  <si>
    <t>201663000-0098</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</si>
  <si>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</si>
  <si>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</si>
  <si>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</si>
  <si>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 xml:space="preserve">Gastos de personal,  generales, transferencias de los funcionarios de la Planta del sector central,   Docentes y  Directivos Docentes </t>
  </si>
  <si>
    <t>25
88</t>
  </si>
  <si>
    <t xml:space="preserve">SGP Educacion
Superavit Ordinario </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</si>
  <si>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</si>
  <si>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</si>
  <si>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</si>
  <si>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0314 - 5 - 3 1 3 8 28 1 100 - 20</t>
  </si>
  <si>
    <t>201663000-0100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</si>
  <si>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</si>
  <si>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</si>
  <si>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</si>
  <si>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Reconocimiento  a los  mejores docentes, directivos docentes y personal administrativo, incluida la logistica para el evento</t>
  </si>
  <si>
    <t>Realizar (ocho) 8 eventos y actividades culturales y recreativas, desarrolladas para los funcionarios del servicio educativo del departamento del Quindío</t>
  </si>
  <si>
    <t>Número de eventos y actividades culturales y recreativas realizadas</t>
  </si>
  <si>
    <t>Fomentar en , directivos docentes y administrativos de la seretaría de educación departamental del quindío sentido de pertenencia, mediante el reconocimiento de sus logros</t>
  </si>
  <si>
    <t>Logística actividades culturales y recreativas para los funcionarios del servicio educativo</t>
  </si>
  <si>
    <t xml:space="preserve">Educación Inicial Integral </t>
  </si>
  <si>
    <t>Implementar  un (1)  programa de educación integral  a la primera infancia</t>
  </si>
  <si>
    <t>Programa implementado</t>
  </si>
  <si>
    <t>0314 - 5 - 3 1 3 16 57 1 101 - 20</t>
  </si>
  <si>
    <t>201663000-0101</t>
  </si>
  <si>
    <t xml:space="preserve">Implementación del modelo de atención integral de la educación inicial en el Departamento del  Quindio. </t>
  </si>
  <si>
    <t>Aumentar la tasa de cobertura  de  niños y niñas en edad de transición en las instituciones  educativas del  departamento</t>
  </si>
  <si>
    <t>Adquisición de  Kits Escolares para los estudiantes de los grados de Preescolar en sedes educativas oficiales del Departamento</t>
  </si>
  <si>
    <t>Alvaro Arias Velasquez
Secretario de Educación Departamental</t>
  </si>
  <si>
    <t>ARLES LOPEZ ESPINOSA</t>
  </si>
  <si>
    <t>SECRETARIO DE EDUCACION DEPARTAMENTAL (E )</t>
  </si>
  <si>
    <t>PROGRAMACIÓN PLAN DE ACCIÓN
SECRETARIA DE TURISMO, INDUSTRIA Y COMERCIO
II TRIMESTRE 2018</t>
  </si>
  <si>
    <t>Mujer</t>
  </si>
  <si>
    <t>Hombre</t>
  </si>
  <si>
    <t>Quindío Prospero y productivo</t>
  </si>
  <si>
    <t xml:space="preserve">Crear (1) y fortalecer (3) rutas competitivas </t>
  </si>
  <si>
    <t>Ruta competitiva creada y rutas fortalecidas</t>
  </si>
  <si>
    <t>0311 - 5 - 3 1 2 2 8 13 51 - 20</t>
  </si>
  <si>
    <t>201663000-0051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</si>
  <si>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</si>
  <si>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</si>
  <si>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</si>
  <si>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Implementación de la ruta competitiva de Salud y Bienestar.</t>
  </si>
  <si>
    <t>20
88</t>
  </si>
  <si>
    <t>Ordinarios
Superavít Ordinario</t>
  </si>
  <si>
    <t>Secretario de Turismo Industria y Comercio</t>
  </si>
  <si>
    <t>Fortalecimiento de las rutas Kaldia, Tumbaga y Artemis.</t>
  </si>
  <si>
    <t>Conformar e implementar (3) tres clúster priorizados en el Plan de Competitividad</t>
  </si>
  <si>
    <t>Clúster conformados e implementados</t>
  </si>
  <si>
    <t>0311 - 5 - 3 1 2 2 8 13 51 - 88</t>
  </si>
  <si>
    <t>Implementación y seguimiento del Plan de Acción del Cluster de Usarte Tics.</t>
  </si>
  <si>
    <t>Implementación y seguimiento del Plan de Acción del Cluster de Salud y Bienestar.</t>
  </si>
  <si>
    <t>Implementación y seguimiento del Plan de Acción del Cluster de Construcción.</t>
  </si>
  <si>
    <t xml:space="preserve">Diseño, formulación y puesta en marcha del Centro  para el desarrollo y el  fortalecimiento de la investigación, tecnología,  Ciencia e Innovación .   </t>
  </si>
  <si>
    <t>Centro  para el desarrollo y el  fortalecimiento de la investigación, tecnología,  ciencia e innovación diseñado, formulado e implementado</t>
  </si>
  <si>
    <t>201663000-0052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</si>
  <si>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</si>
  <si>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</si>
  <si>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Suficiente infraestructura y equipamiento para el Centro de gestión de la innovación y la tecnología</t>
  </si>
  <si>
    <t>Realizar el diseño y formulación del centro para el desarrollo y el  fortalecimiento de la investigación, tecnología,  Ciencia e Innovación.</t>
  </si>
  <si>
    <t>0311 - 5 - 3 1 2 2 8 13 52 - 20</t>
  </si>
  <si>
    <t xml:space="preserve">Apoyar la formulación del proyecto: Red de conocimiento de agro negocios del departamento </t>
  </si>
  <si>
    <t>Proyecto Red de conocimiento agroindustrial apoyado</t>
  </si>
  <si>
    <t>Gestión tecnológica y de capital humano pertinente, para incrementar la competitividad de sectores estratégicos</t>
  </si>
  <si>
    <t xml:space="preserve">Formalización de alianza con el Ministerio de Agricultura en su programa  Agronet y seguimiento al Plan de Acción de su implementación. </t>
  </si>
  <si>
    <t>0311 - 5 - 3 1 2 2 8 13 52 - 88</t>
  </si>
  <si>
    <t xml:space="preserve">Diseñar y fortalecer un proyecto de I+D+I </t>
  </si>
  <si>
    <t>Proyecto de I+D+I diseñado y fortalecido</t>
  </si>
  <si>
    <t>Formalización de una  alianza o convenio con una entidad idónea para la implementación del proyecto de I+D+I y seguimiento a su Plan de Acción.</t>
  </si>
  <si>
    <t>Hacia el Emprendimiento, Empresarismo, asociatividad y generación de empleo en el Departamento del Quindío</t>
  </si>
  <si>
    <t xml:space="preserve">Diseñar un ecosistema Regional de Emprendimiento y Asociatividad  </t>
  </si>
  <si>
    <t>Ecosistema regional de emprendimiento y asociatividad diseñado</t>
  </si>
  <si>
    <t>201663000-0053</t>
  </si>
  <si>
    <t>Apoyo al emprendimiento, empresarismo, asociatividad y generación de empleo en el departamento del Quindio</t>
  </si>
  <si>
    <t>Mejoramiento de los niveles de emprendimiento, empresarismo y asociatividad en el departamento del quindio</t>
  </si>
  <si>
    <t>Eficiente interacción y articulación del sector empresarial y demás actores para el fomento del emprendimiento, empresarismo y
asociatividad en el Departamento del Quindio</t>
  </si>
  <si>
    <t xml:space="preserve">Puesta en marcha y seguimiento a la operatividad de un ecosistema Regional de Emprendimiento y Asociatividad.   </t>
  </si>
  <si>
    <t xml:space="preserve">
Ordinario
</t>
  </si>
  <si>
    <t>Participación en una convocatoria para proyectos de emprenderismo en conjunto con la Red Regional de Emprendimiento.</t>
  </si>
  <si>
    <t>Apoyar a doce (12) unidades de emprendimiento para jóvenes emprendedores.</t>
  </si>
  <si>
    <t>Unidades de emprendimiento apoyadas</t>
  </si>
  <si>
    <t>Eficiente estimulo con recursos financieros para el emprendimiento, empresarismo y asociatividad en el departamento del quindío</t>
  </si>
  <si>
    <t>Apoyar tres unidades de emprendimiento de jovenes emprendedores.</t>
  </si>
  <si>
    <t xml:space="preserve">0311 - 5 - 3 1 2 2 9 13 53 - 20
</t>
  </si>
  <si>
    <t>Apoyar   doce (12) Unidades de emprendimiento de grupos poblacionales con enfoque diferencial.</t>
  </si>
  <si>
    <t>0311 - 5 - 3 1 2 2 9 13 53 - 88</t>
  </si>
  <si>
    <t>Apoyar tres unidades de emprendimiento de población con enfoque diferencial.</t>
  </si>
  <si>
    <t>Implementar un programa de gesiton financiera para el desarrollo de emprendimiento, empresarismo y asociatividad</t>
  </si>
  <si>
    <t>Programa de gestión finaciera implementado</t>
  </si>
  <si>
    <t>Puesta en marcha y seguimiento a la operatividad del Programa de Gestión Financiera para el Desarrollo de Emprendimiento, Empresarismo y Asociatividad.</t>
  </si>
  <si>
    <t>Quindío Sin Fronteras</t>
  </si>
  <si>
    <t>Fortalecer  doce (12) empresas en procesos internos y externos para la apertura a mercados regionales, nacionales e internacionales</t>
  </si>
  <si>
    <t>Empresas fortalecidas</t>
  </si>
  <si>
    <t>201663000-0056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</si>
  <si>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</si>
  <si>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</si>
  <si>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</si>
  <si>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Fortalecimiento a treinta y seis empresas en procesos interno y externos  para la apertura a mercados regionales, nacionales e internacionales.</t>
  </si>
  <si>
    <t>20
88</t>
  </si>
  <si>
    <t>Ordinarios
Superavít Ordinario</t>
  </si>
  <si>
    <t>Constituir e implementar una agencia de inversión empresarial</t>
  </si>
  <si>
    <t>Agencia de inversión constituida e implementada</t>
  </si>
  <si>
    <t>0311 - 5 - 3 1 2 2 10 13 56 - 20</t>
  </si>
  <si>
    <t>Fortalecimiento de mecanismos de inversión y de herramientas tecnológicas de servicios logisticos en el sector empresarial para su
conexión a mercados global</t>
  </si>
  <si>
    <t>Fortalecimiento de la Agencia de Inversión Empresarial y seguimiento  a su Plan de Acción.</t>
  </si>
  <si>
    <t>0311 - 5 - 3 1 2 2 10 13 56 - 88</t>
  </si>
  <si>
    <t>Diseñar la  plataforma de servicios logísticos nacionales e internacionales tendiente a lograr del departamento un centro de articulación de occidente</t>
  </si>
  <si>
    <t>Plataforma de servicios logísticos diseñada</t>
  </si>
  <si>
    <t>Operación, Seguimiento y evaluación de la plataforma de servicios logísticos nacionales e internacionales.</t>
  </si>
  <si>
    <t>QUINDIO POTENCIA TURISTICA DE NATURALEZA Y DIVERSION</t>
  </si>
  <si>
    <t xml:space="preserve">Fortalecimiento de la oferta de productos y atractivos turísticos </t>
  </si>
  <si>
    <t>Diseñar, crear y/o fortalecer 15 Productos turísticos para ser ofertados</t>
  </si>
  <si>
    <t>Productos turísticos diseñados, creados y/o fortalecidos</t>
  </si>
  <si>
    <t>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</si>
  <si>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</si>
  <si>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</si>
  <si>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</si>
  <si>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</si>
  <si>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Diseñar, crear y/o fortalecer 5 Productos turísticos para ser ofertados</t>
  </si>
  <si>
    <t>Ordinarios</t>
  </si>
  <si>
    <t>Elaborar e implementar  un Plan de Calidad Turística del Destino</t>
  </si>
  <si>
    <t>Plan de Calidad elaborado e implementado</t>
  </si>
  <si>
    <t>Ejecución del Plan de Calidad Turistica</t>
  </si>
  <si>
    <t>Mejoramiento de la competitividad del Quindío como destino turístico</t>
  </si>
  <si>
    <t>Gestionar y ejecutar (3) proyectos para mejorar la competitividad del Quindío como destino turístico</t>
  </si>
  <si>
    <t>Proyectos gestionados y ejecutados</t>
  </si>
  <si>
    <t>201663000-0060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</si>
  <si>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</si>
  <si>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</si>
  <si>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y acciones que mejoren la competitividad del destino turistico</t>
  </si>
  <si>
    <t>Apoyo a la conformación de los cluster de Turismo de Naturaleza, MICE y Salud</t>
  </si>
  <si>
    <t>Apoyo al mejoramiento de la infraestructura turística.</t>
  </si>
  <si>
    <t>0311 - 5 - 3 1 2 3 12 13 60 - 20</t>
  </si>
  <si>
    <t>Ejecución del Plan Decenal de Turismo.</t>
  </si>
  <si>
    <t>0311 - 5 - 3 1 2 3 12 13 60 - 88</t>
  </si>
  <si>
    <t>Fortalecimiento al programa Club de Producto y actualización de actores.</t>
  </si>
  <si>
    <t>Apoyo para la capacitación a prestadores de servicios turísticos.</t>
  </si>
  <si>
    <t>Ejecución del  programa de turismo responsable.</t>
  </si>
  <si>
    <t>Promoción nacional e internacional del departamento como destino turístico</t>
  </si>
  <si>
    <t>Construcción del Plan de Mercadeo Turístico</t>
  </si>
  <si>
    <t>Plan de Mercadeo construido</t>
  </si>
  <si>
    <t>0311 - 5 - 3 1 2 3 13 13 62 - 20
0311 - 5 - 3 1 2 3 13 13 62 - 52
0311 - 5 - 3 1 2 3 13 13 62 - 88
0311 - 5 - 3 1 2 3 13 13 62 - 94</t>
  </si>
  <si>
    <t>201663000-0062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</si>
  <si>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</si>
  <si>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</si>
  <si>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</si>
  <si>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Ejecución del Plan de Mercadeo para la  Promoción del departamento como destino turística nivel nacional.</t>
  </si>
  <si>
    <t xml:space="preserve">20
52
</t>
  </si>
  <si>
    <t xml:space="preserve">
Recurso Ordinario
Impuesto al Registro
</t>
  </si>
  <si>
    <t>Ejecución del Plan de Mercadeo para la  Promoción del departamento como destino turística nivel internacional.</t>
  </si>
  <si>
    <t xml:space="preserve">JUAN DAVID PACHON MORALES </t>
  </si>
  <si>
    <t>PROGRAMACIÓN PLAN DE ACCIÓN
SECRETARIA DEL INTERIOR
II TRIMESTRE 2018</t>
  </si>
  <si>
    <t>SEGURIDAD HUMANA</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</si>
  <si>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</si>
  <si>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</si>
  <si>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</si>
  <si>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</si>
  <si>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201663000-0028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</si>
  <si>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</si>
  <si>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</si>
  <si>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</si>
  <si>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</si>
  <si>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 xml:space="preserve">
42
92</t>
  </si>
  <si>
    <t xml:space="preserve">
Fondos de seguridad 5%
Superávit fondo de seguridad</t>
  </si>
  <si>
    <t>Secretaria del Interior</t>
  </si>
  <si>
    <t>Fortalecer 10 programas de prevención y superación del Sistema de responsabilidad penal para adolescentes</t>
  </si>
  <si>
    <t>Número de programas de prevención y superación fortalecidos</t>
  </si>
  <si>
    <t>Apoyo para iniciativas,actividades y/o proyectos productivos dirigido a la población de infancia y adolescencia</t>
  </si>
  <si>
    <t>Apoyar la construcción, refacción o adecuación de  seis (6) estaciones de policía y/o guarniciones militares y/o instituciones carcelarias</t>
  </si>
  <si>
    <t>Número de estaciones de policía y/o guarniciones militares y/o instituciones carcelarias apoyadas</t>
  </si>
  <si>
    <t>Procesos de consultoria como requisito para interventorias, diseños, estudios de factibilidad, ambientales entre otros</t>
  </si>
  <si>
    <t>Contrucción de obras para los organismos de seguridad</t>
  </si>
  <si>
    <t>Intervención de obras menores en bienes  de los organismos de seguridad</t>
  </si>
  <si>
    <t>Dotar cinco (5) organismos de seguridad de del departamento con elementos tecnológicos y logísticos que faciliten su operatividad y capacidad de respuesta</t>
  </si>
  <si>
    <t>Número de organismos de seguridad y/o de régimen carcelario dotados</t>
  </si>
  <si>
    <t>Financiación del proyecto de tecnología en seguridad</t>
  </si>
  <si>
    <t>Financiación y/o Coofinanciación de proyectos de móvilidad</t>
  </si>
  <si>
    <t>Suministro de combustible</t>
  </si>
  <si>
    <t>Arrendamientos de oficinas para organismos de seguridad</t>
  </si>
  <si>
    <t>0309 - 5 - 3 1 4 23 75 18 28 - 20</t>
  </si>
  <si>
    <t xml:space="preserve">Adecuación de tecnología en salas de organismos de seguridad </t>
  </si>
  <si>
    <t>Suministro de alimentación</t>
  </si>
  <si>
    <t>0309 - 5 - 3 1 4 23 75 18 28 - 42</t>
  </si>
  <si>
    <t>Pago Fuentes Humanas</t>
  </si>
  <si>
    <t>0309 - 5 - 3 1 4 23 75 18 28 - 92</t>
  </si>
  <si>
    <t>Adquisición de bienes muebles necesarios para el funcionamiento de la diferentes iniciativas o programas de los oraganismos de seguridad del departamento</t>
  </si>
  <si>
    <t>Adquisición de bienes inmuebles para los organismos de seguridad</t>
  </si>
  <si>
    <t>Adquisición de bienes y suministro, para material de intendencia y logística</t>
  </si>
  <si>
    <t>Servicios de apoyo para llevar a cabo los procesos de adquisición de bienes y servicios relacionados con  la seguridad del departamento</t>
  </si>
  <si>
    <t>Servicios de apoyo en procesos tecnológicos de seguridad en el departamento</t>
  </si>
  <si>
    <t>Servicios de apoyo en estudios financieros y ecónomicos de los diferentes procesos para los organismos de seguridad</t>
  </si>
  <si>
    <t xml:space="preserve">Prestación de servicios y/o suministro de logistica material de intendencia o demas 0programas y/o estrategias relacionados con los organismos de seguridad </t>
  </si>
  <si>
    <t>Apoyar 3 observatorios locales del delito</t>
  </si>
  <si>
    <t>Número de observatorios del delito apoyados</t>
  </si>
  <si>
    <t>Operatividad y/o funcionamiento del observatorio oficial del departamento</t>
  </si>
  <si>
    <t>Dotación tecnológica y/o logística para os programas, proyectos o estrateg{ias de seguridad en el departamento del Quindío</t>
  </si>
  <si>
    <t>CONVIVENCIA, JUSTICIA Y CULTURA DE PAZ</t>
  </si>
  <si>
    <t>Apoyar la implementación de treinta y seis (36) programas de prevención del delito y mediación de conflictos en comunidades focalizadas del departamento</t>
  </si>
  <si>
    <t>Programas de prevención del delito y mediación de conflictos apoyados</t>
  </si>
  <si>
    <t>201663000-0029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</si>
  <si>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</si>
  <si>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</si>
  <si>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</si>
  <si>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psicosociales, y/o de formación productiva integrales en los 11 barrios focalizados </t>
  </si>
  <si>
    <t xml:space="preserve">20
42
</t>
  </si>
  <si>
    <t xml:space="preserve">Recurso 
ordinario
Fondos de seguridad 5%
</t>
  </si>
  <si>
    <t>Atencion integral de Barrios con situacion critica de convivencia en los 12 Municipios  del Departamento</t>
  </si>
  <si>
    <t>Municipios con atencion integral</t>
  </si>
  <si>
    <t xml:space="preserve">Intervenciones Psicosociales y/o de formación productiva integrales en los cinco municipios focalizados </t>
  </si>
  <si>
    <t>0309 - 5 - 3 1 4 23 76 18 29 - 20</t>
  </si>
  <si>
    <t>Implementación de programas lúdicos,culturales y/o deportivos  para población vulnerable en áreas focalizadas</t>
  </si>
  <si>
    <t>0309 - 5 - 3 1 4 23 76 18 29 - 42</t>
  </si>
  <si>
    <t xml:space="preserve">Generación y/o apoyo a programas de intervención social o de seguridad </t>
  </si>
  <si>
    <t>0309 - 5 - 3 1 4 23 76 18 29 - 92</t>
  </si>
  <si>
    <t>Logística, refrigerios,transporte y/o combustible</t>
  </si>
  <si>
    <t>Actualizar el código departamental de Policía</t>
  </si>
  <si>
    <t>Código departamental de policía actualizado</t>
  </si>
  <si>
    <t>Apoyo y/o seguimiento a los códigos de policia de los municipios y a la corresponsabilidad del departamento</t>
  </si>
  <si>
    <t>Adquisición de bienes y/o servicos como apoyo al cumplimiento de las normas del código Nacional de policia</t>
  </si>
  <si>
    <t>Actualizar e implementar el Plan Integral de Seguridad y Convivencia Ciudadana (PISCC)</t>
  </si>
  <si>
    <t>Plan integral de seguridad y convivencia ciudadana actualizado e implementado</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</si>
  <si>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</si>
  <si>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</si>
  <si>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</si>
  <si>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</si>
  <si>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</si>
  <si>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0309 - 5 - 3 1 4 24 78 14 30 - 20
0309 - 5 - 3 1 4 24 78 14 30 - 88</t>
  </si>
  <si>
    <t>201663000-0030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</si>
  <si>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</si>
  <si>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</si>
  <si>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</si>
  <si>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Capacitación en el tema de formulación de proyectos a las mesas de participación efectiva de victimas y Organizaciones de victimas en los 12 municipios del Departamento</t>
  </si>
  <si>
    <t xml:space="preserve">Recurso ordinario
</t>
  </si>
  <si>
    <t>Socialización de rutas de protección a las organizaciones de victimas de los 12 municipios del Departamento</t>
  </si>
  <si>
    <t>Socialización del decreto de corresponsabilidad a las mesas de participación efectiva de victimas en los 12 municipios</t>
  </si>
  <si>
    <t>Brindar asistencia y capacitacion a las organizaciones con enfoque diferencial y mesas de participación efectiva de victimas en los 12 municipios del Departamento en la ley de victimas y restitución de tierras y sus enfoques reglamentarios</t>
  </si>
  <si>
    <t>Capacitación a las mesas de participación de victimas en los 12 municipios en el tema de protocolo de participación</t>
  </si>
  <si>
    <t>Realizar jornadas de prevencion a vulneraciones de DDHH y DIH a las mesas de participación efectiva de victimas en los 12 municipios del Departamento</t>
  </si>
  <si>
    <t>Apoyo a proyectos productivos población víctima</t>
  </si>
  <si>
    <t>Lógistica y  refrigerios</t>
  </si>
  <si>
    <t>Apoyar  la atención humanitaria inmediata a la población víctima del conflicto en los 12 municipios</t>
  </si>
  <si>
    <t>Número de municipios apoyados en la atención humanitaria inmediata</t>
  </si>
  <si>
    <t>Adecuación predio reubicación definitiva, cumplimiento fallo de tutela Embera Chamí Quimbaya</t>
  </si>
  <si>
    <t>Concurrir, complementar y subsidiar los kits de ayuda  humanitaria inmediata en los 12 municipios del Quindio</t>
  </si>
  <si>
    <t xml:space="preserve">Apoyar los procesos de retorno y reubicación de las victimas del conflicto armado, en caso de ser requerido </t>
  </si>
  <si>
    <t xml:space="preserve">Fortalecer el Comité departamental de justicia transicional y la mesa de participación efectiva de las víctimas del conflicto </t>
  </si>
  <si>
    <t>Número de instancias de participación fortalecidas</t>
  </si>
  <si>
    <t xml:space="preserve">Garantías para Sesiones comité ejecutivo y ética mesa de victimas </t>
  </si>
  <si>
    <t>Garantías Sesiones plenario mesa de victimas</t>
  </si>
  <si>
    <t xml:space="preserve">Apoyo al Plan de Trabajo de la mesa Departamental de Victimas </t>
  </si>
  <si>
    <t xml:space="preserve">Garantias para representates de la mesa departamental de victimas para asistir a las Sesiones del  Comité Departamental de Justicia Transicional </t>
  </si>
  <si>
    <t>Garantias para representates de la mesa departamental de victimas para asistir a las Sesiones de los subcomites departamentales de justicia transcional</t>
  </si>
  <si>
    <t>Logística y/o refrigerios</t>
  </si>
  <si>
    <t xml:space="preserve">Apoyar la construcción y la actualización de los Planes de Acción Territorial de victimas PAT municipales y  el PAT departamental </t>
  </si>
  <si>
    <t>Número de Planes acción territorial de víctimas apoyados</t>
  </si>
  <si>
    <t>Procesos de articulación asistencia y atención a los municipios y su población víctima Sesiones de Comites y Subcomites</t>
  </si>
  <si>
    <t xml:space="preserve">Brindar asistencia a los 12 municipios del Departamento para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</si>
  <si>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</si>
  <si>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Sistema de información diseñado e implementado</t>
  </si>
  <si>
    <t>Seguimiento a implementación  de la Herramienta de Gestión Local en los 12 municipios del Departamento</t>
  </si>
  <si>
    <t>Apoyo a procesos de caracterización de los municipios</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</si>
  <si>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</si>
  <si>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</si>
  <si>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</si>
  <si>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0309 - 5 - 3 1 4 24 79 14 32 - 20
0309 - 5 - 3 1 4 24 79 14 32 - 88</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</si>
  <si>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</si>
  <si>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</si>
  <si>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</si>
  <si>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</si>
  <si>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Actualización e implementación del plan integral de prevención de vulneración de DDHH</t>
  </si>
  <si>
    <t xml:space="preserve">Recurso ordinario
</t>
  </si>
  <si>
    <t xml:space="preserve">Secretaria del Interior
</t>
  </si>
  <si>
    <t>Realizar jornadas de socialización en rutas de protección a Juntas de Acción Comunal en los 12 municipios del Departamento</t>
  </si>
  <si>
    <t xml:space="preserve">Apoyar en los doce (12) municipios la articulación institucional para la prevención a las violaciones DDHH  e infracciones al DIH </t>
  </si>
  <si>
    <t xml:space="preserve">Número de municipios apoyados </t>
  </si>
  <si>
    <t>Foro de Derechos Humanos</t>
  </si>
  <si>
    <t>Realizar jornadas de capacitación para la  prevencion y sensibilizacion de los Derechos Humanos en los 12 municipios del Departamento</t>
  </si>
  <si>
    <t>Papelería</t>
  </si>
  <si>
    <t xml:space="preserve">Actualizar e Implementar el plan lucha contra la trata de personas
</t>
  </si>
  <si>
    <t>Programa de atención integral a victimas de trata de personas actualizado e  implementado</t>
  </si>
  <si>
    <t xml:space="preserve">Jornadas de prevencion  del delito de trata de personas en los doce municipios del Departamento </t>
  </si>
  <si>
    <t>Realizar jornadas de prevencion y sensibilizacion del delito de trata de personas en terminal aerea y terrestre</t>
  </si>
  <si>
    <t>Ayuda Humanitaria para Víctimas de trata de personas</t>
  </si>
  <si>
    <t>PREPARADOS PARA LA PAZ</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</si>
  <si>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</si>
  <si>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</si>
  <si>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0309 - 5 - 3 1 4 24 80 14 34 - 20
0309 - 5 - 3 1 4 24 80 14 34 - 88</t>
  </si>
  <si>
    <t>201663000-0034</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</si>
  <si>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</si>
  <si>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</si>
  <si>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</si>
  <si>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Asistencia Tecnica para la formulación y actualización de planes de DDHH en los municipios del Depto</t>
  </si>
  <si>
    <t xml:space="preserve">
Recurso ordinario
</t>
  </si>
  <si>
    <t>Acompañamiento a Comites Municipales de Derechos Humanos que estén creados y funcionando</t>
  </si>
  <si>
    <t xml:space="preserve">Apoyar y articular en los doce (12) municipios  del departamento las actuaciones institucionales en procura de la garantía de la construcción de paz </t>
  </si>
  <si>
    <t>Número de municipios apoyados y articulados</t>
  </si>
  <si>
    <t>Fortalecer Consejo Departamental de Paz</t>
  </si>
  <si>
    <t>Socialización de implementación de los acuerdos en el Departamento</t>
  </si>
  <si>
    <t>Foro DDHH</t>
  </si>
  <si>
    <t>Semana por La Paz</t>
  </si>
  <si>
    <t>Apoyo para la Politica de Reintegrados</t>
  </si>
  <si>
    <t>Acciones en pro de la construcción de paz</t>
  </si>
  <si>
    <t>EL QUINDIO DEPARTAMENTO RESILIENTE</t>
  </si>
  <si>
    <t>QUINDIO PROTEGIENDO EL FUTURO</t>
  </si>
  <si>
    <t xml:space="preserve">Realizar catorce (14) estudios de riesgo y análisis de vulnerabilidad en  los municipios del departamento </t>
  </si>
  <si>
    <t>Número de estudios de riesgo analizados</t>
  </si>
  <si>
    <t>0309 - 5 - 3 1 4 25 81 12 36 - 20
0309 - 5 - 3 1 4 25 81 12 36 - 88</t>
  </si>
  <si>
    <t>201663000-0036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</si>
  <si>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</si>
  <si>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</si>
  <si>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</si>
  <si>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</si>
  <si>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Recurso ordinario</t>
  </si>
  <si>
    <t>Identificaciòn de Areas vulnerables del Departamento del Quindío</t>
  </si>
  <si>
    <t xml:space="preserve">Apoyar a ciento cincuenta (150) instituciones educativas del departamento en la formulación de Planes Escolares de Gestión del Riesgo (PGERD) </t>
  </si>
  <si>
    <t xml:space="preserve">Número de instituciones educativas apoyadas en la formulación de los PGERD  </t>
  </si>
  <si>
    <t>Conocimiento manejo y reducción del riesgo en el departamento</t>
  </si>
  <si>
    <t>formulación de los planes escolares de gestion del riesgo</t>
  </si>
  <si>
    <t>Logistica para operación</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</si>
  <si>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</si>
  <si>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</si>
  <si>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Apoyo en formacion y capacitación de gestión del riesgo</t>
  </si>
  <si>
    <t>Fortalecimiento instituciones de socorro</t>
  </si>
  <si>
    <t>Adquisición tecnologia (camara termica, Dron)</t>
  </si>
  <si>
    <t>Material didáctico</t>
  </si>
  <si>
    <t>Organización de foros, talleres, eventos, y/o actividades</t>
  </si>
  <si>
    <t xml:space="preserve">Realizar 10 intervenciones en  áreas vulnerables del departamento </t>
  </si>
  <si>
    <t>Número de intervenciones en áreas vulnerables realizadas</t>
  </si>
  <si>
    <t>Leventamiento de información  geologíca en áreas vulnerables</t>
  </si>
  <si>
    <t>Intervenciones, obras de ingeniería y/o análisis vulnerabilidad</t>
  </si>
  <si>
    <t xml:space="preserve">Fortalecer el comité departamental de gestión del riesgo de desastres </t>
  </si>
  <si>
    <t>Comité departamental de gestión del riesgo de desastres fortalecido</t>
  </si>
  <si>
    <t>Mantenimiento red de comunicaciones</t>
  </si>
  <si>
    <t>Procesos de atención a PQRS y servicios demandados por la comunidad</t>
  </si>
  <si>
    <t xml:space="preserve">Actualización y desarrollo de  tecnologías en gestión del riesgo </t>
  </si>
  <si>
    <t>Formación y capacitación en el manejo del riesgo</t>
  </si>
  <si>
    <t>Servicios y atención  de manejo de riesgos</t>
  </si>
  <si>
    <t>Fortalecimiento  a las instituciones del comité de manejo</t>
  </si>
  <si>
    <t>FORTALECIMIENTO INSTITUCIONAL PARA LA GESTIÓN DEL RIESGO DE DESASTRES COMO UNA ESTRATEGIA DE DESARROLLO</t>
  </si>
  <si>
    <t>Poner en funcionamiento operativo la sala de crisis del Departamento</t>
  </si>
  <si>
    <t>Sala de crisis del departamento funcionando</t>
  </si>
  <si>
    <t>0309 - 5 - 3 1 4 25 82 12 38 - 20
0309 - 5 - 3 1 4 25 82 12 38 - 88</t>
  </si>
  <si>
    <t>201663000-0038</t>
  </si>
  <si>
    <t>Apoyo institucional en la gestión del riesgo  en el Departamento del Quindio</t>
  </si>
  <si>
    <t xml:space="preserve">Lograr que las ciudadaes y los asentamientos humanos sean inclusivos, resilientes y sostenibles (ODS-objetivo 11)
</t>
  </si>
  <si>
    <t xml:space="preserve">1. Cumplimiento de los protocolos para la preparación y manejo de la emergencia.
2. Destinación de recursos en el ambito local para la atención de las emergencias.
</t>
  </si>
  <si>
    <t xml:space="preserve">Adquisición y/o mantenimiento  de equipos de  comunicación y/o tecnología   </t>
  </si>
  <si>
    <t>Articulación y coordinación para el manejo de  desastres en la sala de crisis del departamento</t>
  </si>
  <si>
    <t>Fortalecer  la dotación de la bodega estratégica de la Unidad Departamental de la Gestión del Riesgo de Desastres UDEGER</t>
  </si>
  <si>
    <t>Unidad Departamental de la Gestión del Riesgo de Desastre UDEGER dotada</t>
  </si>
  <si>
    <t>Suministro de ayudas  Humanitarias</t>
  </si>
  <si>
    <t>PODER CIUDADANO</t>
  </si>
  <si>
    <t>QUINDIO SI A LA PARTICIPACIÓN</t>
  </si>
  <si>
    <t>Desarrollar estrategias tendientes a promover la participación ciudadana en el departamento</t>
  </si>
  <si>
    <t>Estrategias de participación desarrolladas</t>
  </si>
  <si>
    <t>0309 - 5 - 3 1 5 27 85 16 39 - 20
0309 - 5 - 3 1 5 27 85 16 39 - 88</t>
  </si>
  <si>
    <t>201663000-0039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</si>
  <si>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</si>
  <si>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</si>
  <si>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</si>
  <si>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estrategias de participación</t>
  </si>
  <si>
    <t xml:space="preserve">Celebración de la semana de participación </t>
  </si>
  <si>
    <t>Realización de eventos para el  fortalecimiento a la participación ciudadana y control social</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</si>
  <si>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</si>
  <si>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</si>
  <si>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</si>
  <si>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</si>
  <si>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Aquisiciòn de equipos tecnòlogicos </t>
  </si>
  <si>
    <t>Creación y puesta en funcionamiento  del Consejo departamental de participación Ciudadana</t>
  </si>
  <si>
    <t xml:space="preserve">Consejo departamental creado y funcionando </t>
  </si>
  <si>
    <t>Servicios de apoyo a la operatividad del consejo de participación ciudadana</t>
  </si>
  <si>
    <t>Material pedagogíco y/o promocional relacionado con el consejo de participación</t>
  </si>
  <si>
    <t>Servicios de Apoyo para eventos de formación,capacitación y/o formulación de politicas publicas</t>
  </si>
  <si>
    <t>Prestación de servicio de transporte</t>
  </si>
  <si>
    <t xml:space="preserve">Logística y/o refrigerios </t>
  </si>
  <si>
    <t>Apoyar  la comisión para la Coordinación y Seguimiento de los procesos electorales del departamento del Quindío  según el numero de eventos que se presenten</t>
  </si>
  <si>
    <t xml:space="preserve">N° de procesos electorales apoyados </t>
  </si>
  <si>
    <t xml:space="preserve">Apoyo logistico, transporte,suminsitro de combustible y/o alimentación para la celebración de los comicios electorales </t>
  </si>
  <si>
    <t>Formular e implementar la política pública departamental de libertad religiosa en desarrollo  del árticulo 244 de la ley  1753 "por medio de la cual  se expide  el Plan Nacional de Desarrollo 2014-2018 TODOS POR UN NUIEVO PAÍS"</t>
  </si>
  <si>
    <t xml:space="preserve">Politica pública formulada e implementada </t>
  </si>
  <si>
    <t>Servicios de apoyo para la  operatividad  del comité de libertad religiosa</t>
  </si>
  <si>
    <t xml:space="preserve">Realización de eventos y/o encuentros de libertad religiosa </t>
  </si>
  <si>
    <t>Materíal pedagógico y/o promocional relacionado</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</si>
  <si>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</si>
  <si>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</si>
  <si>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</si>
  <si>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
0309 - 5 - 3 1 5 27 86 16 40 - 88</t>
  </si>
  <si>
    <t>201663000-0040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</si>
  <si>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</si>
  <si>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</si>
  <si>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Mejoramiento en  los procesos de inspección, vigilancia y control realizados a los organismos comunales.
</t>
  </si>
  <si>
    <t>Servicios como apoyo al fortalecimiento de los organismos  comunales</t>
  </si>
  <si>
    <t>Celebración dia comunal</t>
  </si>
  <si>
    <t>Cofinaciación de los juegos comunales y/o congreso nacional comunal</t>
  </si>
  <si>
    <t>Adquisiciòn de bienes y equipos tecnològicos</t>
  </si>
  <si>
    <t>Apoyo a eventos de capacitación comunal</t>
  </si>
  <si>
    <t>Apoyo para fortalecimiento de programas de los organismos comunales</t>
  </si>
  <si>
    <t>QUINDIO TRANSPARENTE Y LEGAL</t>
  </si>
  <si>
    <t>VEEDURIAS Y RENDICIÓN DE CUENTAS</t>
  </si>
  <si>
    <t>Implementar un (1) programa de fortalecimiento de las veedurías ciudadanas del departamento</t>
  </si>
  <si>
    <t>Programa de fortalecimiento implementado</t>
  </si>
  <si>
    <t>0309 - 5 - 3 1 5 26 84 16 42 - 20</t>
  </si>
  <si>
    <t>201663000-0042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</si>
  <si>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</si>
  <si>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</si>
  <si>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</si>
  <si>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</si>
  <si>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</si>
  <si>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Organización de eventos, foros, actividades entre otros  para la promoción y el fortalecimiento del control social y las veedurias ciudadanas</t>
  </si>
  <si>
    <t xml:space="preserve">Difusión en medios masivos  de comunicación (radio impresos entre otros) para la promoción y el fortalecimiento del control social y las  veedurias ciudadanas  </t>
  </si>
  <si>
    <t>Prestación de servicios de transporte</t>
  </si>
  <si>
    <t>JORGE ANDRÉS BUITRAGO MONCALEANO</t>
  </si>
  <si>
    <t>Secretario del Interior</t>
  </si>
  <si>
    <t>PROGRAMACION PLAN DE ACCIÓN
INDEPORTES
II TRIMESTRE 2018</t>
  </si>
  <si>
    <t>Apoyo al deporte asociado</t>
  </si>
  <si>
    <t xml:space="preserve"> Ligas deportivas del departamento del Quindío</t>
  </si>
  <si>
    <t xml:space="preserve">Apoyar  y fortalecer veintitrés (23) ligas deportivas   </t>
  </si>
  <si>
    <t>Ligas deportivas apoyadas y fortalecidas</t>
  </si>
  <si>
    <t>2234468202_4</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</si>
  <si>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</si>
  <si>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</si>
  <si>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</si>
  <si>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</si>
  <si>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Apoyo a las ligas en los eventos deportivos de carácter federal  (Adquisición de Bienes y Servicios)</t>
  </si>
  <si>
    <t>LEY 1816  (MONOPOLIO)</t>
  </si>
  <si>
    <t>GERENTE GENERAL INDEPORTES</t>
  </si>
  <si>
    <t>2234468202-12</t>
  </si>
  <si>
    <t>CIGARRILLO 70%</t>
  </si>
  <si>
    <t>2334468202_6</t>
  </si>
  <si>
    <t>Realizar acompañamiento y asesorìa a las ligas y clubes del departamento  (Componente tecnico)</t>
  </si>
  <si>
    <t>RECURSOS DE CAPITAL (RF)</t>
  </si>
  <si>
    <t>2234468202-9</t>
  </si>
  <si>
    <t>ICLD</t>
  </si>
  <si>
    <t>Apoyar  a veinte  (20) deportistas en nivel de talento, de proyección y de altos logros con el programa de incentivos económicos a deportistas.</t>
  </si>
  <si>
    <t>Número de deportistas incentivados</t>
  </si>
  <si>
    <t>2234468203_4</t>
  </si>
  <si>
    <t>Apoyo a deportistas de alto logros y reserva deportiva (Asistencia social)</t>
  </si>
  <si>
    <t xml:space="preserve"> Apoyo a eventos deportivos</t>
  </si>
  <si>
    <t>Apoyar 13 ligas de los eventos deportivos de carácter federado nacional y departamental</t>
  </si>
  <si>
    <t>Ligas apoyadas en eventos departamental y nacionales .</t>
  </si>
  <si>
    <t>2234469204-4</t>
  </si>
  <si>
    <t>Apoyo  logistico a las 13 ligas estrategicas  (Adquisición de Bienes y Servicios)</t>
  </si>
  <si>
    <t>2234469204_12</t>
  </si>
  <si>
    <t>Juegos intercolegiados</t>
  </si>
  <si>
    <t>Desarrollar cuatro (4) juegos Intercolegiados  en sus diferentes fases.</t>
  </si>
  <si>
    <t>Juegos intercolegiados desarrollados</t>
  </si>
  <si>
    <t>2234470205-4</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</si>
  <si>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</si>
  <si>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</si>
  <si>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</si>
  <si>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</si>
  <si>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(Adquisición de Bienes y Servicios) </t>
  </si>
  <si>
    <t>2234470205-7</t>
  </si>
  <si>
    <t>2334470205_6</t>
  </si>
  <si>
    <t>2234470205-12</t>
  </si>
  <si>
    <t>COLDEPORTES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</si>
  <si>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</si>
  <si>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</si>
  <si>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</si>
  <si>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</si>
  <si>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</si>
  <si>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</si>
  <si>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</si>
  <si>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</si>
  <si>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Brindar asesoria a los doce municipios del departamento (Componente tecnico)</t>
  </si>
  <si>
    <t>2334471206_6</t>
  </si>
  <si>
    <t>Cigarrillo 70%</t>
  </si>
  <si>
    <t>Desarrollar  1 eventos de deporte social y comunitario.</t>
  </si>
  <si>
    <t>Eventos deportivos social y comunitarios desarrollar</t>
  </si>
  <si>
    <t>2234471207_12</t>
  </si>
  <si>
    <t>Realizacion de eventos deportivos en el departamento (Adquisición de Bienes y Servicios)</t>
  </si>
  <si>
    <t>2334471207_11</t>
  </si>
  <si>
    <t>Aportes Departamewntales RB</t>
  </si>
  <si>
    <t>2334471207_13</t>
  </si>
  <si>
    <t>SUPERAVIT 2017</t>
  </si>
  <si>
    <t>2334471207_6</t>
  </si>
  <si>
    <t>Cifgarrillo 70%</t>
  </si>
  <si>
    <t>Apoyar  técnicamente un 1  evento de  Juegos Comunales en la fase Departamental</t>
  </si>
  <si>
    <t>Juegos comunales apoyados.</t>
  </si>
  <si>
    <t>2234471208_4</t>
  </si>
  <si>
    <t>Realizacion de los juegos comunales en el departamento (Adquisición de Bienes y Servicios)</t>
  </si>
  <si>
    <t>2334471208_6</t>
  </si>
  <si>
    <t>2234471208_12</t>
  </si>
  <si>
    <t>Si Recreación y actividad física para ti</t>
  </si>
  <si>
    <t>Recreación,  para el Bien Común</t>
  </si>
  <si>
    <t>Apoyar de forma articulada el desarrollo del programa (1) "Campamentos Juveniles"</t>
  </si>
  <si>
    <t>Programa de recreación para la juventud diseñado y desarrollado</t>
  </si>
  <si>
    <t>2234572209-3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</si>
  <si>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</si>
  <si>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</si>
  <si>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</si>
  <si>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</si>
  <si>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 (Adquisición de Bienes y Servicios)</t>
  </si>
  <si>
    <t xml:space="preserve">Ley 1816 (3% Monoolio Licores) </t>
  </si>
  <si>
    <t>2334572209_4</t>
  </si>
  <si>
    <t>2234572209_7</t>
  </si>
  <si>
    <t>Apoyar de forma articulada el programa nuevo comienzo "Otro Motivo para Vivir" (1).</t>
  </si>
  <si>
    <t>Programa nuevo comienzo "Otro Motivo para Vivir" articulado y desarrollado.</t>
  </si>
  <si>
    <t>2234572210_4</t>
  </si>
  <si>
    <t>Apoyo logistico y tecnico al adulto mayor (Adquisición de Bienes y Servicios)</t>
  </si>
  <si>
    <t>2334572210_4</t>
  </si>
  <si>
    <t>Recurso Ordinario RB</t>
  </si>
  <si>
    <t>2234572210_3</t>
  </si>
  <si>
    <t>2234572210_7</t>
  </si>
  <si>
    <t>Nación Coldeportes</t>
  </si>
  <si>
    <t>Crear y desarrollar una estrategia para articular la actividad recreativa social comunitaria desde la primera infancia hasta las personas mayores.</t>
  </si>
  <si>
    <t>Estrategia creada y desarrollada.</t>
  </si>
  <si>
    <t>2234572211_3</t>
  </si>
  <si>
    <t>Apoyo logistico tecnico (Adquisición de Bienes y Servicio)</t>
  </si>
  <si>
    <t>2334572211_3</t>
  </si>
  <si>
    <t>Ley 1816 (3% Monoolio Licores)  RB</t>
  </si>
  <si>
    <t>2234572211_7</t>
  </si>
  <si>
    <t xml:space="preserve"> Actividad física, hábitos y estilos de vida saludables</t>
  </si>
  <si>
    <t xml:space="preserve">implementar un (1) programa que permita ejecutar proyectos  de actividad física para la promoción de hábitos y estilos de vida saludables </t>
  </si>
  <si>
    <t xml:space="preserve">Programa implementado </t>
  </si>
  <si>
    <t>2234573212_3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</si>
  <si>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</si>
  <si>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</si>
  <si>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</si>
  <si>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</si>
  <si>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</si>
  <si>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2334573212_4</t>
  </si>
  <si>
    <t>2234573212_7</t>
  </si>
  <si>
    <t>Deporte, recreación, actividad fisica en los municipios del departamento del Quindío</t>
  </si>
  <si>
    <t>Apoyar doce (12) municipios en proyectos deportivos, recreactivos y de actividad fisica</t>
  </si>
  <si>
    <t>Numero de municipios apoyados</t>
  </si>
  <si>
    <t>22346741_2</t>
  </si>
  <si>
    <t>201663000-0166</t>
  </si>
  <si>
    <t>Apoyo a proyectos deportivos, recreativos y de actividad fisica, en el Departamento del Quindìo</t>
  </si>
  <si>
    <t>Disminuir los índices del consumo de estupefacientes en los municipios del departamento</t>
  </si>
  <si>
    <t xml:space="preserve">Fortalecer la articulacion interinstitucional
</t>
  </si>
  <si>
    <t>Brindar acompañamiento tecnico a los municipios Otros (Realizar convenios con los doce municipios del departamento para la transferencia de recursos de telefonia movil)</t>
  </si>
  <si>
    <t>IVA TELEFONIA MOVIL</t>
  </si>
  <si>
    <t xml:space="preserve">GERENTE GENERAL INDEPORTES
</t>
  </si>
  <si>
    <t>POBLACION</t>
  </si>
  <si>
    <t>ESTRATEGIA</t>
  </si>
  <si>
    <t>PROGRAMA</t>
  </si>
  <si>
    <t>SUBPROGRAMA</t>
  </si>
  <si>
    <t>META PRODUCTO PLAN DE DESARROLLO</t>
  </si>
  <si>
    <t>NO</t>
  </si>
  <si>
    <t>VALOR EN PESOS</t>
  </si>
  <si>
    <t>Infraestructura Sostenible para la Paz</t>
  </si>
  <si>
    <t>Mejora de la Infraestructura Vial del Departamento del Quindío</t>
  </si>
  <si>
    <t>Mantener, mejorar y/o rehabilitar ciento treinta (130) km de vías del Departamento para la implementación del Plan Vial Departamental.</t>
  </si>
  <si>
    <t>Km de vías del departamento mantenidas, mejoradas y/o rehabilitadas</t>
  </si>
  <si>
    <t>0211101_4
0211102_3</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</si>
  <si>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</si>
  <si>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</si>
  <si>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</si>
  <si>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 Aumento de la cobertura  en los componentes de vivienda, infraestructura y equipamiento colectivo y comunitario.</t>
  </si>
  <si>
    <t>Mantener, mejorar y/o rehabilitar la infraestructura y vial del departamento</t>
  </si>
  <si>
    <t>129</t>
  </si>
  <si>
    <t>IMPUESTO AL REGISTRO</t>
  </si>
  <si>
    <t>Hernan Mauricio Cañas Piedrahita 
Gerente General</t>
  </si>
  <si>
    <t>Mejora de la Infraestructura  Social del Departamento del Quindío</t>
  </si>
  <si>
    <t>Apoyar la construcción, mejoramiento y/o  rehabilitación de la infraestructura de doce (12) escenarios deportivos y/o recreativos en el departamento del Quindío</t>
  </si>
  <si>
    <t>Número de escenarios deportivo o recreativo  apoyado</t>
  </si>
  <si>
    <t xml:space="preserve">Desarrollo de Programas y Proyectos, en los componentes de vivienda, infraestructura, equipamiento colectivo y comunitario.
</t>
  </si>
  <si>
    <t>Construcción, mejoramiento y/o rehabilitación de la infraestructura de escenarios deportivos y/o recreativos.</t>
  </si>
  <si>
    <t>04</t>
  </si>
  <si>
    <t>EPD</t>
  </si>
  <si>
    <t>Mantener, mejorar y/o rehabilitar la Infraestructura de cuarenta y ocho (48) instituciones educativas en el departamento del Quindío.</t>
  </si>
  <si>
    <t>Numero de instituciones educativas mantenidas, mejoradas y/o rehabilitadas</t>
  </si>
  <si>
    <t>Mantener, mejorar y/o rehabilitar la Infraestructura instituciones educativas en el departamento del Quindío.</t>
  </si>
  <si>
    <t>Apoyar la construcción, el mantenimiento, el mejoramiento y/o la rehabilitación de la infraestructura de dos (2) equipamientos públicos y colectivos del Departamento del Quindío.</t>
  </si>
  <si>
    <t>Numero de equipamientos públicos y colectivos apoyados</t>
  </si>
  <si>
    <t>Construcción, mantenimiento, mejoramiento y/o la rehabilitación de la infraestructura de equipamientos públicos y colectivos.</t>
  </si>
  <si>
    <t>Apoyar la construcción y  el mejoramiento de mil (1000) viviendas urbana y rural priorizada en el departamento del Quindío.</t>
  </si>
  <si>
    <t>Número de viviendas apoyadas</t>
  </si>
  <si>
    <t>Mejoramiento y/o construcción de vivienda urbana y rural.</t>
  </si>
  <si>
    <t>HERNAN MAURICIO CAÑAS PIEDRAHITA.</t>
  </si>
  <si>
    <t>Gerente General - ProviQuindío.</t>
  </si>
  <si>
    <t>Proyectó: Diego Fernando Ramirez Restrepo</t>
  </si>
  <si>
    <t>Profesional Universitario - Contratista.</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</si>
  <si>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</si>
  <si>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</si>
  <si>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No</t>
  </si>
  <si>
    <t>1803 - 5 - 3 1 3 11 35 2 132 - 61
1803 - 5 - 3 1 3 11 35 2 132 - 96
1803 - 5 - 3 1 3 11 35 2 132 - 98</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</si>
  <si>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</si>
  <si>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</si>
  <si>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</si>
  <si>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acciones de Inspección, Vigilancia y Control de alimentos y Bebidas alcohólicas de consumo humano en el Departamento del Quindío.</t>
  </si>
  <si>
    <t>Fondo Local de Salud - SGP</t>
  </si>
  <si>
    <t>N/A</t>
  </si>
  <si>
    <t>Cesar Augusto Rincón Zuluaga
Secretario de Salud</t>
  </si>
  <si>
    <t>Divulgación de las políticas, normas y procedimientos, brindando la asesoría pertinente para promover el cumplimiento de la reglamentación con miras a la protección de la salud, en  programas institucionales.</t>
  </si>
  <si>
    <t>Actualizar de censo de establecimientos de alimentos y bebidas para el 2018</t>
  </si>
  <si>
    <t>Articular acciones de informacion, educacion y comunicación, relacionada con la manipulacion adecuada de alimentos en  las actividades PIC 2018</t>
  </si>
  <si>
    <t>Realizar vigilancia sanitaria en establecmientos de alimentos, relacionados con enfermedades transmitidas por alimentos (ETA), en los muncipios de competencia del Departamento.</t>
  </si>
  <si>
    <t>Articular con el laboratorio departamental de salud publica (LDSP) la programacion y ejecucion de la toma de muestras de alimetnos y bebidas.</t>
  </si>
  <si>
    <t xml:space="preserve">Ejecutar el plan decenal de lactancia materna </t>
  </si>
  <si>
    <t xml:space="preserve">Cumplir con  el tiempo de la practica de la lactancia Materna exclusiva
</t>
  </si>
  <si>
    <t>Realizar concertación intersectorial para la formulación de planes y proyectos que desarrollen el componente de seguridad alimentaria y nutricional de consumo y aprovechamiento biológico.</t>
  </si>
  <si>
    <t xml:space="preserve">Seguimiento al estado de la estrategia IAMI en 11 IPS públicas del departamento. </t>
  </si>
  <si>
    <t>Brindar asistencia técnica para la implementación de la estrategia IAMI.</t>
  </si>
  <si>
    <t>Realizar levantamiento del indicador de lactancia materna exclusiva año 2018.</t>
  </si>
  <si>
    <t>Realizar capacitación a 11 municipios en alianza con la dimensión de salud en el ámbito laboral para la promoción, protección y apoyo de la lactancia materna.</t>
  </si>
  <si>
    <t>Fortalecer la atención integral  en seis (6) poblaciones vulnerables (etnias)  en menores de cinco años con casos de desnutrición</t>
  </si>
  <si>
    <t xml:space="preserve">Fortalecer la  atencion nutricional en poblaciones indigenas del departamento 
.
</t>
  </si>
  <si>
    <t>Realizar seguimiento a casos de desnutrición, bajo peso al nacer y mortalidad por desnutrición notificados por el SIVIGILA con enfoque diferencial.</t>
  </si>
  <si>
    <t>Realizar búsqueda activa institucional y comunitaria de casos de desnutrición aguda en poblaciones etnias en el departamento.</t>
  </si>
  <si>
    <t>Realizar diagnóstico de la situación nutricional de 6 comunidades (etnias del departamento).</t>
  </si>
  <si>
    <t>Realizar seguimiento a la implementación de la ruta de atención integral a la desnutrición en menores de 5 años en poblaciones vulnerables etnias del departamento.</t>
  </si>
  <si>
    <t>Realizar asistencia técnica en lineamientos vigentes para la atención nutricional (Res 5406/2015;2465/2016).</t>
  </si>
  <si>
    <t>Realizar capacitación en guías alimentarias basadas en alimentos y estilos de vida saludable.</t>
  </si>
  <si>
    <t>Salud Pública para un Quindío saludable y posible</t>
  </si>
  <si>
    <t>Salud ambiental</t>
  </si>
  <si>
    <t>Formular, aprobar y divulgar  la Política Integral de Salud Ambiental (PISA)</t>
  </si>
  <si>
    <t>1803 - 5 - 3 1 3 12 36 2 133 - 61
1803 - 5 - 3 1 3 12 36 2 133 - 96</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</si>
  <si>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</si>
  <si>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</si>
  <si>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</si>
  <si>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 xml:space="preserve">Generar  espacios  intersectoriales  para  la  gestión integral  de la salud ambiental, a traves de consejo territorial de salud ambiental COTSA y sus mesas tecnicas </t>
  </si>
  <si>
    <t>Generar espacios intersectoriales para desarrollar con cada municipio el plan de adaptacion al cambio climatico</t>
  </si>
  <si>
    <t>Realizar actividades de caracterización y educación sanitaria y ambiental en el marco de la implementacion de la estrategia entornos saludables, en los entornos de viviendas, educativos y comunitarios con el abordaje integral de las políticas, normas y procedimientos relacionados con la prevencion vigilancia y control de factores de riesgo de la salud</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</si>
  <si>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</si>
  <si>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</si>
  <si>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Mantener  en 11 municipios de competencia departamental la vigilancia de la calidad del agua, mediante la vigilancia de la aplicación de buenas practicas sanitarias y  la toma analisis y reporte de muestras de agua.</t>
  </si>
  <si>
    <t>Realizar levantamiento de los riesgos (actividades que generan riesgo) en las fuentes abastecedoras (Anexo  técnico No. 1  Resolución 4716 de 2010) en tres municipios</t>
  </si>
  <si>
    <t>Sexualidad, derechos sexuales y reproductivos</t>
  </si>
  <si>
    <t>Lograr que ocho (8) municipios del departamento operen el sistema de vigilancia en salud pública de la violencia intrafamiliar.</t>
  </si>
  <si>
    <t>1803 - 5 - 3 1 3 12 37 2 134 - 61
1803 - 5 - 3 1 3 12 37 2 134 - 96</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</si>
  <si>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</si>
  <si>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</si>
  <si>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</si>
  <si>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 xml:space="preserve">Realizar capacitación departamental dirigida al personal del sector salud, protección y justicia en la estrategia de abordaje integral de las violencias de género y violencias sexuales y normatividad vigente. </t>
  </si>
  <si>
    <t>Analizar trimestralmente el comportamiento del evento de violencias sexuales en población vulnerable e identificar hallazgos frente a la calidad de la atención de acuerdo a los seguimientos individuales de casos.</t>
  </si>
  <si>
    <t>Realizar asistencia técnica y evaluación a la gestión del riesgo en salud de las EAPB y ESE en el abordaje integral de las violencias de género y violencias sexuales.</t>
  </si>
  <si>
    <t>Desarrollar acciones articuladas intersectorialmente en los doce (12) municipios del departamento, con enfoque de derechos en colectivos LGTBI, jóvenes, mujeres gestantes adolescentes</t>
  </si>
  <si>
    <t xml:space="preserve">Realizar asistencia técnica y evaluación a las ESE de primer nivel en la Estrategia Nacional de Servicios de Salud Amigables para Adolescentes y Jóvenes, rutas de atención diferenciada, redes sociales, comunitarias y veedurías juveniles. </t>
  </si>
  <si>
    <t>Capacitar al personal de las 12 Secretarias de salud municipales en la Estrategia Nacional de Servicios de Salud Amigables para Adolescentes y Jóvenes, rutas de atención diferenciada, redes sociales, comunitarias y veedurías juveniles.</t>
  </si>
  <si>
    <t>Realizar capacitación departamental dirigida al personal del sector salud en la estrategia de acceso universal a la prevención y atención integral en IT-VIH/SIDA.</t>
  </si>
  <si>
    <t>Analizar trimestralmente el comportamiento del evento de VIH, TRASMISIÓN MATERNO INFANTIL DE VIH y HEPATITIS VIRALES e identificar hallazgos frente a la calidad de la atención de acuerdo a los seguimientos individuales.</t>
  </si>
  <si>
    <t>Realizar asistencia técnica y evaluación a la gestión del riesgo en salud de las EAPB, ESE y Programas regulares en la estrategia de acceso universal a la prevención y atención integral en IT-VIH/SIDA.</t>
  </si>
  <si>
    <t>Realizar seguimiento a las IPS y centros de atención en la  gestión del riesgo en salud a personas que se inyectan drogas, en la estrategia de acceso universal a la prevención y atención integral en IT-VIH/SIDA.</t>
  </si>
  <si>
    <t>Desarrollar acciones encaminadas a dar respuesta al plan nacional de actividades colaborativas TB/VIH involucrando todos los actores del SGSSS y la sociedad civil.</t>
  </si>
  <si>
    <t>Vincular cuatro mil ochocientos (4.800) mujeres gestantes al programa de control prenatal antes de la semana 12 de edad gestacional.</t>
  </si>
  <si>
    <t>Implementar programa del  control prenatal antes de la semana 12 de la edad gestacional</t>
  </si>
  <si>
    <t>Realizar seguimiento a los embarazos de alto riesgo  detectados en todo el departamento del Quindío para que se garantice desde las EAPB la intervención del riesgo en salud.</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</si>
  <si>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</si>
  <si>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</si>
  <si>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Realizar  búsqueda activa institucional y comunitaria  de mujeres embarazadas a través de las IPS, EPS y líderes comunitarios en todo el departamento del Quindío.</t>
  </si>
  <si>
    <t>Establecer acuerdos con IPS y EAPB que aseguren la captación temprana de la gestante antes de la semana 12, a través de las acciones de promoción de la salud e identificación del riesgo.</t>
  </si>
  <si>
    <t xml:space="preserve">Capacitar a las redes sociales y comunitarias en la identificación del riesgo colectivo de las gestantes y en la captación temprana - PIC.  </t>
  </si>
  <si>
    <t xml:space="preserve">Realizar seguimiento y control a la aplicación del TSH neonatal  por parte de los aseguradores y prestadores a todos los recién nacidos institucionalizados y no institucionalizados en el departamento. </t>
  </si>
  <si>
    <t xml:space="preserve">Realizar asistencia técnica y seguimiento EPS  e IPS, en protocolos de atención del evento de sífilis gestacional y congénita y otras infecciones en las gestantes. </t>
  </si>
  <si>
    <t>Adaptar y realizar la verificación en la aplicación de la ruta de atención  integral, en la población gestante del departamento del Quindío</t>
  </si>
  <si>
    <t>Desarrollar y realizar seguimiento al plan de acción del comité departamental de maternidad segura. (Resolución 533 del 02 junio del 2015)</t>
  </si>
  <si>
    <t>Canalizar acciones de promoción de la salud en el desarrollo de la política Nacional de sexualidad, derechos sexuales y reproductivos</t>
  </si>
  <si>
    <t>Desarrollar y realizar seguimiento al plan de acción del comité departamental de sexualidad, derechos sexuales y reproductivos. (Resolución 533 del 02 junio del 2015)</t>
  </si>
  <si>
    <t>Desarrollar y realizar seguimiento al  Plan de acción del subcomité departamental de promoción y prevención de las ITS-VIH/SIDA (Resolución 533 del 02 junio del 2015)</t>
  </si>
  <si>
    <t>Construir el Plan de acción y realizar seguimiento a las acciones intersectoriales establecidas para la prevención de la violencia de género, con énfasis en las violencias sexuales y la atención integral de las violencias.</t>
  </si>
  <si>
    <t>Analizar mensualmente el comportamiento de los eventos de VIH y HEPATITIS B, C y DELTA y retroalimentar al área de inspección, vigilancia y control los hallazgos frente a las demora en la calidad de la atención de acuerdo a los análisis individuales de los casos.</t>
  </si>
  <si>
    <t>Desarrollar acciones de promoción y prevención en salud sexual y reproductiva en espacios trasnsectoriales y comunitarios de los 11 municipios del Departamento a través del PIC</t>
  </si>
  <si>
    <t>Realizar asistencia técnica y evaluación a las 12 Secretarias de salud municipales en la Dimensión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</si>
  <si>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</si>
  <si>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</si>
  <si>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
1803 - 5 - 3 1 3 12 38 2 135 - 98</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</si>
  <si>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</si>
  <si>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</si>
  <si>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</si>
  <si>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Asistencia técnica a la Universidad del Quindío en la implementación de las zonas de orientación universitaria y el modelo de inclusión social.</t>
  </si>
  <si>
    <t>Definición de líneas operativas y prioridades a seguir para el plan de intervenciones colectivas, bajo lineamientos del plan de salud territorial, de la dimensión de convivencia social y salud mental.</t>
  </si>
  <si>
    <t>Formación y capacitación al personal de las IPS, EPS, Planes locales de Salud y entidades que desarrollan acciones encaminadas a la atención de la salud mental con énfasis en MH - GAP y estrategia treanet</t>
  </si>
  <si>
    <t>Realizar el III seminario de actualización en investigación, prevención y atención de la conducta suicida, en el marco de la formulación de la Política en Salud Mental</t>
  </si>
  <si>
    <t>Realizar mesas de trabajo con la sociedad civil, EPS, Médicos especialistas en psiquiatría, para la implementación de los protocolos atención del espectro autista, así como la socialización de las guías de atención en depresión, consumo de alcohol, esquizofrenia.</t>
  </si>
  <si>
    <t>Realizar mesas de trabajo  EPS,  para la socialización de las guías de atención en salud mental y spa, coberturas en salud mental (ley 1438 del 2011, resolución 5592 del 2015, ley 1616 del 2013, ley 1566 del 2012, rutas de atención, política actual de drogas y atención integral a víctimas de violencia) entre otros.</t>
  </si>
  <si>
    <t>Realizar monitoreo y seguimiento a los casos notificados en el SIVIGILA en los eventos de interés  en salud pública y de competencia directa de la Dimensión de convivencia social y salud mental.</t>
  </si>
  <si>
    <t>Realizar acompañamiento a la mesa de trabajo del programa de habitante de calle, para la formulación de la política pública según ley 1641 del 2013.</t>
  </si>
  <si>
    <t>Realizar mesas de coordinación, organización y operativización del comité departamental de reducción del consumo de sustancias psicoactivas - ordenanza 051 del 2010 y apoyo  técnico a la secretaria del interior en el consejo seccional de estupefaciente</t>
  </si>
  <si>
    <t>Adoptar e implementar el modelo de Atención primaria en Salud Mental (APS) en todos los municipios Quindiano</t>
  </si>
  <si>
    <t>Establecer lineamientos de planificación en la Atención primaria en Salud Mental (APS) en todos los municipios Quindiano</t>
  </si>
  <si>
    <t>Realizar asistencia técnica a la universidad del Quindío en la implementación de las zonas de orientación universitaria y el modelo de inclusión social.</t>
  </si>
  <si>
    <t>Realizar formación y capacitación a orientadores escolares del departamento del Quindío, en normatividad actual, rutas de atención y protocolos de vigilancia en la Dimensión de Convivencia Social y Salud Mental.</t>
  </si>
  <si>
    <t>Realizar formación y capacitación a las familias y cuidadores de personas diagnosticadas con esquizofrenia en conjunto con la Asociación Colombiana de Esquizofrenia</t>
  </si>
  <si>
    <t>Brindar asesoría, asistencia técnica y realizar acciones de vigilancia y monitoreo  a los entes municipales en la línea  de convivencia social y salud mental (violencia, conducta suicida, entre otros)</t>
  </si>
  <si>
    <t>Realizar mesas de trabajo de asesoría y asistencia técnica  con  EPS, en normatividad vigente en salud mental, convivencia social, rutas de atención y seguimiento a casos</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</si>
  <si>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</si>
  <si>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</si>
  <si>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Brindar asesoría, asistencia técnica y realizar acciones de vigilancia y monitoreo a las instituciones que cuentan con programas ambulatorios de mantenimiento con método de baja y mediana complejidad, en el departamento del Quindío.</t>
  </si>
  <si>
    <t>Asistencia técnica y  seguimiento a la notificación del sistema único de indicadores de centros de atención a la drogadicción (SUICAD).</t>
  </si>
  <si>
    <t>Mesas de trabajo con usuarios y sus familias de los diferentes programas de sustitución con metadona.</t>
  </si>
  <si>
    <t>Coordinación y organización de las mesas técnicas intersectoriales para los ajustes y adaptación del Plan Nacional Para la Promoción de la Salud, la Prevención, y la Atención del Consumo de Sustancias Psicoactivas 2014 - 2021.</t>
  </si>
  <si>
    <t>Formación y capacitación al personal de las IPS, EPS, Planes locales de Salud y entidades que desarrollan acciones encaminadas a la implementación del modelo de inclusión social de base comunitaria (zonas de orientación universitaria y centros de escucha), primer ciclo de formación en atención primaria en salud mental y spa.</t>
  </si>
  <si>
    <t>Estilos de vida saludable y condiciones no-transmisibles</t>
  </si>
  <si>
    <t>Implementar la estrategia  denominada "Cuatro por cuatro" para la promoción de la alimentación saludable</t>
  </si>
  <si>
    <t>1803 - 5 - 3 1 3 12 39 2 138 - 61
1803 - 5 - 3 1 3 12 39 2 138 - 96</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</si>
  <si>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</si>
  <si>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</si>
  <si>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</si>
  <si>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Desarrollar acciones de  promoción de la salud y gestión del riesgo en Enfermedades Crónicas No Transmisibles (cardiovasculares, diabetes y epoc) con los diferentes grupos poblacionales y los diferentes contextos (PIC)</t>
  </si>
  <si>
    <t>Realizar capacitación en Lineamientos técnicos para la promoción de modos, condiciones y estilos de vida saludable, relacionadas con las enfermedades no transmisibles en el entorno escolar.</t>
  </si>
  <si>
    <t>Brindar asistencia técnica y evaluar en 20 instituciones educativas la implementación de  la estrategia Tiendas escolares Saludables de 11 municipios de competencia departamental.</t>
  </si>
  <si>
    <t>Realizar asistencia técnica a los Planes Locales de Salud en la gestión intersectorial para la promoción de estilos de vida saludables (alimentación saludable, actividad física, alcohol y cigarrillo) en los diferentes entornos educativo, laboral y comunitario.</t>
  </si>
  <si>
    <t>Desarrollar el plan intersectorial para la disminución de lesionados por pólvora y garantizar su implementación en los 12 municipios del departamento.</t>
  </si>
  <si>
    <t>Implementar una estrategia de ambientes libres de humo de tabaco en los  municipios.</t>
  </si>
  <si>
    <t>Articular estrategias interinstitucionales que garanticen la integralidad en la atención de los usuarios</t>
  </si>
  <si>
    <t>Verificar el nivel de cumplimiento  de la ley 1335 de 2009 enfocada en espacios libres de humo (no consumo o exposición al tabaco y sus derivados) en  11 instituciones educativas de competencia departamental.</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</si>
  <si>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</si>
  <si>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 xml:space="preserve">Ejecutar el plan de intervención de la exposición a flúor en el departamento de acuerdo a los riesgos identificados en la fase IV. </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</si>
  <si>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</si>
  <si>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 xml:space="preserve">Realizar el diagnostico situacional de las enfermedades huérfanas y socialización  y generación de planes de intervención con los aseguradores del  departamento del Quindío. </t>
  </si>
  <si>
    <t>Implementar una estrategia para mantener la edad de inicio de consumo de tabaco en los adolescentes escolarizados.</t>
  </si>
  <si>
    <t>Adoptar guías y protocolos de atención de las enfermedades crónicas no transmisibles por parte de las EPS e IPS</t>
  </si>
  <si>
    <t>Fortalecer con la instancia intersectorial las acciones de intervención orientadas a la disminución de riesgo de consumo de tabaco en toda la comunidad educativa, incluidos los padres de familia.</t>
  </si>
  <si>
    <t xml:space="preserve">Coordinar la realización de unidades de análisis de las muertes de interés en salud pública de la dimensión de referencia, verificando adherencia a la metodología "ruta de la vida camino a la supervivencia", generación de planes de mejoramiento e informe de proceso de seguimiento.  </t>
  </si>
  <si>
    <t>Realizar asistencia técnica, seguimiento y monitoreo a la gestión del riesgo en salud de los administradores y prestadores en el abordaje integral de la dimensión de vida saludable y condiciones no transmisibles que incluye seguimiento a los indicadores de la 4505 y de vigilancia en salud pública, para realizar acuerdos con las EPS e IPS y definir planes de acción.</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</si>
  <si>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</si>
  <si>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</si>
  <si>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
1803 - 5 - 3 1 3 12 40 2 139 - 96</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</si>
  <si>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</si>
  <si>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</si>
  <si>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</si>
  <si>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la caracterización de las condiciones sanitarias de las familias de la zona rural en condiciones de vulnerabilidad de los 11 municipios del departamento del Quindío.</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</si>
  <si>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</si>
  <si>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</si>
  <si>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Realizar mesas técnicas para el análisis, evaluación y seguimiento de las acciones de prevención de enfermedades transmitidas por agua, suelo y alimentos, con vigilancia en salud pública.</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</si>
  <si>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</si>
  <si>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</si>
  <si>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el abastecimiento permanente de las vacunas e insumos del PAI, según los lineamientos del programa ampliado de inmunizaciones.</t>
  </si>
  <si>
    <t>Realizar asistencia técnica a los municipios para asegurar el correcto almacenamiento, conservación y transporte de vacunas, bajo los estándares de calidad de la cadena de frio.</t>
  </si>
  <si>
    <t>Consolidar el registro de la información reportada sobre dosis aplicadas en el sistema de información nominal de las instituciones que brindan atención a la población menor de 5 años CDI en el departamento.</t>
  </si>
  <si>
    <t>Realizar la consolidación de la información generada por el programa ampliado de inmunizaciones, para reporte al MSPS con oportunidad, calidad e integralidad según el sistema de información nominal PAIWEB.</t>
  </si>
  <si>
    <t>Implementar  la estrategia de gestión integral-enfermedades de transmisión vectorial (EGI ETV) en los 5 municipios hiperendémicos para enfermedades de transmisión vectorial</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</si>
  <si>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</si>
  <si>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</si>
  <si>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</si>
  <si>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Realizar inspección vigilancia y control de focos de reproducción de vectores (dengue, Chikunguña y zika) en los 11 municipios de competencia Departamental.</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</si>
  <si>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</si>
  <si>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</si>
  <si>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Res. 781/15 Prev. y control enfermedades por Vect</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</si>
  <si>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</si>
  <si>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</si>
  <si>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Res. 1288/2016 Promoción, prevención y control ETV</t>
  </si>
  <si>
    <t>1803 - 5 - 3 1 3 12 40 2 141 - 111
1803 - 5 - 3 1 3 12 40 2 141 - 147
1803 - 5 - 3 1 3 12 40 2 141 - 61
1803 - 5 - 3 1 3 12 40 2 141 - 102
1803 - 5 - 3 1 3 12 40 2 141 - 98</t>
  </si>
  <si>
    <t>Realizar el monitoreo y evaluación a las acciones de gestión del riesgo, adherencia a guías y protocolos en las EAPB y Empresas Sociales del Estado que conduzcan a mejorar la calidad en la atención integral de pacientes con ETV y Zoonosis.</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</si>
  <si>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</si>
  <si>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</si>
  <si>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Estimar la población de perros y gatos en las áreas urbana y rural en el 100% de los municipios de categoría 4, 5 y 6 del departamento del Quindío.</t>
  </si>
  <si>
    <t xml:space="preserve">Promover a nivel comunitario la tenencia responsable de animales de compañía y la promoción de la vacunación antirrábica. </t>
  </si>
  <si>
    <t>Realizar coordinación intersectorial en el marco del Consejo Territorial de Zoonosis.</t>
  </si>
  <si>
    <t>Realizar vacunación regular de perros y gatos a nivel urbano y rural en los 11 municipios de categoría 4, 5 y 6 del Departamento del Quindío.</t>
  </si>
  <si>
    <t>Implementar el plan estratégico hacia el fin de la tuberculosis</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</si>
  <si>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</si>
  <si>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</si>
  <si>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</si>
  <si>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en el programa de tuberculosis y lepra a las direcciones locales de los 12 municipios del departamento.</t>
  </si>
  <si>
    <t>Realizar capacitaciones al personal asistencial de las IPS en el programa de tuberculosis y lepra en el departamento.</t>
  </si>
  <si>
    <t>1803 - 5 - 3 1 3 12 40 2 142 - 113</t>
  </si>
  <si>
    <t>Realizar el análisis e intervención a los casos especiales de farmacorresistencia del programa de tuberculosis.</t>
  </si>
  <si>
    <t>1803 - 5 - 3 1 3 12 40 2 142 - 114</t>
  </si>
  <si>
    <t>Acompañar la vigilancia de cumplimiento a guías y protocolos de vigilancia en tuberculosis y lepra</t>
  </si>
  <si>
    <t>1803 - 5 - 3 1 3 12 40 2 142 - 61</t>
  </si>
  <si>
    <t>Coordinar acciones para la gestión intersectorial</t>
  </si>
  <si>
    <t>Realizar mesas técnicas para la gestión del compromiso político, en la protección social y sistemas de apoyo de pacientes con tuberculosis y lepra.</t>
  </si>
  <si>
    <t>Res.1030/2016 Campaña control lepra QuindÍo</t>
  </si>
  <si>
    <t>1803 - 5 - 3 1 3 12 40 2 142 - 96</t>
  </si>
  <si>
    <t>Ejecutar los nuevos planes estratégicos de tuberculosis y lepra.</t>
  </si>
  <si>
    <t>Res.1030/2016 campaña control lepra Quindío</t>
  </si>
  <si>
    <t>Garantizar los insumos, medios y reactivos para el análisis de las muestras de tuberculosis y lepra en las IPS públicas del departamento.</t>
  </si>
  <si>
    <t>Realizar campañas de prevención y atención integral en afectados por tuberculosis</t>
  </si>
  <si>
    <t>Gestión de la prestación de los servicios en prevención y atención integral centrada en los afectados por tuberculosis y lepra.</t>
  </si>
  <si>
    <t>Realizar actividades de promoción y prevención implementadas para la comunidad y grupos focalizados en tuberculosis y lepra en los 12 municipios del departamento.</t>
  </si>
  <si>
    <t>Salud publica en emergencias y desastres</t>
  </si>
  <si>
    <t>Realizar catorce (14) simulacros de atención a emergencias en la Red Pública Hospitalaria</t>
  </si>
  <si>
    <t>1803 - 5 - 3 1 3 12 41 2 143 - 61</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</si>
  <si>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</si>
  <si>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</si>
  <si>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</si>
  <si>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realizar 14 simulcros de atencion a emergencias en la red hospitalaria.</t>
  </si>
  <si>
    <t xml:space="preserve">Realizar asistencia técnica en la construcción y ejecución del plan bienal de inversiones, a once (11) Empresas sociales del estado (ESE) del departamento. </t>
  </si>
  <si>
    <t>Realizar 11 visitas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</si>
  <si>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</si>
  <si>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</si>
  <si>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</si>
  <si>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 salud departamental. </t>
  </si>
  <si>
    <t>Capacitar a los hospitales para la integracion de los planes de emergencia hospitalaria con el plan de emergencia de  secretaria de salud.</t>
  </si>
  <si>
    <t>Fortalecer las capacidades tecnicas del CRUE departamental, en la regulacion de la referencia y contrarreferencia, implementando los lineamientos Rutas Integrales de Atencion en Salud.</t>
  </si>
  <si>
    <t>Salud en el entorno laboral</t>
  </si>
  <si>
    <t>Fomentar en 8 municipios un programa de cultura preventiva en el trabajo formal e informal y entornos laborales saludables.</t>
  </si>
  <si>
    <t>1803 - 5 - 3 1 3 12 42 2 145 - 61
1803 - 5 - 3 1 3 12 42 2 145 - 96</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</si>
  <si>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</si>
  <si>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</si>
  <si>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</si>
  <si>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Capacitar en prevención de riesgos laborales a las empresas del Sector económico con más alto índice de accidentalidad.</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</si>
  <si>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</si>
  <si>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</si>
  <si>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Formular el plan de acción para la prevención de trabajo infantil en el departamento del Quindío, en el marco del Comité Departamentales para la prevención y erradicación de trabajo infantil - CIETI.</t>
  </si>
  <si>
    <t>Identificar y caracterizar la población trabajadora en condición de informalidad con énfasis en el menor trabajador en los 11 municipios del departamento.</t>
  </si>
  <si>
    <t xml:space="preserve">Realizar una jornada Educativa con relación a Riesgos laborales a los empleadores del Dpto. </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</si>
  <si>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</si>
  <si>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</si>
  <si>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Realizar asistencia técnica  a los prestadores de primer nivel, para verificar el cumplimiento del Sistema de Gestión de la Seguridad y Salud en el Trabajo.</t>
  </si>
  <si>
    <t>Realizar jornada de sensibilización a los Empleadores para fomentar la afiliación al SGRL a sus empleados conforme a ley 1562 del 2012 y decreto 1443  del 2015.</t>
  </si>
  <si>
    <t>Brindar asistencia técnica a las ARLs en el diseño del SG-SST,  capacitación a las brigadas de primeros auxilios, COPASST  o VIGIA y la promoción de estilos de vida y trabajo saludable a la población trabajadora de sus empresas usuarias.</t>
  </si>
  <si>
    <t xml:space="preserve">Expedir las licencias y asistencias técnicas en Seguridad y Salud en el Trabajo. </t>
  </si>
  <si>
    <t>Analizar los eventos de origen laboral graves y mortales reportados por el Comité Seccional de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</si>
  <si>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</si>
  <si>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</si>
  <si>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</si>
  <si>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</si>
  <si>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</si>
  <si>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vigilancia epidemiológica de plaguicidas en el marco del programa VEO con la toma de muestras de Acetilcolinesterasa en sangre a los individuos expuestos a plaguicidas  Organofosforados y Carbamatos.</t>
  </si>
  <si>
    <t>Análisis y seguimiento al comportamiento de los eventos por intoxicaciones de sustancias químicas y enfermedad diarreica aguda (EDAS), generada por el Sistema de Vigilancia y fuentes externas.   </t>
  </si>
  <si>
    <t>Asistencia técnica  a los actores de la vigilancia en  salud publica  en el departamento, en el evento de intoxicaciones por sustancias Químicas y enfermedades diarreicas agudas (EDAS) de conformidad con los lineamientos y protocolos del INS.</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</si>
  <si>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</si>
  <si>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</si>
  <si>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</si>
  <si>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Realizar inspección vigilancia y control con enfoque de riesgo a los establecimientos que usan y manejan sustancias químicas potencialmente toxicas en los 12 Municipios del Departamento.</t>
  </si>
  <si>
    <t>1803 - 5 - 3 1 3 12 43 2 146 - 98</t>
  </si>
  <si>
    <t>Realizar inspección, vigilancia y control a los planes de gestión  integral de residuos generados en atención en salud y otras actividades en los municipios del departamento.</t>
  </si>
  <si>
    <t>1803 - 5 - 3 1 3 12 43 2 146 - 63</t>
  </si>
  <si>
    <t>Realizar inspección, vigilancia y control, de las condiciones de seguridad higiénico, sanitaria y ambiental, a sujetos de interés en saneamiento básico, en los municipios de competencia departamental.</t>
  </si>
  <si>
    <t>Fondo de Estupefacientes</t>
  </si>
  <si>
    <t xml:space="preserve">Consolidar y desarrollar  el sistema de inspección vigilancia y control (SIVC)  en 150 establecimientos farmacéuticos del departamento. </t>
  </si>
  <si>
    <t>0318 - 5 - 3 1 3 12 43 2 146 - 20</t>
  </si>
  <si>
    <t>Realizar inspección  vigilancia y control para verificar las condiciones técnicas, higiénico sanitarias locativas y de calidad a los establecimientos farmacéuticos en los 12 municipios del departamento del Quindío.</t>
  </si>
  <si>
    <t>1803 - 5 - 3 1 3 12 43 2 146 - 96</t>
  </si>
  <si>
    <t xml:space="preserve">Suministrar medicamentos de control especial- monopolio del estado a los establecimientos farmacéuticos autorizados. </t>
  </si>
  <si>
    <t>Suministrar medicamentos de programas especiales a las IPS’s que lo requieran.</t>
  </si>
  <si>
    <t>1803 - 5 - 3 1 3 12 43 2 146 - 99</t>
  </si>
  <si>
    <t>Realizar visitas a Establecimientos Farmacéuticos de acuerdo a los productos notificados por el Programa delegaciones INVIMA  en los 12 municipios del Departamento del Quindío.</t>
  </si>
  <si>
    <t>Análisis y seguimiento  al  comportamiento del evento de intoxicaciones por sustancias químicas  (Intoxicación por Fármacos)  de los casos notificadas al SIVIGILA  por las Unidades Notificadoras Municipal.</t>
  </si>
  <si>
    <t xml:space="preserve">Realizar educación en salud a través de las visitas domiciliarias PIC, en el manejo y uso adecuado de medicamentos en casa.  </t>
  </si>
  <si>
    <t xml:space="preserve">Publicar en la página de la gobernación un boletín con temas farmacéuticos, que  muestre la situación actual,  las intervenciones desarrolladas y las recomendaciones para la comunidad en general.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</si>
  <si>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</si>
  <si>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</si>
  <si>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</si>
  <si>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</si>
  <si>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</si>
  <si>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Realizar capacitaciones en el reconocimiento de la familia como un determinante del desarrollo a la comunidad afro en el departamento del Quindío.</t>
  </si>
  <si>
    <t>Realizar una mesa de concertación  con la población afro  para la proyección de acciones PIC departamental, con enfoque diferencial.</t>
  </si>
  <si>
    <t>Difundir a través de medios de comunicación municipales el respeto y reconocimiento de los deberes y derechos de la población vulnerable con enfoque diferencial (genero - LGTBI - afro - habitante de calle - adulto mayor -niños niñas adolescentes - indígenas - discapacidad).</t>
  </si>
  <si>
    <t>Realizar visitas de supervisión a IPS para evaluar la calidad en la atención en salud de la población vulnerable con enfoque diferencial (genero - LGTBI - afro - habitante de calle - adulto mayor -niños niñas adolescentes - indígenas).</t>
  </si>
  <si>
    <t>Realizar la verificación de la afiliación en salud y la atención en salud con  enfoque diferencial          (genero - LGTBI - afro - habitante de calle - adulto mayor -niños niñas adolescentes - indígenas - discapacidad)  en los municipios del departamento.</t>
  </si>
  <si>
    <t>Realizar Seguimiento y asistencia técnica al cumplimiento de planes de mejoramiento suscritos con las instituciones que se encuentran funcionando antes de  la expedición de la ley 1315/2009.</t>
  </si>
  <si>
    <t>Realizar verificación de las instalaciones y el funcionamiento de centros de protección o centro día para el adulto mayor  (ley 1315/2009) con apoyo del estado.</t>
  </si>
  <si>
    <t>Implementar el  Programa de atención psicosocial y salud integral a víctimas del conflicto armado.</t>
  </si>
  <si>
    <t xml:space="preserve">Implementar programas de participación social que garanticen los derechos de los grupos vulnerables </t>
  </si>
  <si>
    <t>Realizar jornadas de oferta institucional en el punto de atención UAO Miraflores, para identificar y eliminar barreras de acceso en la prestación de servicios de salud de la población víctima.</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</si>
  <si>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</si>
  <si>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seguimiento a la implementación del Programa de Atención Psicosocial y Salud Integral a Víctimas PAPSIVI en los municipios donde se encuentra operando.</t>
  </si>
  <si>
    <t>Realizar el cargue trimestral de la información sobre la atención psicosocial a las Victimas en el aplicativo del PAPSIVI.</t>
  </si>
  <si>
    <t>Activar la funcionalidad del Comité de Víctimas creado al interior de la Secretaria de Salud Departamental con una periodicidad bimensual para garantizar sus derechos y deberes en salud</t>
  </si>
  <si>
    <t>Hacer seguimiento a las acciones de salud desarrolladas desde los PLS para las Victimas del desplazamiento cobijadas por los Autos 092, 251, 004, 005, 006</t>
  </si>
  <si>
    <t>1803 - 5 - 3 1 3 12 44 2 148 - 61</t>
  </si>
  <si>
    <t>Apoyar el establecimiento  y coordinación  de  redes integradas  de servicios de información en  salud (acceso del sector salud a VIVANTO).</t>
  </si>
  <si>
    <t>Fortalecimiento de  la estrategia AIEPI en los 12 municipios del Departamento</t>
  </si>
  <si>
    <t>1803 - 5 - 3 1 3 12 44 2 148 - 98</t>
  </si>
  <si>
    <t>Consolidar los programas de atención a la primera infancia</t>
  </si>
  <si>
    <t>Realizar acompañamiento a los 12  Municipios  durante la jornadas Nacionales de vacunación.</t>
  </si>
  <si>
    <t xml:space="preserve">Realizar verificacion del cumplimiento de las coberturas de vacunacion de los 12 municipios del departamento dentro del plan de intervenciones colectivas </t>
  </si>
  <si>
    <t xml:space="preserve">Realizar articulacion con las EAPB, IPS y planes locales de salud mediantes mesas de trabajo para garantizar el cumplimiento en las coberturas de vacunacion dentro de los 12 municipios </t>
  </si>
  <si>
    <t>Capacitar a coordinadores del plan ampliado de inmunizacion para la ejecucion del monitoreo y encuentas de cobertura de vacunacion de los 12 municipios del departamento.</t>
  </si>
  <si>
    <t>realizar la asistencia tecnica a los 12 municipios del departamento para la implementacion de la estartegia AIEPI</t>
  </si>
  <si>
    <t>Brindar asistencia tecnica a los 12 municipios en la elaboracion del plan para la articulacion de las estrategias IAMI - AIEPI - PAI</t>
  </si>
  <si>
    <t>Fortalecer en los doce (12) municipios del departamento los  comités municipales de discapacidad</t>
  </si>
  <si>
    <t>Fortalecer atención integral a poblaciones vulnerables</t>
  </si>
  <si>
    <t>Brindar capacitación y apoyo en el monitoreo de las metas del registro de localización y caracterización de personas con discapacidad de los 12 municipios.</t>
  </si>
  <si>
    <t>Realizar seguimiento a las EAPB para el cumplimiento de la Circular 016 del 2014 (exención de copagos y cuotas moderadoras) y la Circular 010 del 2015 (atención integral de salud para personas con discapacidad).</t>
  </si>
  <si>
    <t>Realizar jornadas de capacitación en normatividad vigente en torno a la población con discapacidad.</t>
  </si>
  <si>
    <t>Realizar visitas de asistencia, seguimiento y verificación de acceso, accesibilidad, red de servicios contratada, referencia y contrareferencia en la prestación de servicios de salud a las personas con discapacidad en la EAPB.</t>
  </si>
  <si>
    <t>Plan de intervenciones colectivas en el modelo de APS</t>
  </si>
  <si>
    <t>Evaluar en  once (11)   empresas sociales del estado (ESE)  Municipales la implementación del Plan de intervenciones colectivas (PIC).</t>
  </si>
  <si>
    <t>1803 - 5 - 3 1 3 12 45 2 150 - 61
1803 - 5 - 3 1 3 12 45 2 150 - 98</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</si>
  <si>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</si>
  <si>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</si>
  <si>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</si>
  <si>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</si>
  <si>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</si>
  <si>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Ejecutar las acciones de la estrategia COMBI en municipios hiperendémicos para enfermedades vectoriales</t>
  </si>
  <si>
    <t xml:space="preserve">Realizar acciones, intervenciones y procedimientos colectivos </t>
  </si>
  <si>
    <t>Auditoria a 8  planes de mejoramiento instaurados con la red pública ejecutora del Plan de Intervenciones Colectivas.</t>
  </si>
  <si>
    <t>Planes de mejoramiento instaurados  de Intervenciones Colectivas.</t>
  </si>
  <si>
    <t>Realizar auditoria a los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</si>
  <si>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</si>
  <si>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</si>
  <si>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2 151 - 102
1803 - 5 - 3 1 3 12 46 2 151 - 61
1803 - 5 - 3 1 3 12 46 2 151 - 96
1803 - 5 - 3 1 3 12 46 2 151 - 98</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</si>
  <si>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</si>
  <si>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</si>
  <si>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</si>
  <si>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</si>
  <si>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Compra de equipos de laboratorio</t>
  </si>
  <si>
    <t>Realizar análisis de muestras de alimentos, aguas, bebidas alcoholicas  que llegan al laboratorio en cumplimiento de la programacion y las muestras para ETAS Y  vigilancia que lleguen al laboratorio</t>
  </si>
  <si>
    <t>Realizar análisis de muestras    para la vigilancia de enfermedades de interés en salud publica enviados por los laboratorios de la red.</t>
  </si>
  <si>
    <t xml:space="preserve">Optimizar los procesos contractuales desde el LSP y  la DTS
</t>
  </si>
  <si>
    <t>Realizar evaluacion externa indirecta de citologias de cuello uterino a los laboratorios de la red</t>
  </si>
  <si>
    <t>Ejecutar el sistema de gestion de calidad y aseguramiento de metrologia en el laboratorio de salud publica.</t>
  </si>
  <si>
    <t>Adecuar infraestructura que de cumplimiento para el buen  funcionamiento del LSP</t>
  </si>
  <si>
    <t xml:space="preserve">Realizar el mantenimiento preventivo y correctivo de los equipos de laboratorio.  </t>
  </si>
  <si>
    <t>crear diez (10) y fortalecer noventa (90) Comités de Vigilancia 
Epidemiológica  Comunitaria 
(COVECOM) municipales.</t>
  </si>
  <si>
    <t>1803 - 5 - 3 1 3 12 46 2 152 - 102
1803 - 5 - 3 1 3 12 46 2 152 - 61
1803 - 5 - 3 1 3 12 46 2 152 - 96
1803 - 5 - 3 1 3 12 46 2 152 - 98</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</si>
  <si>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</si>
  <si>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</si>
  <si>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</si>
  <si>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Actualizar el mapa social por cada uno de los COVECOM para la priorización de la gestión interinstitucional.</t>
  </si>
  <si>
    <t>61
96
102
98</t>
  </si>
  <si>
    <t xml:space="preserve">Fondo Local de Salud - SGP
Superavir rentas cedidas
Superavit cof nacion
superavit SGP salud publica </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</si>
  <si>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</si>
  <si>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</si>
  <si>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</si>
  <si>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</si>
  <si>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</si>
  <si>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</si>
  <si>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</si>
  <si>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</si>
  <si>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</si>
  <si>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Realizar seguimiento al proceso de gestión del riesgo individual, frente a las acciones de protección específica y detección temprana desde el reporte del anexo técnico de la resolución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</si>
  <si>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</si>
  <si>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</si>
  <si>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</si>
  <si>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1801 - 5 - 3 1 3 13 47 2 153 - 72</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</si>
  <si>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</si>
  <si>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</si>
  <si>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</si>
  <si>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Seguimiento a la identificacion de la poblacion atendida de las IPS publicas para la afiliacion del sistema general SGSS</t>
  </si>
  <si>
    <t>Rentas cedidas subcuenta otros gastos en salud</t>
  </si>
  <si>
    <t>Orientar e inducir a la poblacion no sisbenizada atendida por las IPS a realizar la afiliacion al SGSS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</si>
  <si>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</si>
  <si>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</si>
  <si>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2 153 - 148
1801 - 5 - 3 1 3 13 48 2 153 - 64
1801 - 5 - 3 1 3 13 48 2 153 - 71
1801 - 5 - 3 1 3 13 48 2 153 - 96</t>
  </si>
  <si>
    <t xml:space="preserve"> Gestionar  recursos para cofinanciación de la afialicon  mpo y lugares de afiliación
</t>
  </si>
  <si>
    <t>Gestión de recursos para cofinanciación de la afiliación a los municipios y lugares de afiliación</t>
  </si>
  <si>
    <t>64
65</t>
  </si>
  <si>
    <t xml:space="preserve">Ley 1393 Rentas cedidas subcuenta régimen subsidiado
Cofinanciación Nacional </t>
  </si>
  <si>
    <t>Asistencia técnica  a los actores del sistema en el proceso de aseguramiento de la población</t>
  </si>
  <si>
    <t>Brindar asistencia técnica a 12 Municipios del departamento,  en los procesos del régimen subsidiado</t>
  </si>
  <si>
    <t>1801 - 5 - 3 1 3 13 49 2 153 - 72</t>
  </si>
  <si>
    <t xml:space="preserve"> Aumentar la asistencia técnica a 12 Municipios del departamento,  en los procesos del régimen subsidiado</t>
  </si>
  <si>
    <t>Realizar auditorias a los procesos de regimen subsidiado en los 12 municipios, de acuerdo a lo establecido en la Circular 006 de 2011.</t>
  </si>
  <si>
    <t>Brindar asistencia técnica a 12 Municipios del departamento,  en los procesos del régimen subsidiado. Adriana</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</si>
  <si>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</si>
  <si>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</si>
  <si>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</si>
  <si>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2 154 - 110
1802 - 5 - 3 1 3 14 50 2 154 - 102
1802 - 5 - 3 1 3 14 50 2 154 - 110
1802 - 5 - 3 1 3 14 50 2 154 - 145
1802 - 5 - 3 1 3 14 50 2 154 - 151
1802 - 5 - 3 1 3 14 50 2 154 - 58
1802 - 5 - 3 1 3 14 50 2 154 - 59
1802 - 5 - 3 1 3 14 50 2 154 - 60
1802 - 5 - 3 1 3 14 50 2 154 - 65
1802 - 5 - 3 1 3 14 50 2 154 - 96
1802 - 5 - 3 1 3 14 50 2 154 - 97
1804 - 5 - 3 1 3 14 50 2 154 - 102</t>
  </si>
  <si>
    <t>Prestación de Servicios a la Población no Afiliada al Sistema General de Seguridad Social en Salud  y en los no POS  a la Población Afiliada al Régimen Subsidiado.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</si>
  <si>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</si>
  <si>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</si>
  <si>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Apoyo procesos de inspección , vigilancia y control en el acceso de los afiliados  a la red de servicios de salud.</t>
  </si>
  <si>
    <t>Resolución 971/2016 programa inimputables</t>
  </si>
  <si>
    <t>Mantener la contratación con la red pública y privada (15)  para la atención de la población no afiliada.</t>
  </si>
  <si>
    <t xml:space="preserve">Fortalecer la contratación para la atención de la población no afiliada </t>
  </si>
  <si>
    <t xml:space="preserve">Fortaler la contratacion para la atencion de la pobblacion pobre no asegurada y los servicios no incluidos en el Plan de beneficios de la poblacion afiliada al regimen subsidiado. </t>
  </si>
  <si>
    <t>SGP salud prestación servicios C.S.F</t>
  </si>
  <si>
    <t>Realizar asistencia técnica en la construcción y ejecución del plan bienal de inversiones, a catorce (14) Empresas sociales del estado (ESE) del departamento.</t>
  </si>
  <si>
    <t>Fortalecier la construcción del Plan Bienal en las 14 Empresas sociales del estado (ESE)del departamento.</t>
  </si>
  <si>
    <t>Asistencia tecnica a las ESE del departamento en la formulacion, gestion y manejo de la plataforma para proyectos de infraestructura y dotacion.</t>
  </si>
  <si>
    <t>SGP salud aportes patronales S.S.F</t>
  </si>
  <si>
    <t>Realizar sesiones del  cosejo territoriales de salud para obtener aval de proyectos de infraestructura y dotacion hospitalaria.</t>
  </si>
  <si>
    <t>Recurso destinado del Monopolio</t>
  </si>
  <si>
    <t>Fortalecimiento de la  gestión de la entidad territorial municipal</t>
  </si>
  <si>
    <t>Realizar asistencia Técnica  en los 12 municipios, en la capacidad de gestión en salud</t>
  </si>
  <si>
    <t>0318 - 5 - 3 1 3 14 51 2 155 - 20</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</si>
  <si>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</si>
  <si>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</si>
  <si>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</si>
  <si>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Apoyo tecnico en los procesos de financiacion a los municpios para ejercer procesos de afiliacion y atencion al SGSS</t>
  </si>
  <si>
    <t>Capacitar en los procesos de gestion tecnica en salud.</t>
  </si>
  <si>
    <t>Realizar procesos de verificación a los 12 municipios y sus respectivas E.S.E del departamento en los reportes de gestión financiera.</t>
  </si>
  <si>
    <t>Brindar apoyo en la gestión administrativa y financiera a los municipios y E.S.E del departamento</t>
  </si>
  <si>
    <t>Garantizar red de servicios en eventos de emergencias</t>
  </si>
  <si>
    <t xml:space="preserve">Ajustar los 14 planes de emergencia de las instituciones prestadoras de salud de todo el Departamento.  </t>
  </si>
  <si>
    <t>0318 - 5 - 3 1 3 14 52 2 156 - 20</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</si>
  <si>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</si>
  <si>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</si>
  <si>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</si>
  <si>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simulacros de atencion a emergencias en la red publica</t>
  </si>
  <si>
    <t>Realizar procesos de atención en emergencias de la red publica.</t>
  </si>
  <si>
    <t>Fortalecer el sistema de alarma de emergencias y perifoneo de los hospitales públicos.</t>
  </si>
  <si>
    <t>Desarrollar el plan de emergencias de salud departamental</t>
  </si>
  <si>
    <t xml:space="preserve">Articular  la red hospitalaria del Departamento
</t>
  </si>
  <si>
    <t xml:space="preserve">Realizar mantenimiento de los equipos de telecomunicación </t>
  </si>
  <si>
    <t>Ajustar un (1) Plan de Emergencias en Salud Departamental.</t>
  </si>
  <si>
    <t>Realizar ajuste a un plan de emergencias del departamento del quindio</t>
  </si>
  <si>
    <t>Atender en los 12 municipios  del departamento, los eventos de emergencia y urgencias, y el sistema de referencia y contra referencia  de la población  no afiliada.</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</si>
  <si>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</si>
  <si>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</si>
  <si>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</si>
  <si>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Seguimiento, evaluación y gestión de los procesos técnicos Y administrativos de funcionamiento del CRUE.</t>
  </si>
  <si>
    <t>1802 - 5 - 3 1 3 14 52 2 157 - 72</t>
  </si>
  <si>
    <t>Regular y coordinar la prestación de servicios de urgencias y emergencias en salud en el departamento.</t>
  </si>
  <si>
    <t>Realizar asistencia técnica a los prestadores de servicios de salud.</t>
  </si>
  <si>
    <t>Implementación de la línea departamental de urgencia en salud mental.</t>
  </si>
  <si>
    <t>Dotación de quipos de tecnología y telecomunicaciones para el funcionamiento del CRUE.</t>
  </si>
  <si>
    <t>Garantizar continuidad del funcionamiento del CRUE - SEM</t>
  </si>
  <si>
    <t>1804 - 5 - 3 1 3 14 52 2 157 - 96</t>
  </si>
  <si>
    <t xml:space="preserve">Capacitar a la comunidad y primer respondiente acorde con los riesgos identificados en el territorio durante el mes.   </t>
  </si>
  <si>
    <t>Estandarizar e implementar  los formatos de reporte entre los actores involucrados</t>
  </si>
  <si>
    <t>Reporte de información en tiempo real sobre la capacidad resolutiva del servicio en salud.</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</si>
  <si>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</si>
  <si>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</si>
  <si>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0318 - 5 - 3 1 3 14 53 2 158 - 20</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</si>
  <si>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</si>
  <si>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</si>
  <si>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</si>
  <si>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Reformular el PAMEC de la Dirección Territorial de acuerdo a lo establecido en la Resolución 3960 de 2008.</t>
  </si>
  <si>
    <t>Evaluación del PAMEC en su condición de compradores de servicios de salud para población pobre no afiliada, mediante  auditoría externa a los prestadores.</t>
  </si>
  <si>
    <t xml:space="preserve">Realizar inspección y vigilancia a la formulación y cumplimiento de los contenidos del PAMEC de los municipios certificados de su jurisdicción.                                                                                </t>
  </si>
  <si>
    <t xml:space="preserve">Enviar anualmente a la superintendencia nacional de salud, un informe de seguimiento a la formulación y evaluación de los PAMEC de los municipios de competencia departamental. </t>
  </si>
  <si>
    <t xml:space="preserve">Realizar un plan de asistencia técnica para la formulación e implementación del PAMEC en la IPS y EAPBS públicas del Departamento. </t>
  </si>
  <si>
    <t xml:space="preserve">Asegurar la totalidad de los estandares establecidos en el sistema de habilitacion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</si>
  <si>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</si>
  <si>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</si>
  <si>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 xml:space="preserve">Garantizar eficiencia en el establecimiento de los indicadores de seguimiento a riesgo 
</t>
  </si>
  <si>
    <t>Realizar capacitación del recurso humano de las ESES, IPS y EPS Tema del PAMEC, indicadores de calidad y circular 012 de 2016</t>
  </si>
  <si>
    <t>Realizar visitas de verificación de los requisitos de habilitación a 150 prestadores de servicios de salud.</t>
  </si>
  <si>
    <t xml:space="preserve">Realizar visitas de verificación de los requisitos de habilitación </t>
  </si>
  <si>
    <t>Verificación de los requisitos de habilitación</t>
  </si>
  <si>
    <t>Fortalecimiento financiero de la red de servicios publica</t>
  </si>
  <si>
    <t>Evaluar semestralmente los indicadores de monitoreo del sistema de catorce (14) ESE´s del nivel I, II y III</t>
  </si>
  <si>
    <t>0318 - 5 - 3 1 3 14 54 2 159 - 20
0318 - 5 - 3 1 3 14 54 2 159 - 88</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</si>
  <si>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</si>
  <si>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</si>
  <si>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</si>
  <si>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de ejecucion y saneamiento a los aportes patronales de las IPS publicas.</t>
  </si>
  <si>
    <t>Seguimiento y apoyo al proceso financiero de las IPS publicas</t>
  </si>
  <si>
    <t>Apoyar 2 programas  de saneamiento fiscal y financiero a las IPS categorizadas en riesgo por el Ministerio de Salud</t>
  </si>
  <si>
    <t xml:space="preserve">Realizar los  procesos adecuados para la auditoria en el flujo de recursos de las IPS 
</t>
  </si>
  <si>
    <t>Seguimiento a los programas de saneamiento fiscal y financiero.</t>
  </si>
  <si>
    <t>Gestión Posible</t>
  </si>
  <si>
    <t>Apoyo y Fortalecimiento Institucional</t>
  </si>
  <si>
    <t>Evaluar los municipios de Armenia y Calarcá que se encuentran  certificados en salud</t>
  </si>
  <si>
    <t>1804 - 5 - 3 1 3 15 55 2 160 - 72
0318 - 5 - 3 1 3 15 55 2 160 - 20</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</si>
  <si>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</si>
  <si>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</si>
  <si>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</si>
  <si>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</si>
  <si>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Lograr que los procesos misionales y estratégicos de la Secretaría de Salud, que así lo requieran cuente con el apoyo y gestión de la Dirección Estratégica.</t>
  </si>
  <si>
    <t>Fortaleza en la planificacion, seguimiento y evaluacion de objetivos de S.D.S</t>
  </si>
  <si>
    <t>Realizar actividades de planeacion para la S.D.S aplicando los lineamientos normativos vigentes</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</si>
  <si>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</si>
  <si>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</si>
  <si>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</si>
  <si>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</si>
  <si>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</si>
  <si>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</si>
  <si>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</si>
  <si>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</si>
  <si>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Cesar Augusto Rincón Zuluaga</t>
  </si>
  <si>
    <t>Secretario de Salud</t>
  </si>
  <si>
    <t>Edad Económicamente Activa (20-59 años)</t>
  </si>
  <si>
    <t>Territorio Vital</t>
  </si>
  <si>
    <t>Manejo Integral del Agua y Saneamiento Basico</t>
  </si>
  <si>
    <t>Formular y ejecutar veinte (20) proyectos de infraestructura de agua potable y saneamiento básico</t>
  </si>
  <si>
    <t>No de proyectos de infraestructura formulados y/o ejecutados</t>
  </si>
  <si>
    <t>201663000-0022</t>
  </si>
  <si>
    <t>Apoyo en atenciones prioritarias en Agua Potable y/o Saneamiento Básico en el Departamento del Quindío</t>
  </si>
  <si>
    <t>Formular proyectos de infraestructura para la prestacion de servicios de agua potable y saneamiento basico a la poblacion vulnerable del Departamento</t>
  </si>
  <si>
    <t>Generar intervenciones prioritaria para la adecuacion y optimizacion de sistemas de APSB.</t>
  </si>
  <si>
    <t>Construcción y/o mantenimiento y/o optimizacion de obras de  Agua Potable y/o Saneamiento Básico en el Departamento del Quindío</t>
  </si>
  <si>
    <t>SGP Agua Potable y Saneamineto Básico</t>
  </si>
  <si>
    <t>Secretario de Aguas e Infraestructura  -      Director PAP-PDA</t>
  </si>
  <si>
    <t>0308 - 5 - 3 1 1 1 2 3 22 - 04</t>
  </si>
  <si>
    <t xml:space="preserve"> Superavit SGP APSB</t>
  </si>
  <si>
    <t xml:space="preserve">0308 - 5 - 3 1 1 1 2 3 22 - 27
</t>
  </si>
  <si>
    <t>Formular proyectos para ejecutar diferentes proyectos con el fin de brindar un buen servicio de Agua potable y Saneamiento basico.</t>
  </si>
  <si>
    <t>Estampilla Prodesarrollo</t>
  </si>
  <si>
    <t>0308 - 5 - 3 1 1 1 2 3 22 - 82</t>
  </si>
  <si>
    <t>0308 - 5 - 3 1 1 1 2 3 22 - 90</t>
  </si>
  <si>
    <t>82</t>
  </si>
  <si>
    <t xml:space="preserve"> Superavit Estampilla Prodesarrollo</t>
  </si>
  <si>
    <t>201663000-0023</t>
  </si>
  <si>
    <t>Construción y mejoramiento de la infraestructura de agua potable y saneamiento básico del Departamento del Quindio.</t>
  </si>
  <si>
    <t>Infraestructura eficiente para la prestación del servicio de agua potable y saneamiento basico</t>
  </si>
  <si>
    <t xml:space="preserve">Realizar estudios y diseños enfocados a las necesidades en cuanto a la construccion y mejoramiento de la infraestructura de agua potable y saneamiento basico
</t>
  </si>
  <si>
    <t xml:space="preserve">0308 - 5 - 3 1 1 1 2 3 23 - 27
</t>
  </si>
  <si>
    <t>0308 - 5 - 3 1 1 1 2 3 23 - 82</t>
  </si>
  <si>
    <t xml:space="preserve">Formular,priorizar, viabilizar y ejecutar proyectos de infraestructura de Agua Potable y Saneamiento Basico 
</t>
  </si>
  <si>
    <t>Superavit Estampilla Prodesarrollo</t>
  </si>
  <si>
    <t>Apoyar  veinte (20) proyectos de agua potable y saneamiento básico de acuerdo al plan de acompañamiento social</t>
  </si>
  <si>
    <t xml:space="preserve">No de proyectos acompañados </t>
  </si>
  <si>
    <t>0308 - 5 - 3 1 1 1 2 3 24 - 27</t>
  </si>
  <si>
    <t>201663000-0024</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</si>
  <si>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</si>
  <si>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</si>
  <si>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</si>
  <si>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</si>
  <si>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 xml:space="preserve">SGP Agua Potable y Saneamineto Básico
</t>
  </si>
  <si>
    <t xml:space="preserve"> Diseño de estrategias de participacion de la comunidad en los proyectos de agua potable y saneamiento basico.</t>
  </si>
  <si>
    <t>Actualizar e implementar el plan ambiental para el sector de agua potable y saneamiento básico</t>
  </si>
  <si>
    <t>Plan ambiental actualizado e implementado</t>
  </si>
  <si>
    <t>0308 - 5 - 3 1 1 1 2 3 25 - 27</t>
  </si>
  <si>
    <t>201663000-0025</t>
  </si>
  <si>
    <t>Actualización e implementación del  Plan Ambiental para el sector de agua potable y saneamiento básico en el Departamento del Quindío</t>
  </si>
  <si>
    <t xml:space="preserve">
Ejecutar el Plan Ambiental para el sector agua potable y saneamiento básico deacuerdo al decreto 1077 de 2015 para la vigencia 2016 - 2019
</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</si>
  <si>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</si>
  <si>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 xml:space="preserve">Actualización e implementacion del Plan Ambiental para el Sector de Agua Potable y Saneamiento Básico
</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</si>
  <si>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</si>
  <si>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</si>
  <si>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</si>
  <si>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201663000-0026</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</si>
  <si>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</si>
  <si>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</si>
  <si>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</si>
  <si>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Actualizacion y/o  ejecucion del plan de Aseguramiento de la prestación de servicios</t>
  </si>
  <si>
    <t xml:space="preserve">Contratar el grupo gestor del PAP-PDA Quindío  
</t>
  </si>
  <si>
    <t>Estructurar el equipo operativo de apoyo al gestor del PAP PDA</t>
  </si>
  <si>
    <t>Formular e implementar dos (2) proyectos para la gestión del riesgo del sector de agua potable y saneamiento básico. </t>
  </si>
  <si>
    <t xml:space="preserve">N° de proyectos para la gestión del riesgo ejecutados </t>
  </si>
  <si>
    <t>0308 - 5 - 3 1 1 1 2 3 27 - 27</t>
  </si>
  <si>
    <t>201663000-0027</t>
  </si>
  <si>
    <t>Formulación y ejecución de proyectos para la gestión del riesgo del sector de agua potable y saneamiento básico en el Departamento del Quindio.</t>
  </si>
  <si>
    <t>Formular y Ejecutar proyectos encaminados a la Gestion del Riesgo del Sector de Agua Potable y Saneamiento Basico en el  Departamento del Quindio durante la vigencia 2018.</t>
  </si>
  <si>
    <t>Destinar recursos de inversion en planes mantenimiento con su correspondiente priorizacion a través de la estructuración priorizada de
inversión por fases para la gestión del riesgo en el sector de agua potable y saneamiento básico en el Dpto.</t>
  </si>
  <si>
    <t>Estructuración priorizada de inversión para la Gestión del Riesgo en el Sector de Agua Potable y Saneamiento Básico.</t>
  </si>
  <si>
    <t>Atención de emergencias que afecten la prestación de servicios de Agua Potable y Saneamiento Básico.</t>
  </si>
  <si>
    <t>Planificar  adecuadamente los procesos para la mitigación de riesgos en la prestación del servicio de  ,APSB a través de estudios de la gestión del riesgo que aporten en el conocimiento de los mismos.</t>
  </si>
  <si>
    <t>Formulación de un (1) Estudio de Gestión del Riesgo en el Sector de Agua Potable y Saneamiento Básico.</t>
  </si>
  <si>
    <t xml:space="preserve">2. </t>
  </si>
  <si>
    <t xml:space="preserve">PROSPERIDAD CON EQUIDAD </t>
  </si>
  <si>
    <t xml:space="preserve">4. </t>
  </si>
  <si>
    <t>INFRAESTRUCTURA SOSTENIBLE PARA LA PAZ</t>
  </si>
  <si>
    <t>14.</t>
  </si>
  <si>
    <t>MEJORA DE LA INFRAESTRUCTURA VIAL DEL DEPARTAMENTO DEL QUINDIO</t>
  </si>
  <si>
    <t>201663000-0019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</si>
  <si>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</si>
  <si>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</si>
  <si>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</si>
  <si>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 xml:space="preserve"> Adquisición de bienes y servicios</t>
  </si>
  <si>
    <t>Sobretasa ACPM</t>
  </si>
  <si>
    <t>Secretario de Aguas e Infraestructura</t>
  </si>
  <si>
    <t>Apoyo Institucional</t>
  </si>
  <si>
    <t>Componente Técnico</t>
  </si>
  <si>
    <t>0308 - 5 - 3 1 2 4 14 9 19 - 23</t>
  </si>
  <si>
    <t>Interventoria y Administracion</t>
  </si>
  <si>
    <t>Obra Física</t>
  </si>
  <si>
    <t>Apoyar la atención de emergencias viales en los doce (12) Municipios del Departamento del Quindío.</t>
  </si>
  <si>
    <t>Numero de municipios con emergencias viales apoyados</t>
  </si>
  <si>
    <t>0308 - 5 - 3 1 2 4 14 9 19 - 46</t>
  </si>
  <si>
    <t>Atención oportuna y eficiente de las emergencias viales en el departamento del Quindìo.</t>
  </si>
  <si>
    <t xml:space="preserve"> Apoyo Institucional</t>
  </si>
  <si>
    <t>Superavit Recurso Ordinario</t>
  </si>
  <si>
    <t>0308 - 5 - 3 1 2 4 14 9 19 - 88</t>
  </si>
  <si>
    <t>Realizar ocho (8) estudios y/o diseños para el mantenimiento, mejoramiento y/o rehabilitación de la infraestructura vial del departamento para la implementación del Plan Vial departamental</t>
  </si>
  <si>
    <t>Número de estudios y/o diseños realizados</t>
  </si>
  <si>
    <t>0308 - 5 - 3 1 2 4 14 9 19 - 89</t>
  </si>
  <si>
    <t>Actualización e implementación del diagnóstico de la red vial</t>
  </si>
  <si>
    <t>Estudios</t>
  </si>
  <si>
    <t>Superavit Sobretasa ACPM</t>
  </si>
  <si>
    <t>Ingenieria y Administración</t>
  </si>
  <si>
    <t xml:space="preserve">15. </t>
  </si>
  <si>
    <t>MEJORA DE LA INFRAESTRUCTURA SOCIAL DEL DEPARTAMENTO DEL QUINDIO</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</si>
  <si>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</si>
  <si>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</si>
  <si>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</si>
  <si>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</si>
  <si>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 xml:space="preserve">Estudios </t>
  </si>
  <si>
    <t>Apoyar la construcción, mejoramiento y/o rehabilitación de cuatro (4) obras de infraestructura de salud del departamento del Quindío</t>
  </si>
  <si>
    <t>Numero de instituciones de salud mejoradas y/o apoyadas</t>
  </si>
  <si>
    <t>Adquisicion de bienes y Servicios</t>
  </si>
  <si>
    <t>0308 - 5 - 3 1 2 4 15 15 21 - 04</t>
  </si>
  <si>
    <t>0308 - 5 - 3 1 2 4 15 15 21 - 20</t>
  </si>
  <si>
    <t>Apoyar la construcción, el mantenimiento, el mejoramiento y/o la rehabilitación de la infraestructura de doce (12) equipamientos públicos y colectivos del Departamento del Quindío.</t>
  </si>
  <si>
    <t>Número de  equipamientos públcos  y colectivos rehabilitados</t>
  </si>
  <si>
    <t>0308 - 5 - 3 1 2 4 15 15 21 - 46</t>
  </si>
  <si>
    <t>Obra Fisica</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</si>
  <si>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</si>
  <si>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</si>
  <si>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0308 - 5 - 3 1 2 4 15 15 21 - 82</t>
  </si>
  <si>
    <t xml:space="preserve">0308 - 5 - 3 1 2 4 15 15 21 - 88
</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</si>
  <si>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</si>
  <si>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</si>
  <si>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</si>
  <si>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</si>
  <si>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31/09/2017</t>
  </si>
  <si>
    <t>Apoyar la construcción, mejoramiento y/o  rehabilitación de la infraestructura de doce (12) escenarios deportivos y/o recreativos en el departamento del Quindío</t>
  </si>
  <si>
    <t>Cancha Sintetica contruida y Polideportivo, Sector Naranjal, Quimbaya Quindio adecuado </t>
  </si>
  <si>
    <t>0.50</t>
  </si>
  <si>
    <t>0308 - 5 - 3 1 2 4 15 15 2 - 149</t>
  </si>
  <si>
    <t>2018003630- 002</t>
  </si>
  <si>
    <t>Construcion Cancha Sintetica y Adecuacion del Polideportivo en el Sector de Naranjal, Quimbaya Quindio</t>
  </si>
  <si>
    <t>Incrementar los niveles de práctica deportiva</t>
  </si>
  <si>
    <t>Aumentar los espacios para la prácticas deportivas</t>
  </si>
  <si>
    <t>Superavit Recursos Nacionales</t>
  </si>
  <si>
    <t>SEGURIDAD HUMANA COMO DINAMIZADOR DE LA VIDA, DIGNIDAD Y LIBERTAD EN EL QUINDIO</t>
  </si>
  <si>
    <t>FORTALECIMIENTO DE LA SEGURIDAD VIAL DEPARTAMENTAL</t>
  </si>
  <si>
    <t>programa para disminuir la accidentalidad en las vías del departamento implementado</t>
  </si>
  <si>
    <t>0308 - 5 - 3 1 4 23 77 9 1 - 150</t>
  </si>
  <si>
    <t>2018003630-001</t>
  </si>
  <si>
    <t>Implementacion Plataforma Tecnologica para la Recoleccion Actualizada y Analisis de Datos de Siniestralidad Vial, Mapa de Siniestralidad e Insumos linea Base Plan Seguridad Vial Quindio</t>
  </si>
  <si>
    <t>Implementar plataforma tecnológica para la recoleccion automatizada y analisis de datos de siniestralidad vial para disminuir accidentalidad</t>
  </si>
  <si>
    <t>Obtener la informacion de linea base y mapas de siniestralidad exigidos por la Ley 1503 de 2011 como insumo PSV</t>
  </si>
  <si>
    <t>Recolección automatizada de los datos de accidentalidad</t>
  </si>
  <si>
    <t>Generaciópn de mapa georeferenciado (mapa de siniestralidad Ley 1503) y consultas de datos sobre variables de accidentalidad</t>
  </si>
  <si>
    <t>Aplicación Web de generación automática de informes de resultados e impactos de las actividades del proyecto</t>
  </si>
  <si>
    <t>JUAN ANTONIO OSORIO ALVAREZ</t>
  </si>
  <si>
    <t xml:space="preserve">HOMBRE </t>
  </si>
  <si>
    <t>Mestiza</t>
  </si>
  <si>
    <t>Victimas</t>
  </si>
  <si>
    <t>Inclusion Social</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</si>
  <si>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</si>
  <si>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</si>
  <si>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</si>
  <si>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</si>
  <si>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0310 - 5 - 3 1 3 9 29 5 45 - 33
0310 - 5 - 3 1 3 9 29 5 45 - 83</t>
  </si>
  <si>
    <t>201663000-0045</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</si>
  <si>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</si>
  <si>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</si>
  <si>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</si>
  <si>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 xml:space="preserve">Aportes para la seguridad social de artistas reconocidos por el consejo Departamental de Cultura </t>
  </si>
  <si>
    <t>James Gonzalez Mata
Secretaria de Cultura</t>
  </si>
  <si>
    <t>Apoyar  treinta (30) proyectos y/o actividades de formación, difusión, circulación, creación e investigación, planeación y de espacios para el disfrute de las artes</t>
  </si>
  <si>
    <t>Nro de proyectos o actividades programdas  /  Proyectos o actividades ejecutados</t>
  </si>
  <si>
    <t xml:space="preserve">
0310 - 5 - 3 1 3 9 29 5 46 - 88
0310 - 5 - 3 1 3 9 29 5 46 - 20
0310 - 5 - 3 1 3 9 29 5 46 - 39
0310 - 5 - 3 1 3 9 29 5 46 - 41
0310 - 5 - 3 1 3 9 29 5 46 - 83</t>
  </si>
  <si>
    <t>201663000-0046</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</si>
  <si>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</si>
  <si>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</si>
  <si>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 Ampliación de las oportunidades de acceso de la ciudadania al arte y la cultura </t>
  </si>
  <si>
    <t>Escuelas de formación</t>
  </si>
  <si>
    <t xml:space="preserve"> Difusión y Circulación Artística</t>
  </si>
  <si>
    <t>Apoyo técnico y logístico</t>
  </si>
  <si>
    <t>Apoyar  ciento veinte (120) proyectos del programa de concertación cultural del departamento</t>
  </si>
  <si>
    <t>Alta concertación de proyectos con la institucionalidad cultural</t>
  </si>
  <si>
    <t>Convocatoria y apoyo logístico</t>
  </si>
  <si>
    <t>Estampilla Procultura 50% Concertación</t>
  </si>
  <si>
    <t xml:space="preserve">Evaluación y Seguimiento </t>
  </si>
  <si>
    <t>Estampilla Procultura 10% Estímulos</t>
  </si>
  <si>
    <t>Cofinanciación de proyectos</t>
  </si>
  <si>
    <t>Superavit Estampilla Procultura</t>
  </si>
  <si>
    <t>Apoyar treinta y seis (36) proyectos mediante estímulos artísticos y culturales</t>
  </si>
  <si>
    <t>Mayor apoyo a la creación investigación y producción artistica</t>
  </si>
  <si>
    <t xml:space="preserve"> Evaluación y Seguimiento </t>
  </si>
  <si>
    <t xml:space="preserve">Emprendimiento Cultural </t>
  </si>
  <si>
    <t>Fortalecer cinco (5) procesos de emprendimiento cultural y de desarrollo de industrias creativas</t>
  </si>
  <si>
    <t>0310 - 5 - 3 1 3 9 30 5 47 - 20</t>
  </si>
  <si>
    <t>201663000-0047</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</si>
  <si>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</si>
  <si>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</si>
  <si>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</si>
  <si>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Identificación y apoyo económico a organizaciones con proyectos de emprendimiento cultural</t>
  </si>
  <si>
    <t xml:space="preserve"> Seguimiento y evaluación del proceso de apoyo a emprendedores</t>
  </si>
  <si>
    <t>Lectura, escritura y bibliotecas</t>
  </si>
  <si>
    <t>Apoyar  veinte (20) proyectos y/o actividades en investigación, capacitación y difusión de la lectura y escritura para fortalecer la Red Departamental de Bibliotecas</t>
  </si>
  <si>
    <t>0310 - 5 - 3 1 3 9 31 5 48 - 34
0310 - 5 - 3 1 3 9 31 5 48 - 83</t>
  </si>
  <si>
    <t>201663000-0048</t>
  </si>
  <si>
    <t>Fortalecimiento al  Plan Departamental  de lectura, escritura y bibliotecas en el Departamento del Quindio .</t>
  </si>
  <si>
    <t xml:space="preserve">Disminuir la proporción de niños que desertan en educación básica secundaria y media   </t>
  </si>
  <si>
    <t>Aprovechamiento de la Red Departamental de Bibliotecas Públicas para la formación en lectura y escritura</t>
  </si>
  <si>
    <t>Realización de procesos formativos para promotores de lectura y escritura</t>
  </si>
  <si>
    <t>34
83</t>
  </si>
  <si>
    <t>Estampilla Procultura 10% bibliotecas
Superavit Estampilla Procultura</t>
  </si>
  <si>
    <t>Encuentros para el intercambio, formación y retroalimentación de la Red de Bibliotecas</t>
  </si>
  <si>
    <t>Dotación y adecuación bibliotecaria</t>
  </si>
  <si>
    <t xml:space="preserve">Coordinación de actividades para el fortalecimiento de la Red </t>
  </si>
  <si>
    <t xml:space="preserve">Ampliación de espacios y acciones para la difusión de la lectura y escritura </t>
  </si>
  <si>
    <t>Apoyo al proyecto editorial Biblioteca de Autores Quindianos</t>
  </si>
  <si>
    <t>Apoyo a actividades de difusión, promoción y circulación literaria</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</si>
  <si>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</si>
  <si>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</si>
  <si>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</si>
  <si>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0310 - 5 - 3 1 3 10 32 5 49 - 20
0310 - 5 - 3 1 3 10 32 5 49 - 47
0310 - 5 - 3 1 3 10 32 5 49 - 93</t>
  </si>
  <si>
    <t>201663000-0049</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</si>
  <si>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</si>
  <si>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</si>
  <si>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</si>
  <si>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Difusión y salvaguardia del patrimonio cultural</t>
  </si>
  <si>
    <t>Investigaciones</t>
  </si>
  <si>
    <t>Apoyo a procesos, evaluación y seguimiento</t>
  </si>
  <si>
    <t>Mayor reconocimiento y valoración de la diversidad poblacional presente en el Quindío</t>
  </si>
  <si>
    <t>Apoyo a  proyectos y/o actividades de poblaciones especiales</t>
  </si>
  <si>
    <t xml:space="preserve">Apoyar diez (10) proyectos y/o actividades orientados a fortalecer la articulación comunicación y cultura </t>
  </si>
  <si>
    <t>0310 - 5 - 3 1 3 10 33 5 50 - 20
0310 - 5 - 3 1 3 10 33 5 50 - 88</t>
  </si>
  <si>
    <t>201663000-0050</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</si>
  <si>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</si>
  <si>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</si>
  <si>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</si>
  <si>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Apoyo a medios ciudadanos y comunitarios</t>
  </si>
  <si>
    <t>Implementación de una emisora de interés público del departamento del Quindío</t>
  </si>
  <si>
    <t>Apoyar  dieciséis (16) actividades y/o proyectos  para el afianzamiento del Sistema Departamental de Cultura</t>
  </si>
  <si>
    <t>Participación y  apoyo por parte de la Gobernación del Quindío a medios ciudadanos, comunitarios y de interés público</t>
  </si>
  <si>
    <t>Formación para la gestión cultural</t>
  </si>
  <si>
    <t>Fortalecimiento del Sistema de Información Cultural</t>
  </si>
  <si>
    <t>Apoyo a Consejos de las artes y la cultura</t>
  </si>
  <si>
    <t>JAMES GONZALEZ MATA</t>
  </si>
  <si>
    <t xml:space="preserve"> SECRETARIO DE CULTURA</t>
  </si>
  <si>
    <t>PROGRAMACIÓN PLAN DE ACCIÓN
SECRETARIA DE AGUAS E INFRAESTRUCTURA
II TRIMESTRE 2018</t>
  </si>
  <si>
    <t>SEGUIMIENTO PLAN DE ACCIÓN
SECRETARIA DE CULTURA
II TRIMESTRE</t>
  </si>
  <si>
    <t xml:space="preserve">PROGRAMACION PLAN DE ACCIÓN
SECRETARIA DE SALUD
II TRIMESTRE 2018
</t>
  </si>
  <si>
    <t>PROGRAMACION DEL PLAN DE ACCIÓN
PROMOTORA DE VIVIENDA
II TRIMESTRE 2018</t>
  </si>
  <si>
    <t>Adultos Mayores 
(Mayores a 60 años)</t>
  </si>
  <si>
    <t>PROGRAMACIÓN PLAN DE ACCIÓN
SECRETARÍA DE FAMILIA
II TRIMESTRE 2018</t>
  </si>
  <si>
    <t>Mantenimiento  de las áreas de importancia estrategica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</si>
</sst>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2]\ * #,##0.00_ ;_ [$€-2]\ * \-#,##0.00_ ;_ [$€-2]\ * &quot;-&quot;??_ "/>
    <numFmt numFmtId="165" formatCode="dd/mm/yy;@"/>
    <numFmt numFmtId="166" formatCode="&quot;$&quot;\ #,##0"/>
    <numFmt numFmtId="167" formatCode="dd/mm/yyyy;@"/>
    <numFmt numFmtId="168" formatCode="_(&quot;$&quot;\ * #,##0_);_(&quot;$&quot;\ * \(#,##0\);_(&quot;$&quot;\ * &quot;-&quot;??_);_(@_)"/>
    <numFmt numFmtId="169" formatCode="0.0"/>
    <numFmt numFmtId="170" formatCode="_-* #,##0_-;\-* #,##0_-;_-* &quot;-&quot;??_-;_-@_-"/>
    <numFmt numFmtId="171" formatCode="&quot;$&quot;#,##0"/>
    <numFmt numFmtId="172" formatCode="&quot;$&quot;#,##0.00"/>
    <numFmt numFmtId="173" formatCode="00"/>
    <numFmt numFmtId="174" formatCode="_(* #,##0_);_(* \(#,##0\);_(* &quot;-&quot;??_);_(@_)"/>
    <numFmt numFmtId="175" formatCode="#,##0_ ;\-#,##0\ "/>
    <numFmt numFmtId="176" formatCode="#,##0.00;[Red]#,##0.00"/>
    <numFmt numFmtId="177" formatCode="#,##0;[Red]#,##0"/>
    <numFmt numFmtId="178" formatCode="0;[Red]0"/>
    <numFmt numFmtId="179" formatCode="#,##0.00_);\-#,##0.00"/>
    <numFmt numFmtId="180" formatCode="#,##0_);\-#,##0"/>
    <numFmt numFmtId="181" formatCode="&quot;$&quot;\ #,##0.00"/>
    <numFmt numFmtId="182" formatCode="d/mm/yyyy;@"/>
    <numFmt numFmtId="183" formatCode="0.0%"/>
    <numFmt numFmtId="184" formatCode="_(* #,##0.00_);_(* \(#,##0.00\);_(* &quot;-&quot;_);_(@_)"/>
    <numFmt numFmtId="185" formatCode="_-[$$-240A]* #,##0.00_-;\-[$$-240A]* #,##0.00_-;_-[$$-240A]* &quot;-&quot;??_-;_-@_-"/>
    <numFmt numFmtId="186" formatCode="_-[$$-240A]* #,##0_-;\-[$$-240A]* #,##0_-;_-[$$-240A]* &quot;-&quot;_-;_-@_-"/>
    <numFmt numFmtId="187" formatCode="_-[$$-240A]* #,##0_-;\-[$$-240A]* #,##0_-;_-[$$-240A]* &quot;-&quot;??_-;_-@_-"/>
    <numFmt numFmtId="188" formatCode="0_ ;\-0\ "/>
    <numFmt numFmtId="189" formatCode="_-* #,##0_-;\-* #,##0_-;_-* &quot;-&quot;_-;_-@_-"/>
    <numFmt numFmtId="190" formatCode="_-* #,##0.00\ _€_-;\-* #,##0.00\ _€_-;_-* &quot;-&quot;??\ _€_-;_-@_-"/>
  </numFmts>
  <fonts count="38" x14ac:knownFonts="1">
    <font>
      <sz val="11"/>
      <color theme="1"/>
      <name val="Calibri"/>
      <family val="2"/>
      <scheme val="minor"/>
    </font>
    <font>
      <sz val="11"/>
      <color theme="1"/>
      <name val="Calibri"/>
      <family val="2"/>
      <scheme val="minor"/>
    </font>
    <font>
      <b/>
      <sz val="14"/>
      <color indexed="8"/>
      <name val="Arial"/>
      <family val="2"/>
    </font>
    <font>
      <b/>
      <sz val="10"/>
      <color indexed="8"/>
      <name val="Arial"/>
      <family val="2"/>
    </font>
    <font>
      <sz val="12"/>
      <color indexed="8"/>
      <name val="Arial"/>
      <family val="2"/>
    </font>
    <font>
      <b/>
      <sz val="12"/>
      <color indexed="8"/>
      <name val="Arial"/>
      <family val="2"/>
    </font>
    <font>
      <sz val="11"/>
      <color indexed="8"/>
      <name val="Calibri"/>
      <family val="2"/>
    </font>
    <font>
      <b/>
      <sz val="12"/>
      <name val="Arial"/>
      <family val="2"/>
    </font>
    <font>
      <sz val="12"/>
      <name val="Arial"/>
      <family val="2"/>
    </font>
    <font>
      <b/>
      <sz val="14"/>
      <color theme="1"/>
      <name val="Arial"/>
      <family val="2"/>
    </font>
    <font>
      <b/>
      <sz val="10"/>
      <color theme="1"/>
      <name val="Arial"/>
      <family val="2"/>
    </font>
    <font>
      <sz val="12"/>
      <color theme="1"/>
      <name val="Arial"/>
      <family val="2"/>
    </font>
    <font>
      <b/>
      <sz val="12"/>
      <color theme="1"/>
      <name val="Arial"/>
      <family val="2"/>
    </font>
    <font>
      <sz val="12"/>
      <color rgb="FF000000"/>
      <name val="Arial"/>
      <family val="2"/>
    </font>
    <font>
      <sz val="12"/>
      <color theme="1"/>
      <name val="Calibri"/>
      <family val="2"/>
      <scheme val="minor"/>
    </font>
    <font>
      <sz val="10"/>
      <name val="Arial"/>
      <family val="2"/>
    </font>
    <font>
      <sz val="12"/>
      <color rgb="FFFF0000"/>
      <name val="Arial"/>
      <family val="2"/>
    </font>
    <font>
      <b/>
      <sz val="12"/>
      <color indexed="8"/>
      <name val="Times New Roman"/>
      <family val="1"/>
    </font>
    <font>
      <sz val="12"/>
      <color indexed="10"/>
      <name val="Arial"/>
      <family val="2"/>
    </font>
    <font>
      <sz val="11"/>
      <color theme="1"/>
      <name val="Arial"/>
      <family val="2"/>
    </font>
    <font>
      <b/>
      <sz val="11"/>
      <color theme="1"/>
      <name val="Arial"/>
      <family val="2"/>
    </font>
    <font>
      <b/>
      <sz val="12"/>
      <name val="Calibri"/>
      <family val="2"/>
      <scheme val="minor"/>
    </font>
    <font>
      <b/>
      <sz val="12"/>
      <color theme="1"/>
      <name val="Calibri"/>
      <family val="2"/>
      <scheme val="minor"/>
    </font>
    <font>
      <sz val="12"/>
      <color rgb="FFFF0000"/>
      <name val="Calibri"/>
      <family val="2"/>
      <scheme val="minor"/>
    </font>
    <font>
      <b/>
      <sz val="10"/>
      <name val="Arial"/>
      <family val="2"/>
    </font>
    <font>
      <sz val="12"/>
      <color rgb="FF000000"/>
      <name val="Calibri"/>
      <family val="2"/>
      <scheme val="minor"/>
    </font>
    <font>
      <sz val="11"/>
      <name val="Arial"/>
      <family val="2"/>
    </font>
    <font>
      <sz val="10"/>
      <color theme="1"/>
      <name val="Arial"/>
      <family val="2"/>
    </font>
    <font>
      <sz val="16"/>
      <color theme="1"/>
      <name val="Arial"/>
      <family val="2"/>
    </font>
    <font>
      <sz val="14"/>
      <color theme="1"/>
      <name val="Arial"/>
      <family val="2"/>
    </font>
    <font>
      <b/>
      <sz val="11"/>
      <color indexed="8"/>
      <name val="Arial"/>
      <family val="2"/>
    </font>
    <font>
      <b/>
      <sz val="11"/>
      <name val="Arial"/>
      <family val="2"/>
    </font>
    <font>
      <b/>
      <sz val="9"/>
      <name val="Arial"/>
      <family val="2"/>
    </font>
    <font>
      <b/>
      <sz val="9"/>
      <name val="Calibri"/>
      <family val="2"/>
      <scheme val="minor"/>
    </font>
    <font>
      <b/>
      <sz val="12"/>
      <color theme="1"/>
      <name val="Arial Narrow"/>
      <family val="2"/>
    </font>
    <font>
      <sz val="12"/>
      <color theme="1"/>
      <name val="Arial Narrow"/>
      <family val="2"/>
    </font>
    <font>
      <i/>
      <sz val="12"/>
      <color theme="1"/>
      <name val="Arial Narrow"/>
      <family val="2"/>
    </font>
    <font>
      <sz val="12"/>
      <name val="Calibri"/>
      <family val="2"/>
      <scheme val="minor"/>
    </font>
  </fonts>
  <fills count="2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E0C316"/>
        <bgColor indexed="64"/>
      </patternFill>
    </fill>
    <fill>
      <patternFill patternType="solid">
        <fgColor rgb="FF92D05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rgb="FFFF0000"/>
        <bgColor indexed="64"/>
      </patternFill>
    </fill>
  </fills>
  <borders count="5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thin">
        <color indexed="64"/>
      </right>
      <top/>
      <bottom style="medium">
        <color indexed="64"/>
      </bottom>
      <diagonal/>
    </border>
    <border>
      <left style="thin">
        <color auto="1"/>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auto="1"/>
      </top>
      <bottom style="medium">
        <color indexed="64"/>
      </bottom>
      <diagonal/>
    </border>
    <border>
      <left style="medium">
        <color indexed="64"/>
      </left>
      <right style="thin">
        <color indexed="64"/>
      </right>
      <top/>
      <bottom style="medium">
        <color indexed="64"/>
      </bottom>
      <diagonal/>
    </border>
  </borders>
  <cellStyleXfs count="24">
    <xf numFmtId="0" fontId="0" fillId="0" borderId="0"/>
    <xf numFmtId="43" fontId="6" fillId="0" borderId="0" applyFont="0" applyFill="0" applyBorder="0" applyAlignment="0" applyProtection="0"/>
    <xf numFmtId="9" fontId="6" fillId="0" borderId="0" applyFont="0" applyFill="0" applyBorder="0" applyAlignment="0" applyProtection="0"/>
    <xf numFmtId="164"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5" fillId="0" borderId="0"/>
    <xf numFmtId="43" fontId="6" fillId="0" borderId="0" applyFont="0" applyFill="0" applyBorder="0" applyAlignment="0" applyProtection="0"/>
    <xf numFmtId="44" fontId="1" fillId="0" borderId="0" applyFont="0" applyFill="0" applyBorder="0" applyAlignment="0" applyProtection="0"/>
    <xf numFmtId="0" fontId="1" fillId="0" borderId="0"/>
    <xf numFmtId="9" fontId="6" fillId="0" borderId="0" applyFont="0" applyFill="0" applyBorder="0" applyAlignment="0" applyProtection="0"/>
    <xf numFmtId="41" fontId="1" fillId="0" borderId="0" applyFont="0" applyFill="0" applyBorder="0" applyAlignment="0" applyProtection="0"/>
    <xf numFmtId="0" fontId="15" fillId="0" borderId="0"/>
    <xf numFmtId="0" fontId="15" fillId="0" borderId="0"/>
    <xf numFmtId="42" fontId="1" fillId="0" borderId="0" applyFont="0" applyFill="0" applyBorder="0" applyAlignment="0" applyProtection="0"/>
    <xf numFmtId="0" fontId="1" fillId="0" borderId="0"/>
    <xf numFmtId="0" fontId="15" fillId="0" borderId="0"/>
    <xf numFmtId="41"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cellStyleXfs>
  <cellXfs count="3497">
    <xf numFmtId="0" fontId="0" fillId="0" borderId="0" xfId="0"/>
    <xf numFmtId="0" fontId="3" fillId="0" borderId="2" xfId="0" applyFont="1" applyBorder="1" applyAlignment="1">
      <alignment vertical="center"/>
    </xf>
    <xf numFmtId="0" fontId="4" fillId="0" borderId="0" xfId="0" applyFont="1"/>
    <xf numFmtId="49" fontId="3" fillId="0" borderId="2" xfId="0" applyNumberFormat="1" applyFont="1" applyBorder="1" applyAlignment="1">
      <alignment vertical="center"/>
    </xf>
    <xf numFmtId="17" fontId="3" fillId="0" borderId="2" xfId="0" applyNumberFormat="1" applyFont="1" applyBorder="1" applyAlignment="1">
      <alignment horizontal="left"/>
    </xf>
    <xf numFmtId="3" fontId="3" fillId="0" borderId="2" xfId="0" applyNumberFormat="1" applyFont="1" applyBorder="1" applyAlignment="1">
      <alignment horizontal="left" vertical="center" wrapText="1"/>
    </xf>
    <xf numFmtId="0" fontId="5" fillId="0" borderId="7" xfId="0" applyFont="1" applyBorder="1" applyAlignment="1">
      <alignment horizontal="justify" vertical="center"/>
    </xf>
    <xf numFmtId="0" fontId="5" fillId="0" borderId="3" xfId="0" applyFont="1" applyBorder="1" applyAlignment="1">
      <alignment horizontal="justify" vertical="center"/>
    </xf>
    <xf numFmtId="10" fontId="7" fillId="0" borderId="3" xfId="2" applyNumberFormat="1"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vertical="center"/>
    </xf>
    <xf numFmtId="1" fontId="5" fillId="3" borderId="9" xfId="0" applyNumberFormat="1" applyFont="1" applyFill="1" applyBorder="1" applyAlignment="1">
      <alignment horizontal="center" vertical="center" wrapText="1"/>
    </xf>
    <xf numFmtId="0" fontId="5" fillId="3" borderId="2" xfId="0" applyFont="1" applyFill="1" applyBorder="1" applyAlignment="1">
      <alignment horizontal="center" vertical="center" textRotation="90" wrapText="1"/>
    </xf>
    <xf numFmtId="49" fontId="5" fillId="3" borderId="2" xfId="0" applyNumberFormat="1" applyFont="1" applyFill="1" applyBorder="1" applyAlignment="1">
      <alignment horizontal="center" vertical="center" textRotation="90" wrapText="1"/>
    </xf>
    <xf numFmtId="1" fontId="5" fillId="5" borderId="10" xfId="0" applyNumberFormat="1" applyFont="1" applyFill="1" applyBorder="1" applyAlignment="1">
      <alignment horizontal="left" vertical="center" wrapText="1"/>
    </xf>
    <xf numFmtId="0" fontId="5" fillId="5" borderId="11" xfId="0" applyFont="1" applyFill="1" applyBorder="1" applyAlignment="1">
      <alignment vertical="center"/>
    </xf>
    <xf numFmtId="0" fontId="5" fillId="5" borderId="11" xfId="0" applyFont="1" applyFill="1" applyBorder="1" applyAlignment="1">
      <alignment horizontal="justify" vertical="center"/>
    </xf>
    <xf numFmtId="10" fontId="7" fillId="5" borderId="11" xfId="2" applyNumberFormat="1" applyFont="1" applyFill="1" applyBorder="1" applyAlignment="1">
      <alignment horizontal="center" vertical="center"/>
    </xf>
    <xf numFmtId="43" fontId="5" fillId="5" borderId="11" xfId="1" applyFont="1" applyFill="1" applyBorder="1" applyAlignment="1">
      <alignment horizontal="justify" vertical="center"/>
    </xf>
    <xf numFmtId="166" fontId="5" fillId="5" borderId="11"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0" fontId="5" fillId="5" borderId="11" xfId="0" applyFont="1" applyFill="1" applyBorder="1" applyAlignment="1">
      <alignment horizontal="center" vertical="center"/>
    </xf>
    <xf numFmtId="167" fontId="5" fillId="5" borderId="11" xfId="0" applyNumberFormat="1" applyFont="1" applyFill="1" applyBorder="1" applyAlignment="1">
      <alignment vertical="center"/>
    </xf>
    <xf numFmtId="0" fontId="5" fillId="5" borderId="12" xfId="0" applyFont="1" applyFill="1" applyBorder="1" applyAlignment="1">
      <alignment horizontal="justify" vertical="center"/>
    </xf>
    <xf numFmtId="1" fontId="5" fillId="3" borderId="7" xfId="0" applyNumberFormat="1" applyFont="1" applyFill="1" applyBorder="1" applyAlignment="1">
      <alignment horizontal="center" vertical="center"/>
    </xf>
    <xf numFmtId="0" fontId="5" fillId="3" borderId="3" xfId="0" applyFont="1" applyFill="1" applyBorder="1" applyAlignment="1">
      <alignment vertical="center"/>
    </xf>
    <xf numFmtId="0" fontId="5" fillId="3" borderId="3" xfId="0" applyFont="1" applyFill="1" applyBorder="1" applyAlignment="1">
      <alignment horizontal="justify" vertical="center"/>
    </xf>
    <xf numFmtId="10" fontId="7" fillId="3" borderId="3" xfId="2" applyNumberFormat="1" applyFont="1" applyFill="1" applyBorder="1" applyAlignment="1">
      <alignment horizontal="center" vertical="center"/>
    </xf>
    <xf numFmtId="43" fontId="5" fillId="3" borderId="3" xfId="1" applyFont="1" applyFill="1" applyBorder="1" applyAlignment="1">
      <alignment horizontal="justify" vertical="center"/>
    </xf>
    <xf numFmtId="166" fontId="5" fillId="3" borderId="3" xfId="0" applyNumberFormat="1" applyFont="1" applyFill="1" applyBorder="1" applyAlignment="1">
      <alignment horizontal="center" vertical="center"/>
    </xf>
    <xf numFmtId="1" fontId="5" fillId="3" borderId="3" xfId="0" applyNumberFormat="1" applyFont="1" applyFill="1" applyBorder="1" applyAlignment="1">
      <alignment horizontal="center" vertical="center"/>
    </xf>
    <xf numFmtId="0" fontId="5" fillId="3" borderId="3" xfId="0" applyFont="1" applyFill="1" applyBorder="1" applyAlignment="1">
      <alignment horizontal="center" vertical="center"/>
    </xf>
    <xf numFmtId="167" fontId="5" fillId="3" borderId="3" xfId="0" applyNumberFormat="1" applyFont="1" applyFill="1" applyBorder="1" applyAlignment="1">
      <alignment vertical="center"/>
    </xf>
    <xf numFmtId="0" fontId="5" fillId="3" borderId="4" xfId="0" applyFont="1" applyFill="1" applyBorder="1" applyAlignment="1">
      <alignment horizontal="justify" vertical="center"/>
    </xf>
    <xf numFmtId="1" fontId="5" fillId="6" borderId="10" xfId="0" applyNumberFormat="1" applyFont="1" applyFill="1" applyBorder="1" applyAlignment="1">
      <alignment horizontal="left" vertical="center" wrapText="1" indent="1"/>
    </xf>
    <xf numFmtId="0" fontId="5" fillId="6" borderId="11" xfId="0" applyFont="1" applyFill="1" applyBorder="1" applyAlignment="1">
      <alignment vertical="center"/>
    </xf>
    <xf numFmtId="0" fontId="5" fillId="6" borderId="11" xfId="0" applyFont="1" applyFill="1" applyBorder="1" applyAlignment="1">
      <alignment horizontal="justify" vertical="center"/>
    </xf>
    <xf numFmtId="10" fontId="7" fillId="6" borderId="11" xfId="2" applyNumberFormat="1" applyFont="1" applyFill="1" applyBorder="1" applyAlignment="1">
      <alignment horizontal="center" vertical="center"/>
    </xf>
    <xf numFmtId="43" fontId="5" fillId="6" borderId="11" xfId="1" applyFont="1" applyFill="1" applyBorder="1" applyAlignment="1">
      <alignment horizontal="justify" vertical="center"/>
    </xf>
    <xf numFmtId="166" fontId="5" fillId="6" borderId="11" xfId="0" applyNumberFormat="1" applyFont="1" applyFill="1" applyBorder="1" applyAlignment="1">
      <alignment horizontal="center" vertical="center"/>
    </xf>
    <xf numFmtId="1" fontId="5" fillId="6" borderId="5" xfId="0" applyNumberFormat="1" applyFont="1" applyFill="1" applyBorder="1" applyAlignment="1">
      <alignment horizontal="center" vertical="center"/>
    </xf>
    <xf numFmtId="0" fontId="5" fillId="6" borderId="5" xfId="0" applyFont="1" applyFill="1" applyBorder="1" applyAlignment="1">
      <alignment horizontal="center" vertical="center"/>
    </xf>
    <xf numFmtId="167" fontId="5" fillId="6" borderId="11" xfId="0" applyNumberFormat="1" applyFont="1" applyFill="1" applyBorder="1" applyAlignment="1">
      <alignment vertical="center"/>
    </xf>
    <xf numFmtId="0" fontId="5" fillId="6" borderId="12" xfId="0" applyFont="1" applyFill="1" applyBorder="1" applyAlignment="1">
      <alignment horizontal="justify" vertical="center"/>
    </xf>
    <xf numFmtId="43" fontId="4" fillId="2" borderId="10" xfId="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2" xfId="0" applyFont="1" applyBorder="1" applyAlignment="1">
      <alignment horizontal="justify" vertical="center" wrapText="1"/>
    </xf>
    <xf numFmtId="3" fontId="4" fillId="0" borderId="2" xfId="0" applyNumberFormat="1" applyFont="1" applyBorder="1" applyAlignment="1">
      <alignment horizontal="justify" vertical="center" wrapText="1"/>
    </xf>
    <xf numFmtId="1" fontId="4" fillId="0" borderId="15" xfId="0" applyNumberFormat="1" applyFont="1" applyBorder="1" applyAlignment="1">
      <alignment horizontal="center" vertical="center" wrapText="1"/>
    </xf>
    <xf numFmtId="0" fontId="4" fillId="0" borderId="15" xfId="0" applyFont="1" applyBorder="1" applyAlignment="1">
      <alignment horizontal="center" vertical="center" wrapText="1"/>
    </xf>
    <xf numFmtId="1" fontId="4"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justify" vertical="center" wrapText="1" readingOrder="2"/>
    </xf>
    <xf numFmtId="0" fontId="8" fillId="0" borderId="2" xfId="0" applyFont="1" applyBorder="1" applyAlignment="1">
      <alignment horizontal="justify" vertical="center" wrapText="1"/>
    </xf>
    <xf numFmtId="1" fontId="4" fillId="0" borderId="10"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8" fillId="0" borderId="2" xfId="0" applyFont="1" applyBorder="1" applyAlignment="1">
      <alignment horizontal="center" vertical="center" wrapText="1"/>
    </xf>
    <xf numFmtId="0" fontId="4" fillId="0" borderId="9" xfId="0" applyFont="1" applyBorder="1" applyAlignment="1">
      <alignment horizontal="justify" vertical="center" wrapText="1"/>
    </xf>
    <xf numFmtId="10" fontId="8" fillId="0" borderId="2" xfId="2" applyNumberFormat="1" applyFont="1" applyBorder="1" applyAlignment="1">
      <alignment horizontal="center" vertical="center" wrapText="1"/>
    </xf>
    <xf numFmtId="43" fontId="4" fillId="0" borderId="2" xfId="1" applyFont="1" applyBorder="1" applyAlignment="1">
      <alignment horizontal="center" vertical="center" wrapText="1"/>
    </xf>
    <xf numFmtId="3" fontId="4" fillId="0" borderId="2" xfId="0" applyNumberFormat="1" applyFont="1" applyBorder="1" applyAlignment="1">
      <alignment horizontal="center" vertical="center"/>
    </xf>
    <xf numFmtId="165" fontId="4" fillId="0" borderId="2"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0" fontId="4" fillId="2" borderId="9" xfId="0" applyFont="1" applyFill="1" applyBorder="1" applyAlignment="1">
      <alignment vertical="center" wrapText="1"/>
    </xf>
    <xf numFmtId="10" fontId="8" fillId="2" borderId="2" xfId="2" applyNumberFormat="1" applyFont="1" applyFill="1" applyBorder="1" applyAlignment="1">
      <alignment horizontal="center" vertical="center" wrapText="1"/>
    </xf>
    <xf numFmtId="43" fontId="4" fillId="2" borderId="2" xfId="1" applyFont="1" applyFill="1" applyBorder="1" applyAlignment="1">
      <alignment horizontal="center" vertical="center" wrapText="1"/>
    </xf>
    <xf numFmtId="1" fontId="4" fillId="2" borderId="10"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2" borderId="14" xfId="0" applyFont="1" applyFill="1" applyBorder="1" applyAlignment="1">
      <alignment vertical="center" wrapText="1"/>
    </xf>
    <xf numFmtId="0" fontId="4" fillId="0" borderId="9" xfId="0" applyFont="1" applyBorder="1" applyAlignment="1">
      <alignment horizontal="center" vertical="center" wrapText="1"/>
    </xf>
    <xf numFmtId="10" fontId="8" fillId="2" borderId="9" xfId="2" applyNumberFormat="1" applyFont="1" applyFill="1" applyBorder="1" applyAlignment="1">
      <alignment horizontal="center" vertical="center" wrapText="1"/>
    </xf>
    <xf numFmtId="43" fontId="4" fillId="2" borderId="8" xfId="1" applyFont="1" applyFill="1" applyBorder="1" applyAlignment="1">
      <alignment horizontal="center" vertical="center" wrapText="1"/>
    </xf>
    <xf numFmtId="1" fontId="4" fillId="2" borderId="8" xfId="0" applyNumberFormat="1" applyFont="1" applyFill="1" applyBorder="1" applyAlignment="1">
      <alignment horizontal="center" vertical="center" wrapText="1"/>
    </xf>
    <xf numFmtId="0" fontId="4" fillId="0" borderId="16" xfId="0" applyFont="1" applyBorder="1" applyAlignment="1">
      <alignment horizontal="center" vertical="center" wrapText="1"/>
    </xf>
    <xf numFmtId="0" fontId="4" fillId="2" borderId="19" xfId="0" applyFont="1" applyFill="1" applyBorder="1"/>
    <xf numFmtId="0" fontId="4" fillId="2" borderId="20" xfId="0" applyFont="1" applyFill="1" applyBorder="1"/>
    <xf numFmtId="0" fontId="4" fillId="2" borderId="20" xfId="0" applyFont="1" applyFill="1" applyBorder="1" applyAlignment="1">
      <alignment horizontal="justify"/>
    </xf>
    <xf numFmtId="0" fontId="4" fillId="2" borderId="20" xfId="0" applyFont="1" applyFill="1" applyBorder="1" applyAlignment="1">
      <alignment horizontal="justify" vertical="center" wrapText="1"/>
    </xf>
    <xf numFmtId="0" fontId="4" fillId="2" borderId="20" xfId="0" applyFont="1" applyFill="1" applyBorder="1" applyAlignment="1">
      <alignment horizontal="justify" vertical="center"/>
    </xf>
    <xf numFmtId="1" fontId="4" fillId="2" borderId="20" xfId="0" applyNumberFormat="1" applyFont="1" applyFill="1" applyBorder="1" applyAlignment="1">
      <alignment horizontal="justify" vertical="center"/>
    </xf>
    <xf numFmtId="10" fontId="8" fillId="2" borderId="21" xfId="2" applyNumberFormat="1" applyFont="1" applyFill="1" applyBorder="1" applyAlignment="1">
      <alignment horizontal="center" vertical="center"/>
    </xf>
    <xf numFmtId="43" fontId="5" fillId="2" borderId="22" xfId="1" applyFont="1" applyFill="1" applyBorder="1" applyAlignment="1">
      <alignment horizontal="justify" vertical="center"/>
    </xf>
    <xf numFmtId="0" fontId="4" fillId="2" borderId="19" xfId="0" applyFont="1" applyFill="1" applyBorder="1" applyAlignment="1">
      <alignment horizontal="justify" vertical="center" wrapText="1"/>
    </xf>
    <xf numFmtId="0" fontId="4" fillId="2" borderId="21" xfId="0" applyFont="1" applyFill="1" applyBorder="1" applyAlignment="1">
      <alignment horizontal="justify" vertical="center" wrapText="1"/>
    </xf>
    <xf numFmtId="43" fontId="5" fillId="0" borderId="22" xfId="1" applyFont="1" applyBorder="1" applyAlignment="1">
      <alignment horizontal="center" vertical="center"/>
    </xf>
    <xf numFmtId="1" fontId="4" fillId="2" borderId="19" xfId="0" applyNumberFormat="1" applyFont="1" applyFill="1" applyBorder="1" applyAlignment="1">
      <alignment horizontal="center" vertical="center"/>
    </xf>
    <xf numFmtId="1" fontId="4" fillId="2" borderId="20" xfId="0" applyNumberFormat="1" applyFont="1" applyFill="1" applyBorder="1" applyAlignment="1">
      <alignment horizontal="center" vertical="center"/>
    </xf>
    <xf numFmtId="1" fontId="4" fillId="2" borderId="20" xfId="0" applyNumberFormat="1" applyFont="1" applyFill="1" applyBorder="1" applyAlignment="1">
      <alignment horizontal="center" vertical="center" textRotation="180" wrapText="1"/>
    </xf>
    <xf numFmtId="167" fontId="4" fillId="2" borderId="20" xfId="0" applyNumberFormat="1" applyFont="1" applyFill="1" applyBorder="1" applyAlignment="1">
      <alignment horizontal="center" vertical="center"/>
    </xf>
    <xf numFmtId="0" fontId="4" fillId="2" borderId="21" xfId="0" applyFont="1" applyFill="1" applyBorder="1" applyAlignment="1">
      <alignment horizontal="justify" vertical="center"/>
    </xf>
    <xf numFmtId="0" fontId="4" fillId="2" borderId="0" xfId="0" applyFont="1" applyFill="1"/>
    <xf numFmtId="0" fontId="4" fillId="2" borderId="0" xfId="0" applyFont="1" applyFill="1" applyAlignment="1">
      <alignment horizontal="justify"/>
    </xf>
    <xf numFmtId="0" fontId="4" fillId="2" borderId="0" xfId="0" applyFont="1" applyFill="1" applyAlignment="1">
      <alignment horizontal="justify" vertical="center"/>
    </xf>
    <xf numFmtId="10" fontId="8" fillId="2" borderId="0" xfId="2" applyNumberFormat="1" applyFont="1" applyFill="1" applyAlignment="1">
      <alignment horizontal="center" vertical="center"/>
    </xf>
    <xf numFmtId="166" fontId="4" fillId="0" borderId="0" xfId="0" applyNumberFormat="1" applyFont="1" applyAlignment="1">
      <alignment horizontal="justify" vertical="center"/>
    </xf>
    <xf numFmtId="166" fontId="4" fillId="0" borderId="0" xfId="0" applyNumberFormat="1" applyFont="1" applyAlignment="1">
      <alignment horizontal="center" vertical="center"/>
    </xf>
    <xf numFmtId="1" fontId="4" fillId="2" borderId="0" xfId="0" applyNumberFormat="1" applyFont="1" applyFill="1" applyAlignment="1">
      <alignment horizontal="center" vertical="center"/>
    </xf>
    <xf numFmtId="0" fontId="4" fillId="2" borderId="0" xfId="0" applyFont="1" applyFill="1" applyAlignment="1">
      <alignment horizontal="center" vertical="center"/>
    </xf>
    <xf numFmtId="166" fontId="4" fillId="2" borderId="0" xfId="0" applyNumberFormat="1" applyFont="1" applyFill="1" applyAlignment="1">
      <alignment horizontal="center" vertical="center"/>
    </xf>
    <xf numFmtId="166" fontId="4" fillId="2" borderId="0" xfId="0" applyNumberFormat="1" applyFont="1" applyFill="1" applyAlignment="1">
      <alignment horizontal="justify" vertical="center"/>
    </xf>
    <xf numFmtId="0" fontId="5" fillId="2" borderId="0" xfId="0" applyFont="1" applyFill="1"/>
    <xf numFmtId="0" fontId="4" fillId="0" borderId="0" xfId="0" applyFont="1" applyAlignment="1">
      <alignment horizontal="justify"/>
    </xf>
    <xf numFmtId="10" fontId="8" fillId="0" borderId="0" xfId="2" applyNumberFormat="1" applyFont="1" applyAlignment="1">
      <alignment horizontal="center"/>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0" fillId="0" borderId="26" xfId="0" applyFont="1" applyBorder="1" applyAlignment="1">
      <alignment vertical="center"/>
    </xf>
    <xf numFmtId="0" fontId="11" fillId="7" borderId="0" xfId="0" applyFont="1" applyFill="1"/>
    <xf numFmtId="0" fontId="11" fillId="0" borderId="0" xfId="0" applyFont="1"/>
    <xf numFmtId="0" fontId="10" fillId="0" borderId="18" xfId="0" applyFont="1" applyBorder="1" applyAlignment="1">
      <alignment vertical="center"/>
    </xf>
    <xf numFmtId="0" fontId="10" fillId="0" borderId="18" xfId="0" applyFont="1" applyBorder="1" applyAlignment="1">
      <alignment vertical="center" wrapText="1"/>
    </xf>
    <xf numFmtId="3" fontId="3" fillId="0" borderId="18" xfId="0" applyNumberFormat="1" applyFont="1" applyBorder="1" applyAlignment="1">
      <alignment horizontal="left" vertical="center" wrapText="1"/>
    </xf>
    <xf numFmtId="0" fontId="12" fillId="0" borderId="2" xfId="0" applyFont="1" applyBorder="1" applyAlignment="1">
      <alignment horizontal="center" vertical="center"/>
    </xf>
    <xf numFmtId="0" fontId="12" fillId="0" borderId="7" xfId="0" applyFont="1" applyBorder="1" applyAlignment="1">
      <alignment horizontal="justify" vertical="center"/>
    </xf>
    <xf numFmtId="0" fontId="12" fillId="0" borderId="3" xfId="0" applyFont="1" applyBorder="1" applyAlignment="1">
      <alignment horizontal="justify" vertical="center"/>
    </xf>
    <xf numFmtId="0" fontId="12" fillId="0" borderId="3" xfId="0" applyFont="1" applyBorder="1" applyAlignment="1">
      <alignment horizontal="center" vertical="center"/>
    </xf>
    <xf numFmtId="168" fontId="12" fillId="0" borderId="3" xfId="4" applyNumberFormat="1" applyFont="1" applyBorder="1" applyAlignment="1">
      <alignment horizontal="justify" vertical="center"/>
    </xf>
    <xf numFmtId="168" fontId="12" fillId="0" borderId="3" xfId="4" applyNumberFormat="1" applyFont="1" applyBorder="1" applyAlignment="1">
      <alignment horizontal="right" vertical="center"/>
    </xf>
    <xf numFmtId="0" fontId="12" fillId="0" borderId="3" xfId="0" applyFont="1" applyBorder="1" applyAlignment="1">
      <alignment vertical="center"/>
    </xf>
    <xf numFmtId="0" fontId="12" fillId="0" borderId="30" xfId="0" applyFont="1" applyBorder="1" applyAlignment="1">
      <alignment vertical="center"/>
    </xf>
    <xf numFmtId="166" fontId="12" fillId="8" borderId="2" xfId="0" applyNumberFormat="1" applyFont="1" applyFill="1" applyBorder="1" applyAlignment="1">
      <alignment horizontal="center" vertical="center" wrapText="1"/>
    </xf>
    <xf numFmtId="1" fontId="12" fillId="8" borderId="9" xfId="0" applyNumberFormat="1" applyFont="1" applyFill="1" applyBorder="1" applyAlignment="1">
      <alignment horizontal="center" vertical="center" wrapText="1"/>
    </xf>
    <xf numFmtId="0" fontId="12" fillId="8" borderId="10" xfId="0" applyFont="1" applyFill="1" applyBorder="1" applyAlignment="1">
      <alignment horizontal="center" vertical="center" textRotation="90" wrapText="1"/>
    </xf>
    <xf numFmtId="49" fontId="12" fillId="8" borderId="10" xfId="0" applyNumberFormat="1" applyFont="1" applyFill="1" applyBorder="1" applyAlignment="1">
      <alignment horizontal="center" vertical="center" textRotation="90" wrapText="1"/>
    </xf>
    <xf numFmtId="1" fontId="12" fillId="10" borderId="34" xfId="0" applyNumberFormat="1" applyFont="1" applyFill="1" applyBorder="1" applyAlignment="1">
      <alignment horizontal="left" vertical="center" wrapText="1"/>
    </xf>
    <xf numFmtId="0" fontId="12" fillId="10" borderId="11" xfId="0" applyFont="1" applyFill="1" applyBorder="1" applyAlignment="1">
      <alignment vertical="center"/>
    </xf>
    <xf numFmtId="0" fontId="12" fillId="10" borderId="11" xfId="0" applyFont="1" applyFill="1" applyBorder="1" applyAlignment="1">
      <alignment horizontal="left" vertical="center"/>
    </xf>
    <xf numFmtId="0" fontId="12" fillId="10" borderId="11" xfId="0" applyFont="1" applyFill="1" applyBorder="1" applyAlignment="1">
      <alignment horizontal="justify" vertical="center"/>
    </xf>
    <xf numFmtId="0" fontId="12" fillId="10" borderId="11" xfId="0" applyFont="1" applyFill="1" applyBorder="1" applyAlignment="1">
      <alignment horizontal="center" vertical="center"/>
    </xf>
    <xf numFmtId="169" fontId="12" fillId="10" borderId="11" xfId="0" applyNumberFormat="1" applyFont="1" applyFill="1" applyBorder="1" applyAlignment="1">
      <alignment horizontal="center" vertical="center"/>
    </xf>
    <xf numFmtId="168" fontId="12" fillId="10" borderId="11" xfId="4" applyNumberFormat="1" applyFont="1" applyFill="1" applyBorder="1" applyAlignment="1">
      <alignment horizontal="justify" vertical="center"/>
    </xf>
    <xf numFmtId="168" fontId="12" fillId="10" borderId="11" xfId="4" applyNumberFormat="1" applyFont="1" applyFill="1" applyBorder="1" applyAlignment="1">
      <alignment horizontal="right" vertical="center"/>
    </xf>
    <xf numFmtId="1" fontId="12" fillId="10" borderId="11" xfId="0" applyNumberFormat="1" applyFont="1" applyFill="1" applyBorder="1" applyAlignment="1">
      <alignment horizontal="center" vertical="center"/>
    </xf>
    <xf numFmtId="167" fontId="12" fillId="10" borderId="11" xfId="0" applyNumberFormat="1" applyFont="1" applyFill="1" applyBorder="1" applyAlignment="1">
      <alignment vertical="center"/>
    </xf>
    <xf numFmtId="0" fontId="12" fillId="10" borderId="35" xfId="0" applyFont="1" applyFill="1" applyBorder="1" applyAlignment="1">
      <alignment horizontal="justify" vertical="center"/>
    </xf>
    <xf numFmtId="1" fontId="12" fillId="7" borderId="27" xfId="0" applyNumberFormat="1" applyFont="1" applyFill="1" applyBorder="1" applyAlignment="1">
      <alignment horizontal="center" vertical="center" wrapText="1"/>
    </xf>
    <xf numFmtId="0" fontId="12" fillId="7" borderId="0" xfId="0" applyFont="1" applyFill="1" applyAlignment="1">
      <alignment horizontal="center" vertical="center" wrapText="1"/>
    </xf>
    <xf numFmtId="1" fontId="12" fillId="11" borderId="7" xfId="0" applyNumberFormat="1" applyFont="1" applyFill="1" applyBorder="1" applyAlignment="1">
      <alignment horizontal="center" vertical="center"/>
    </xf>
    <xf numFmtId="0" fontId="12" fillId="11" borderId="3" xfId="0" applyFont="1" applyFill="1" applyBorder="1" applyAlignment="1">
      <alignment vertical="center"/>
    </xf>
    <xf numFmtId="0" fontId="12" fillId="11" borderId="3" xfId="0" applyFont="1" applyFill="1" applyBorder="1" applyAlignment="1">
      <alignment horizontal="justify" vertical="center"/>
    </xf>
    <xf numFmtId="0" fontId="12" fillId="11" borderId="3" xfId="0" applyFont="1" applyFill="1" applyBorder="1" applyAlignment="1">
      <alignment horizontal="center" vertical="center"/>
    </xf>
    <xf numFmtId="0" fontId="12" fillId="11" borderId="0" xfId="0" applyFont="1" applyFill="1" applyAlignment="1">
      <alignment horizontal="justify" vertical="center"/>
    </xf>
    <xf numFmtId="169" fontId="12" fillId="11" borderId="3" xfId="0" applyNumberFormat="1" applyFont="1" applyFill="1" applyBorder="1" applyAlignment="1">
      <alignment horizontal="center" vertical="center"/>
    </xf>
    <xf numFmtId="168" fontId="12" fillId="11" borderId="3" xfId="4" applyNumberFormat="1" applyFont="1" applyFill="1" applyBorder="1" applyAlignment="1">
      <alignment horizontal="justify" vertical="center"/>
    </xf>
    <xf numFmtId="168" fontId="12" fillId="11" borderId="3" xfId="4" applyNumberFormat="1" applyFont="1" applyFill="1" applyBorder="1" applyAlignment="1">
      <alignment horizontal="right" vertical="center"/>
    </xf>
    <xf numFmtId="1" fontId="12" fillId="11" borderId="3" xfId="0" applyNumberFormat="1" applyFont="1" applyFill="1" applyBorder="1" applyAlignment="1">
      <alignment horizontal="center" vertical="center"/>
    </xf>
    <xf numFmtId="167" fontId="12" fillId="11" borderId="3" xfId="0" applyNumberFormat="1" applyFont="1" applyFill="1" applyBorder="1" applyAlignment="1">
      <alignment vertical="center"/>
    </xf>
    <xf numFmtId="0" fontId="12" fillId="11" borderId="30" xfId="0" applyFont="1" applyFill="1" applyBorder="1" applyAlignment="1">
      <alignment horizontal="justify" vertical="center"/>
    </xf>
    <xf numFmtId="0" fontId="12" fillId="7" borderId="8"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12" borderId="11" xfId="0" applyFont="1" applyFill="1" applyBorder="1" applyAlignment="1">
      <alignment vertical="center"/>
    </xf>
    <xf numFmtId="0" fontId="12" fillId="12" borderId="5" xfId="0" applyFont="1" applyFill="1" applyBorder="1" applyAlignment="1">
      <alignment horizontal="justify" vertical="center"/>
    </xf>
    <xf numFmtId="0" fontId="12" fillId="12" borderId="5" xfId="0" applyFont="1" applyFill="1" applyBorder="1" applyAlignment="1">
      <alignment horizontal="center" vertical="center"/>
    </xf>
    <xf numFmtId="0" fontId="12" fillId="12" borderId="9" xfId="0" applyFont="1" applyFill="1" applyBorder="1" applyAlignment="1">
      <alignment horizontal="justify" vertical="center"/>
    </xf>
    <xf numFmtId="169" fontId="12" fillId="12" borderId="5" xfId="0" applyNumberFormat="1" applyFont="1" applyFill="1" applyBorder="1" applyAlignment="1">
      <alignment horizontal="center" vertical="center"/>
    </xf>
    <xf numFmtId="168" fontId="12" fillId="12" borderId="5" xfId="4" applyNumberFormat="1" applyFont="1" applyFill="1" applyBorder="1" applyAlignment="1">
      <alignment horizontal="justify" vertical="center"/>
    </xf>
    <xf numFmtId="168" fontId="12" fillId="12" borderId="5" xfId="4" applyNumberFormat="1" applyFont="1" applyFill="1" applyBorder="1" applyAlignment="1">
      <alignment horizontal="right" vertical="center"/>
    </xf>
    <xf numFmtId="1" fontId="12" fillId="12" borderId="5" xfId="0" applyNumberFormat="1" applyFont="1" applyFill="1" applyBorder="1" applyAlignment="1">
      <alignment horizontal="center" vertical="center"/>
    </xf>
    <xf numFmtId="0" fontId="12" fillId="12" borderId="5" xfId="0" applyFont="1" applyFill="1" applyBorder="1" applyAlignment="1">
      <alignment vertical="center"/>
    </xf>
    <xf numFmtId="167" fontId="12" fillId="12" borderId="5" xfId="0" applyNumberFormat="1" applyFont="1" applyFill="1" applyBorder="1" applyAlignment="1">
      <alignment vertical="center"/>
    </xf>
    <xf numFmtId="0" fontId="12" fillId="12" borderId="36" xfId="0" applyFont="1" applyFill="1" applyBorder="1" applyAlignment="1">
      <alignment horizontal="justify" vertical="center"/>
    </xf>
    <xf numFmtId="1" fontId="11" fillId="0" borderId="27"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1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vertical="center" wrapText="1"/>
    </xf>
    <xf numFmtId="0" fontId="13" fillId="0" borderId="2" xfId="0" applyFont="1" applyFill="1" applyBorder="1" applyAlignment="1">
      <alignment horizontal="justify" vertical="center" wrapText="1" readingOrder="2"/>
    </xf>
    <xf numFmtId="43" fontId="11" fillId="0" borderId="2" xfId="6" applyFont="1" applyFill="1" applyBorder="1" applyAlignment="1">
      <alignment horizontal="right" vertical="center" wrapText="1"/>
    </xf>
    <xf numFmtId="0" fontId="11" fillId="0" borderId="0" xfId="0" applyFont="1" applyFill="1"/>
    <xf numFmtId="0" fontId="11" fillId="0" borderId="14" xfId="0" applyFont="1" applyFill="1" applyBorder="1" applyAlignment="1">
      <alignmen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justify" vertical="center" wrapText="1"/>
    </xf>
    <xf numFmtId="9" fontId="11" fillId="0" borderId="2" xfId="5" applyFont="1" applyFill="1" applyBorder="1" applyAlignment="1">
      <alignment horizontal="center" vertical="center" wrapText="1"/>
    </xf>
    <xf numFmtId="0" fontId="4" fillId="0" borderId="2" xfId="0" applyFont="1" applyFill="1" applyBorder="1" applyAlignment="1">
      <alignment horizontal="justify" vertical="center" wrapText="1"/>
    </xf>
    <xf numFmtId="0" fontId="11" fillId="13" borderId="0" xfId="0" applyFont="1" applyFill="1"/>
    <xf numFmtId="0" fontId="4" fillId="0" borderId="9" xfId="0" applyFont="1" applyFill="1" applyBorder="1" applyAlignment="1">
      <alignment horizontal="justify" vertical="center" wrapText="1"/>
    </xf>
    <xf numFmtId="43" fontId="11" fillId="0" borderId="9" xfId="6" applyFont="1" applyFill="1" applyBorder="1" applyAlignment="1">
      <alignment horizontal="right" vertical="center" wrapText="1"/>
    </xf>
    <xf numFmtId="1" fontId="11" fillId="0" borderId="19" xfId="0" applyNumberFormat="1" applyFont="1" applyBorder="1" applyAlignment="1">
      <alignment vertical="center"/>
    </xf>
    <xf numFmtId="0" fontId="11" fillId="0" borderId="20" xfId="0" applyFont="1" applyBorder="1" applyAlignment="1">
      <alignment vertical="center"/>
    </xf>
    <xf numFmtId="0" fontId="11" fillId="0" borderId="20" xfId="0" applyFont="1" applyBorder="1" applyAlignment="1">
      <alignment vertical="center" wrapText="1"/>
    </xf>
    <xf numFmtId="0" fontId="11" fillId="0" borderId="20" xfId="0" applyFont="1" applyBorder="1" applyAlignment="1">
      <alignment horizontal="justify" vertical="center"/>
    </xf>
    <xf numFmtId="0" fontId="11" fillId="0" borderId="20" xfId="0" applyFont="1" applyBorder="1" applyAlignment="1">
      <alignment horizontal="center" vertical="center"/>
    </xf>
    <xf numFmtId="169" fontId="11" fillId="0" borderId="21" xfId="0" applyNumberFormat="1" applyFont="1" applyBorder="1" applyAlignment="1">
      <alignment horizontal="center" vertical="center"/>
    </xf>
    <xf numFmtId="43" fontId="12" fillId="0" borderId="22" xfId="6" applyFont="1" applyBorder="1" applyAlignment="1">
      <alignment horizontal="justify" vertical="center"/>
    </xf>
    <xf numFmtId="0" fontId="11" fillId="0" borderId="19" xfId="0" applyFont="1" applyBorder="1" applyAlignment="1">
      <alignment horizontal="justify" vertical="center"/>
    </xf>
    <xf numFmtId="0" fontId="11" fillId="0" borderId="21" xfId="0" applyFont="1" applyBorder="1" applyAlignment="1">
      <alignment horizontal="justify" vertical="center"/>
    </xf>
    <xf numFmtId="43" fontId="12" fillId="0" borderId="22" xfId="6" applyFont="1" applyBorder="1" applyAlignment="1">
      <alignment horizontal="right" vertical="center"/>
    </xf>
    <xf numFmtId="1" fontId="11" fillId="7" borderId="19" xfId="0" applyNumberFormat="1" applyFont="1" applyFill="1" applyBorder="1" applyAlignment="1">
      <alignment horizontal="center" vertical="center"/>
    </xf>
    <xf numFmtId="0" fontId="11" fillId="7" borderId="20" xfId="0" applyFont="1" applyFill="1" applyBorder="1" applyAlignment="1">
      <alignment horizontal="justify" vertical="center"/>
    </xf>
    <xf numFmtId="167" fontId="11" fillId="0" borderId="20" xfId="0" applyNumberFormat="1" applyFont="1" applyBorder="1" applyAlignment="1">
      <alignment horizontal="right" vertical="center"/>
    </xf>
    <xf numFmtId="167" fontId="11" fillId="0" borderId="20" xfId="0" applyNumberFormat="1" applyFont="1" applyBorder="1" applyAlignment="1">
      <alignment horizontal="center" vertical="center"/>
    </xf>
    <xf numFmtId="0" fontId="11" fillId="0" borderId="0" xfId="0" applyFont="1" applyAlignment="1">
      <alignment vertical="center"/>
    </xf>
    <xf numFmtId="168" fontId="12" fillId="0" borderId="0" xfId="4" applyNumberFormat="1" applyFont="1" applyAlignment="1">
      <alignment horizontal="justify" vertical="center"/>
    </xf>
    <xf numFmtId="168" fontId="12" fillId="0" borderId="0" xfId="4" applyNumberFormat="1" applyFont="1" applyAlignment="1">
      <alignment horizontal="right" vertical="center"/>
    </xf>
    <xf numFmtId="166" fontId="12" fillId="7" borderId="0" xfId="0" applyNumberFormat="1" applyFont="1" applyFill="1" applyAlignment="1">
      <alignment vertical="center"/>
    </xf>
    <xf numFmtId="0" fontId="11" fillId="7" borderId="0" xfId="0" applyFont="1" applyFill="1" applyAlignment="1">
      <alignment horizontal="justify"/>
    </xf>
    <xf numFmtId="171" fontId="12" fillId="7" borderId="0" xfId="0" applyNumberFormat="1" applyFont="1" applyFill="1" applyAlignment="1">
      <alignment horizontal="right" vertical="center"/>
    </xf>
    <xf numFmtId="172" fontId="11" fillId="7" borderId="0" xfId="0" applyNumberFormat="1" applyFont="1" applyFill="1" applyAlignment="1">
      <alignment vertical="center"/>
    </xf>
    <xf numFmtId="1" fontId="11" fillId="0" borderId="0" xfId="0" applyNumberFormat="1" applyFont="1"/>
    <xf numFmtId="0" fontId="11" fillId="0" borderId="0" xfId="0" applyFont="1" applyAlignment="1">
      <alignment vertical="center" wrapText="1"/>
    </xf>
    <xf numFmtId="0" fontId="11" fillId="0" borderId="0" xfId="0" applyFont="1" applyAlignment="1">
      <alignment horizontal="justify" vertical="center"/>
    </xf>
    <xf numFmtId="0" fontId="11" fillId="0" borderId="0" xfId="0" applyFont="1" applyAlignment="1">
      <alignment horizontal="justify"/>
    </xf>
    <xf numFmtId="0" fontId="11" fillId="0" borderId="0" xfId="0" applyFont="1" applyAlignment="1">
      <alignment horizontal="center"/>
    </xf>
    <xf numFmtId="168" fontId="11" fillId="0" borderId="0" xfId="4" applyNumberFormat="1" applyFont="1" applyAlignment="1">
      <alignment horizontal="justify"/>
    </xf>
    <xf numFmtId="168" fontId="11" fillId="0" borderId="0" xfId="4" applyNumberFormat="1" applyFont="1" applyAlignment="1">
      <alignment horizontal="right" vertical="center"/>
    </xf>
    <xf numFmtId="1" fontId="11" fillId="7" borderId="0" xfId="0" applyNumberFormat="1" applyFont="1" applyFill="1" applyAlignment="1">
      <alignment horizontal="center" vertical="center"/>
    </xf>
    <xf numFmtId="0" fontId="11" fillId="7" borderId="0" xfId="0" applyFont="1" applyFill="1" applyAlignment="1">
      <alignment horizontal="justify" vertical="center"/>
    </xf>
    <xf numFmtId="167" fontId="11" fillId="0" borderId="0" xfId="0" applyNumberFormat="1" applyFont="1" applyAlignment="1">
      <alignment horizontal="right" vertical="center"/>
    </xf>
    <xf numFmtId="167" fontId="11" fillId="0" borderId="0" xfId="0" applyNumberFormat="1" applyFont="1" applyAlignment="1">
      <alignment horizontal="center"/>
    </xf>
    <xf numFmtId="0" fontId="11" fillId="7" borderId="0" xfId="0" applyFont="1" applyFill="1" applyAlignment="1">
      <alignment horizontal="center"/>
    </xf>
    <xf numFmtId="169" fontId="11" fillId="7" borderId="0" xfId="0" applyNumberFormat="1" applyFont="1" applyFill="1" applyAlignment="1">
      <alignment horizontal="center" vertical="center"/>
    </xf>
    <xf numFmtId="168" fontId="11" fillId="7" borderId="0" xfId="4" applyNumberFormat="1" applyFont="1" applyFill="1" applyAlignment="1">
      <alignment horizontal="justify" vertical="center"/>
    </xf>
    <xf numFmtId="168" fontId="11" fillId="7" borderId="0" xfId="4" applyNumberFormat="1" applyFont="1" applyFill="1" applyAlignment="1">
      <alignment horizontal="right" vertical="center"/>
    </xf>
    <xf numFmtId="1" fontId="5" fillId="3" borderId="14" xfId="0" applyNumberFormat="1" applyFont="1" applyFill="1" applyBorder="1" applyAlignment="1">
      <alignment horizontal="center" vertical="center" wrapText="1"/>
    </xf>
    <xf numFmtId="168" fontId="12" fillId="8" borderId="9" xfId="4" applyNumberFormat="1" applyFont="1" applyFill="1" applyBorder="1" applyAlignment="1">
      <alignment horizontal="center" vertical="center" wrapText="1"/>
    </xf>
    <xf numFmtId="1" fontId="12" fillId="8" borderId="14" xfId="0" applyNumberFormat="1" applyFont="1" applyFill="1" applyBorder="1" applyAlignment="1">
      <alignment horizontal="center" vertical="center" wrapText="1"/>
    </xf>
    <xf numFmtId="0" fontId="10" fillId="0" borderId="2" xfId="0" applyFont="1" applyBorder="1"/>
    <xf numFmtId="173" fontId="10" fillId="0" borderId="2" xfId="0" applyNumberFormat="1" applyFont="1" applyBorder="1" applyAlignment="1">
      <alignment horizontal="left"/>
    </xf>
    <xf numFmtId="17" fontId="10" fillId="0" borderId="2" xfId="0" applyNumberFormat="1" applyFont="1" applyBorder="1" applyAlignment="1">
      <alignment horizontal="left"/>
    </xf>
    <xf numFmtId="3" fontId="3" fillId="2" borderId="2" xfId="0" applyNumberFormat="1" applyFont="1" applyFill="1" applyBorder="1" applyAlignment="1">
      <alignment horizontal="left" vertical="center" wrapText="1"/>
    </xf>
    <xf numFmtId="0" fontId="11" fillId="0" borderId="0" xfId="0" applyFont="1" applyAlignment="1">
      <alignment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8" borderId="2" xfId="0" applyFont="1" applyFill="1" applyBorder="1" applyAlignment="1">
      <alignment horizontal="center" vertical="center" textRotation="90" wrapText="1"/>
    </xf>
    <xf numFmtId="49" fontId="12" fillId="8" borderId="2" xfId="0" applyNumberFormat="1" applyFont="1" applyFill="1" applyBorder="1" applyAlignment="1">
      <alignment horizontal="center" vertical="center" textRotation="90" wrapText="1"/>
    </xf>
    <xf numFmtId="1" fontId="12" fillId="10" borderId="8" xfId="0" applyNumberFormat="1" applyFont="1" applyFill="1" applyBorder="1" applyAlignment="1">
      <alignment horizontal="left" vertical="center" wrapText="1"/>
    </xf>
    <xf numFmtId="0" fontId="12" fillId="10" borderId="5" xfId="0" applyFont="1" applyFill="1" applyBorder="1" applyAlignment="1">
      <alignment vertical="center"/>
    </xf>
    <xf numFmtId="0" fontId="12" fillId="10" borderId="5" xfId="0" applyFont="1" applyFill="1" applyBorder="1" applyAlignment="1">
      <alignment horizontal="justify" vertical="center"/>
    </xf>
    <xf numFmtId="0" fontId="12" fillId="10" borderId="5" xfId="0" applyFont="1" applyFill="1" applyBorder="1" applyAlignment="1">
      <alignment horizontal="center" vertical="center"/>
    </xf>
    <xf numFmtId="9" fontId="12" fillId="10" borderId="5" xfId="5" applyFont="1" applyFill="1" applyBorder="1" applyAlignment="1">
      <alignment horizontal="center" vertical="center"/>
    </xf>
    <xf numFmtId="3" fontId="11" fillId="10" borderId="5" xfId="0" applyNumberFormat="1" applyFont="1" applyFill="1" applyBorder="1" applyAlignment="1">
      <alignment vertical="center"/>
    </xf>
    <xf numFmtId="3" fontId="12" fillId="10" borderId="5" xfId="0" applyNumberFormat="1" applyFont="1" applyFill="1" applyBorder="1" applyAlignment="1">
      <alignment horizontal="right" vertical="center"/>
    </xf>
    <xf numFmtId="174" fontId="12" fillId="10" borderId="5" xfId="0" applyNumberFormat="1" applyFont="1" applyFill="1" applyBorder="1" applyAlignment="1">
      <alignment horizontal="center" vertical="center"/>
    </xf>
    <xf numFmtId="0" fontId="12" fillId="10" borderId="2" xfId="0" applyFont="1" applyFill="1" applyBorder="1" applyAlignment="1">
      <alignment vertical="center"/>
    </xf>
    <xf numFmtId="0" fontId="12" fillId="10" borderId="2" xfId="0" applyFont="1" applyFill="1" applyBorder="1" applyAlignment="1">
      <alignment horizontal="justify" vertical="center"/>
    </xf>
    <xf numFmtId="0" fontId="11" fillId="7" borderId="8" xfId="0" applyFont="1" applyFill="1" applyBorder="1" applyAlignment="1">
      <alignment vertical="center" wrapText="1"/>
    </xf>
    <xf numFmtId="0" fontId="12" fillId="11" borderId="10" xfId="0" applyFont="1" applyFill="1" applyBorder="1" applyAlignment="1">
      <alignment horizontal="left" vertical="center"/>
    </xf>
    <xf numFmtId="1" fontId="12" fillId="11" borderId="11" xfId="0" applyNumberFormat="1" applyFont="1" applyFill="1" applyBorder="1" applyAlignment="1">
      <alignment horizontal="left" vertical="center"/>
    </xf>
    <xf numFmtId="0" fontId="12" fillId="11" borderId="5" xfId="0" applyFont="1" applyFill="1" applyBorder="1" applyAlignment="1">
      <alignment vertical="center"/>
    </xf>
    <xf numFmtId="0" fontId="12" fillId="11" borderId="5" xfId="0" applyFont="1" applyFill="1" applyBorder="1" applyAlignment="1">
      <alignment horizontal="justify" vertical="center"/>
    </xf>
    <xf numFmtId="0" fontId="12" fillId="11" borderId="5" xfId="0" applyFont="1" applyFill="1" applyBorder="1" applyAlignment="1">
      <alignment horizontal="center" vertical="center"/>
    </xf>
    <xf numFmtId="9" fontId="12" fillId="11" borderId="5" xfId="5" applyFont="1" applyFill="1" applyBorder="1" applyAlignment="1">
      <alignment horizontal="center" vertical="center"/>
    </xf>
    <xf numFmtId="3" fontId="11" fillId="11" borderId="5" xfId="0" applyNumberFormat="1" applyFont="1" applyFill="1" applyBorder="1" applyAlignment="1">
      <alignment vertical="center"/>
    </xf>
    <xf numFmtId="3" fontId="12" fillId="11" borderId="5" xfId="0" applyNumberFormat="1" applyFont="1" applyFill="1" applyBorder="1" applyAlignment="1">
      <alignment horizontal="right" vertical="center"/>
    </xf>
    <xf numFmtId="174" fontId="12" fillId="11" borderId="5" xfId="0" applyNumberFormat="1" applyFont="1" applyFill="1" applyBorder="1" applyAlignment="1">
      <alignment horizontal="center" vertical="center"/>
    </xf>
    <xf numFmtId="0" fontId="12" fillId="11" borderId="0" xfId="0" applyFont="1" applyFill="1" applyAlignment="1">
      <alignment vertical="center"/>
    </xf>
    <xf numFmtId="0" fontId="12" fillId="11" borderId="2" xfId="0" applyFont="1" applyFill="1" applyBorder="1" applyAlignment="1">
      <alignment vertical="center"/>
    </xf>
    <xf numFmtId="167" fontId="12" fillId="11" borderId="2" xfId="0" applyNumberFormat="1" applyFont="1" applyFill="1" applyBorder="1" applyAlignment="1">
      <alignment vertical="center"/>
    </xf>
    <xf numFmtId="0" fontId="12" fillId="11" borderId="2" xfId="0" applyFont="1" applyFill="1" applyBorder="1" applyAlignment="1">
      <alignment horizontal="justify" vertical="center"/>
    </xf>
    <xf numFmtId="0" fontId="11" fillId="7" borderId="13" xfId="0" applyFont="1" applyFill="1" applyBorder="1" applyAlignment="1">
      <alignment vertical="center" wrapText="1"/>
    </xf>
    <xf numFmtId="1" fontId="12" fillId="12" borderId="10" xfId="0" applyNumberFormat="1" applyFont="1" applyFill="1" applyBorder="1" applyAlignment="1">
      <alignment horizontal="left" vertical="center" wrapText="1"/>
    </xf>
    <xf numFmtId="1" fontId="12" fillId="12" borderId="11" xfId="0" applyNumberFormat="1" applyFont="1" applyFill="1" applyBorder="1" applyAlignment="1">
      <alignment vertical="center"/>
    </xf>
    <xf numFmtId="0" fontId="12" fillId="12" borderId="12" xfId="0" applyFont="1" applyFill="1" applyBorder="1" applyAlignment="1">
      <alignment vertical="center"/>
    </xf>
    <xf numFmtId="0" fontId="12" fillId="12" borderId="2" xfId="0" applyFont="1" applyFill="1" applyBorder="1" applyAlignment="1">
      <alignment horizontal="justify" vertical="center"/>
    </xf>
    <xf numFmtId="0" fontId="12" fillId="12" borderId="2" xfId="0" applyFont="1" applyFill="1" applyBorder="1" applyAlignment="1">
      <alignment vertical="center"/>
    </xf>
    <xf numFmtId="0" fontId="12" fillId="12" borderId="2" xfId="0" applyFont="1" applyFill="1" applyBorder="1" applyAlignment="1">
      <alignment horizontal="center" vertical="center"/>
    </xf>
    <xf numFmtId="9" fontId="12" fillId="12" borderId="2" xfId="5" applyFont="1" applyFill="1" applyBorder="1" applyAlignment="1">
      <alignment horizontal="center" vertical="center"/>
    </xf>
    <xf numFmtId="3" fontId="11" fillId="12" borderId="2" xfId="0" applyNumberFormat="1" applyFont="1" applyFill="1" applyBorder="1" applyAlignment="1">
      <alignment vertical="center"/>
    </xf>
    <xf numFmtId="3" fontId="12" fillId="12" borderId="2" xfId="0" applyNumberFormat="1" applyFont="1" applyFill="1" applyBorder="1" applyAlignment="1">
      <alignment horizontal="right" vertical="center"/>
    </xf>
    <xf numFmtId="174" fontId="12" fillId="12" borderId="2" xfId="0" applyNumberFormat="1" applyFont="1" applyFill="1" applyBorder="1" applyAlignment="1">
      <alignment horizontal="center" vertical="center"/>
    </xf>
    <xf numFmtId="167" fontId="12" fillId="12" borderId="2" xfId="0" applyNumberFormat="1" applyFont="1" applyFill="1" applyBorder="1" applyAlignment="1">
      <alignment vertical="center"/>
    </xf>
    <xf numFmtId="0" fontId="11" fillId="7" borderId="2" xfId="0" applyFont="1" applyFill="1" applyBorder="1" applyAlignment="1">
      <alignment horizontal="justify" vertical="center" wrapText="1"/>
    </xf>
    <xf numFmtId="174" fontId="11" fillId="7" borderId="2" xfId="0" applyNumberFormat="1" applyFont="1" applyFill="1" applyBorder="1" applyAlignment="1">
      <alignment horizontal="right" vertical="center" wrapText="1"/>
    </xf>
    <xf numFmtId="0" fontId="13" fillId="7" borderId="2" xfId="0" applyFont="1" applyFill="1" applyBorder="1" applyAlignment="1">
      <alignment horizontal="justify" vertical="center" wrapText="1"/>
    </xf>
    <xf numFmtId="0" fontId="11" fillId="7" borderId="2" xfId="0" applyFont="1" applyFill="1" applyBorder="1" applyAlignment="1">
      <alignment horizontal="center" vertical="center" wrapText="1"/>
    </xf>
    <xf numFmtId="9" fontId="11" fillId="7" borderId="2" xfId="5" applyFont="1" applyFill="1" applyBorder="1" applyAlignment="1">
      <alignment horizontal="center" vertical="center" wrapText="1"/>
    </xf>
    <xf numFmtId="3" fontId="11" fillId="7" borderId="2" xfId="0" applyNumberFormat="1" applyFont="1" applyFill="1" applyBorder="1" applyAlignment="1">
      <alignment horizontal="center" vertical="center" wrapText="1"/>
    </xf>
    <xf numFmtId="1" fontId="11" fillId="7" borderId="2" xfId="0" applyNumberFormat="1" applyFont="1" applyFill="1" applyBorder="1" applyAlignment="1">
      <alignment horizontal="center" vertical="center" wrapText="1"/>
    </xf>
    <xf numFmtId="174" fontId="8" fillId="0" borderId="2" xfId="0" applyNumberFormat="1" applyFont="1" applyBorder="1" applyAlignment="1">
      <alignment horizontal="center" vertical="center"/>
    </xf>
    <xf numFmtId="3" fontId="11" fillId="0" borderId="2" xfId="0" applyNumberFormat="1" applyFont="1" applyBorder="1" applyAlignment="1">
      <alignment horizontal="center" vertical="center"/>
    </xf>
    <xf numFmtId="14" fontId="11" fillId="7" borderId="2" xfId="0" applyNumberFormat="1" applyFont="1" applyFill="1" applyBorder="1" applyAlignment="1">
      <alignment horizontal="center" vertical="center"/>
    </xf>
    <xf numFmtId="1" fontId="12" fillId="11" borderId="10" xfId="0" applyNumberFormat="1" applyFont="1" applyFill="1" applyBorder="1" applyAlignment="1">
      <alignment horizontal="left" vertical="center"/>
    </xf>
    <xf numFmtId="0" fontId="12" fillId="11" borderId="11" xfId="0" applyFont="1" applyFill="1" applyBorder="1" applyAlignment="1">
      <alignment vertical="center"/>
    </xf>
    <xf numFmtId="0" fontId="12" fillId="11" borderId="12" xfId="0" applyFont="1" applyFill="1" applyBorder="1" applyAlignment="1">
      <alignment vertical="center"/>
    </xf>
    <xf numFmtId="0" fontId="12" fillId="11" borderId="2" xfId="0" applyFont="1" applyFill="1" applyBorder="1" applyAlignment="1">
      <alignment horizontal="center" vertical="center"/>
    </xf>
    <xf numFmtId="9" fontId="12" fillId="11" borderId="2" xfId="5" applyFont="1" applyFill="1" applyBorder="1" applyAlignment="1">
      <alignment horizontal="center" vertical="center"/>
    </xf>
    <xf numFmtId="3" fontId="11" fillId="11" borderId="2" xfId="0" applyNumberFormat="1" applyFont="1" applyFill="1" applyBorder="1" applyAlignment="1">
      <alignment vertical="center"/>
    </xf>
    <xf numFmtId="3" fontId="12" fillId="11" borderId="2" xfId="0" applyNumberFormat="1" applyFont="1" applyFill="1" applyBorder="1" applyAlignment="1">
      <alignment horizontal="right" vertical="center"/>
    </xf>
    <xf numFmtId="174" fontId="12" fillId="11" borderId="2" xfId="0" applyNumberFormat="1" applyFont="1" applyFill="1" applyBorder="1" applyAlignment="1">
      <alignment horizontal="center" vertical="center"/>
    </xf>
    <xf numFmtId="1" fontId="12" fillId="12" borderId="10" xfId="0" applyNumberFormat="1" applyFont="1" applyFill="1" applyBorder="1" applyAlignment="1">
      <alignment horizontal="left" vertical="center" wrapText="1" indent="1"/>
    </xf>
    <xf numFmtId="174" fontId="12" fillId="12" borderId="2" xfId="0" applyNumberFormat="1" applyFont="1" applyFill="1" applyBorder="1" applyAlignment="1">
      <alignment horizontal="center" vertical="center" wrapText="1"/>
    </xf>
    <xf numFmtId="0" fontId="13" fillId="14" borderId="2" xfId="0" applyFont="1" applyFill="1" applyBorder="1" applyAlignment="1">
      <alignment horizontal="justify" vertical="center" wrapText="1"/>
    </xf>
    <xf numFmtId="174" fontId="8" fillId="7" borderId="2" xfId="6" applyNumberFormat="1" applyFont="1" applyFill="1" applyBorder="1" applyAlignment="1">
      <alignment horizontal="center" vertical="center"/>
    </xf>
    <xf numFmtId="0" fontId="11" fillId="7" borderId="37" xfId="0" applyFont="1" applyFill="1" applyBorder="1" applyAlignment="1">
      <alignment vertical="center" wrapText="1"/>
    </xf>
    <xf numFmtId="0" fontId="13" fillId="14" borderId="9" xfId="0" applyFont="1" applyFill="1" applyBorder="1" applyAlignment="1">
      <alignment horizontal="justify" vertical="center" wrapText="1"/>
    </xf>
    <xf numFmtId="0" fontId="13" fillId="0" borderId="9" xfId="0" applyFont="1" applyBorder="1" applyAlignment="1">
      <alignment horizontal="justify" vertical="center" wrapText="1"/>
    </xf>
    <xf numFmtId="174" fontId="8" fillId="7" borderId="9" xfId="6" applyNumberFormat="1" applyFont="1" applyFill="1" applyBorder="1" applyAlignment="1">
      <alignment horizontal="center" vertical="center"/>
    </xf>
    <xf numFmtId="0" fontId="12" fillId="0" borderId="19" xfId="0" applyFont="1" applyBorder="1" applyAlignment="1">
      <alignment vertical="center"/>
    </xf>
    <xf numFmtId="0" fontId="12" fillId="0" borderId="20" xfId="0" applyFont="1" applyBorder="1" applyAlignment="1">
      <alignment vertical="center"/>
    </xf>
    <xf numFmtId="0" fontId="7" fillId="0" borderId="21" xfId="0" applyFont="1" applyBorder="1" applyAlignment="1">
      <alignment vertical="center"/>
    </xf>
    <xf numFmtId="43" fontId="7" fillId="0" borderId="22" xfId="6" applyFont="1" applyBorder="1" applyAlignment="1">
      <alignment vertical="center"/>
    </xf>
    <xf numFmtId="0" fontId="12" fillId="0" borderId="21" xfId="0" applyFont="1" applyBorder="1" applyAlignment="1">
      <alignment horizontal="justify" vertical="center"/>
    </xf>
    <xf numFmtId="174" fontId="12" fillId="0" borderId="22" xfId="6" applyNumberFormat="1" applyFont="1" applyBorder="1"/>
    <xf numFmtId="166" fontId="7" fillId="0" borderId="19" xfId="0" applyNumberFormat="1" applyFont="1" applyBorder="1" applyAlignment="1">
      <alignment vertical="center"/>
    </xf>
    <xf numFmtId="0" fontId="12" fillId="7" borderId="20" xfId="0" applyFont="1" applyFill="1" applyBorder="1" applyAlignment="1">
      <alignment horizontal="justify" vertical="center"/>
    </xf>
    <xf numFmtId="0" fontId="12" fillId="0" borderId="20" xfId="0" applyFont="1" applyBorder="1" applyAlignment="1">
      <alignment horizontal="right" vertical="center"/>
    </xf>
    <xf numFmtId="165" fontId="12" fillId="0" borderId="20" xfId="0" applyNumberFormat="1" applyFont="1" applyBorder="1" applyAlignment="1">
      <alignment horizontal="center" vertical="center"/>
    </xf>
    <xf numFmtId="0" fontId="12" fillId="0" borderId="21" xfId="0" applyFont="1" applyBorder="1" applyAlignment="1">
      <alignment horizontal="left" vertical="center"/>
    </xf>
    <xf numFmtId="0" fontId="12" fillId="0" borderId="0" xfId="0" applyFont="1" applyAlignment="1">
      <alignment vertical="center"/>
    </xf>
    <xf numFmtId="3" fontId="11" fillId="0" borderId="0" xfId="0" applyNumberFormat="1" applyFont="1"/>
    <xf numFmtId="174" fontId="11" fillId="0" borderId="0" xfId="0" applyNumberFormat="1" applyFont="1" applyAlignment="1">
      <alignment horizontal="center"/>
    </xf>
    <xf numFmtId="166" fontId="11" fillId="0" borderId="0" xfId="0" applyNumberFormat="1" applyFont="1"/>
    <xf numFmtId="3" fontId="12" fillId="7" borderId="5" xfId="0" applyNumberFormat="1" applyFont="1" applyFill="1" applyBorder="1" applyAlignment="1">
      <alignment vertical="center"/>
    </xf>
    <xf numFmtId="0" fontId="12" fillId="0" borderId="5" xfId="0" applyFont="1" applyBorder="1"/>
    <xf numFmtId="0" fontId="12" fillId="0" borderId="0" xfId="0" applyFont="1"/>
    <xf numFmtId="0" fontId="11" fillId="0" borderId="9"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2" xfId="0" applyFont="1" applyBorder="1" applyAlignment="1">
      <alignment horizontal="center" vertical="center" wrapText="1"/>
    </xf>
    <xf numFmtId="0" fontId="12" fillId="0" borderId="11" xfId="0" applyFont="1" applyBorder="1" applyAlignment="1">
      <alignment horizontal="center" vertical="center"/>
    </xf>
    <xf numFmtId="0" fontId="11" fillId="7" borderId="2"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9" xfId="0" applyFont="1" applyFill="1" applyBorder="1" applyAlignment="1">
      <alignment horizontal="justify" vertical="center" wrapText="1"/>
    </xf>
    <xf numFmtId="0" fontId="10" fillId="0" borderId="42" xfId="0" applyFont="1" applyBorder="1"/>
    <xf numFmtId="0" fontId="10" fillId="0" borderId="26" xfId="0" applyFont="1" applyBorder="1"/>
    <xf numFmtId="0" fontId="10" fillId="0" borderId="2" xfId="0" applyFont="1" applyBorder="1" applyAlignment="1">
      <alignment horizontal="left"/>
    </xf>
    <xf numFmtId="173" fontId="10" fillId="0" borderId="18" xfId="0" applyNumberFormat="1" applyFont="1" applyBorder="1" applyAlignment="1">
      <alignment horizontal="left"/>
    </xf>
    <xf numFmtId="17" fontId="10" fillId="0" borderId="18" xfId="0" applyNumberFormat="1" applyFont="1" applyBorder="1" applyAlignment="1">
      <alignment horizontal="left"/>
    </xf>
    <xf numFmtId="0" fontId="10" fillId="0" borderId="2" xfId="0" applyFont="1" applyBorder="1" applyAlignment="1">
      <alignment vertical="center"/>
    </xf>
    <xf numFmtId="3" fontId="3" fillId="2" borderId="18" xfId="0" applyNumberFormat="1" applyFont="1" applyFill="1" applyBorder="1" applyAlignment="1">
      <alignment horizontal="left" vertical="center" wrapText="1"/>
    </xf>
    <xf numFmtId="49" fontId="12" fillId="15" borderId="2" xfId="0" applyNumberFormat="1" applyFont="1" applyFill="1" applyBorder="1" applyAlignment="1">
      <alignment horizontal="center" vertical="center" textRotation="90" wrapText="1"/>
    </xf>
    <xf numFmtId="0" fontId="12" fillId="15" borderId="2" xfId="0" applyFont="1" applyFill="1" applyBorder="1" applyAlignment="1">
      <alignment horizontal="center" vertical="center" textRotation="90" wrapText="1"/>
    </xf>
    <xf numFmtId="1" fontId="12" fillId="16" borderId="43" xfId="0" applyNumberFormat="1" applyFont="1" applyFill="1" applyBorder="1" applyAlignment="1">
      <alignment horizontal="left" vertical="center" wrapText="1"/>
    </xf>
    <xf numFmtId="0" fontId="12" fillId="16" borderId="10" xfId="0" applyFont="1" applyFill="1" applyBorder="1" applyAlignment="1">
      <alignment vertical="center"/>
    </xf>
    <xf numFmtId="0" fontId="12" fillId="16" borderId="11" xfId="0" applyFont="1" applyFill="1" applyBorder="1" applyAlignment="1">
      <alignment vertical="center"/>
    </xf>
    <xf numFmtId="0" fontId="12" fillId="16" borderId="11" xfId="0" applyFont="1" applyFill="1" applyBorder="1" applyAlignment="1">
      <alignment horizontal="justify" vertical="center"/>
    </xf>
    <xf numFmtId="0" fontId="12" fillId="16" borderId="11" xfId="0" applyFont="1" applyFill="1" applyBorder="1" applyAlignment="1">
      <alignment horizontal="center" vertical="center"/>
    </xf>
    <xf numFmtId="169" fontId="12" fillId="16" borderId="11" xfId="0" applyNumberFormat="1" applyFont="1" applyFill="1" applyBorder="1" applyAlignment="1">
      <alignment horizontal="center" vertical="center"/>
    </xf>
    <xf numFmtId="166" fontId="12" fillId="16" borderId="11" xfId="0" applyNumberFormat="1" applyFont="1" applyFill="1" applyBorder="1" applyAlignment="1">
      <alignment vertical="center"/>
    </xf>
    <xf numFmtId="166" fontId="12" fillId="16" borderId="11" xfId="0" applyNumberFormat="1" applyFont="1" applyFill="1" applyBorder="1" applyAlignment="1">
      <alignment horizontal="center" vertical="center"/>
    </xf>
    <xf numFmtId="1" fontId="12" fillId="16" borderId="11" xfId="0" applyNumberFormat="1" applyFont="1" applyFill="1" applyBorder="1" applyAlignment="1">
      <alignment horizontal="center" vertical="center"/>
    </xf>
    <xf numFmtId="167" fontId="12" fillId="16" borderId="11" xfId="0" applyNumberFormat="1" applyFont="1" applyFill="1" applyBorder="1" applyAlignment="1">
      <alignment vertical="center"/>
    </xf>
    <xf numFmtId="0" fontId="12" fillId="16" borderId="35" xfId="0" applyFont="1" applyFill="1" applyBorder="1" applyAlignment="1">
      <alignment horizontal="justify" vertical="center"/>
    </xf>
    <xf numFmtId="1" fontId="12" fillId="7" borderId="29" xfId="0" applyNumberFormat="1"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6" xfId="0" applyFont="1" applyFill="1" applyBorder="1" applyAlignment="1">
      <alignment horizontal="center" vertical="center" wrapText="1"/>
    </xf>
    <xf numFmtId="1" fontId="12" fillId="17" borderId="6" xfId="0" applyNumberFormat="1" applyFont="1" applyFill="1" applyBorder="1" applyAlignment="1">
      <alignment horizontal="center" vertical="center"/>
    </xf>
    <xf numFmtId="0" fontId="12" fillId="17" borderId="0" xfId="0" applyFont="1" applyFill="1" applyAlignment="1">
      <alignment vertical="center"/>
    </xf>
    <xf numFmtId="0" fontId="12" fillId="17" borderId="3" xfId="0" applyFont="1" applyFill="1" applyBorder="1" applyAlignment="1">
      <alignment vertical="center"/>
    </xf>
    <xf numFmtId="0" fontId="12" fillId="17" borderId="3" xfId="0" applyFont="1" applyFill="1" applyBorder="1" applyAlignment="1">
      <alignment horizontal="justify" vertical="center"/>
    </xf>
    <xf numFmtId="0" fontId="12" fillId="17" borderId="3" xfId="0" applyFont="1" applyFill="1" applyBorder="1" applyAlignment="1">
      <alignment horizontal="center" vertical="center"/>
    </xf>
    <xf numFmtId="169" fontId="12" fillId="17" borderId="3" xfId="0" applyNumberFormat="1" applyFont="1" applyFill="1" applyBorder="1" applyAlignment="1">
      <alignment horizontal="center" vertical="center"/>
    </xf>
    <xf numFmtId="166" fontId="12" fillId="17" borderId="3" xfId="0" applyNumberFormat="1" applyFont="1" applyFill="1" applyBorder="1" applyAlignment="1">
      <alignment vertical="center"/>
    </xf>
    <xf numFmtId="166" fontId="12" fillId="17" borderId="3" xfId="0" applyNumberFormat="1" applyFont="1" applyFill="1" applyBorder="1" applyAlignment="1">
      <alignment horizontal="center" vertical="center"/>
    </xf>
    <xf numFmtId="1" fontId="12" fillId="17" borderId="3" xfId="0" applyNumberFormat="1" applyFont="1" applyFill="1" applyBorder="1" applyAlignment="1">
      <alignment horizontal="center" vertical="center"/>
    </xf>
    <xf numFmtId="167" fontId="12" fillId="17" borderId="3" xfId="0" applyNumberFormat="1" applyFont="1" applyFill="1" applyBorder="1" applyAlignment="1">
      <alignment vertical="center"/>
    </xf>
    <xf numFmtId="0" fontId="12" fillId="17" borderId="30" xfId="0" applyFont="1" applyFill="1" applyBorder="1" applyAlignment="1">
      <alignment horizontal="justify" vertical="center"/>
    </xf>
    <xf numFmtId="0" fontId="12" fillId="7" borderId="1" xfId="0" applyFont="1" applyFill="1" applyBorder="1" applyAlignment="1">
      <alignment horizontal="center" vertical="center" wrapText="1"/>
    </xf>
    <xf numFmtId="1" fontId="12" fillId="18" borderId="2" xfId="0" applyNumberFormat="1" applyFont="1" applyFill="1" applyBorder="1" applyAlignment="1">
      <alignment horizontal="center" vertical="center" wrapText="1"/>
    </xf>
    <xf numFmtId="0" fontId="12" fillId="18" borderId="11" xfId="0" applyFont="1" applyFill="1" applyBorder="1" applyAlignment="1">
      <alignment vertical="center"/>
    </xf>
    <xf numFmtId="0" fontId="12" fillId="18" borderId="11" xfId="0" applyFont="1" applyFill="1" applyBorder="1" applyAlignment="1">
      <alignment horizontal="justify" vertical="center"/>
    </xf>
    <xf numFmtId="0" fontId="12" fillId="18" borderId="11" xfId="0" applyFont="1" applyFill="1" applyBorder="1" applyAlignment="1">
      <alignment horizontal="center" vertical="center"/>
    </xf>
    <xf numFmtId="169" fontId="12" fillId="18" borderId="11" xfId="0" applyNumberFormat="1" applyFont="1" applyFill="1" applyBorder="1" applyAlignment="1">
      <alignment horizontal="center" vertical="center"/>
    </xf>
    <xf numFmtId="166" fontId="12" fillId="18" borderId="11" xfId="0" applyNumberFormat="1" applyFont="1" applyFill="1" applyBorder="1" applyAlignment="1">
      <alignment vertical="center"/>
    </xf>
    <xf numFmtId="166" fontId="12" fillId="18" borderId="11" xfId="0" applyNumberFormat="1" applyFont="1" applyFill="1" applyBorder="1" applyAlignment="1">
      <alignment horizontal="center" vertical="center"/>
    </xf>
    <xf numFmtId="1" fontId="12" fillId="18" borderId="11" xfId="0" applyNumberFormat="1" applyFont="1" applyFill="1" applyBorder="1" applyAlignment="1">
      <alignment horizontal="center" vertical="center"/>
    </xf>
    <xf numFmtId="167" fontId="12" fillId="18" borderId="11" xfId="0" applyNumberFormat="1" applyFont="1" applyFill="1" applyBorder="1" applyAlignment="1">
      <alignment vertical="center"/>
    </xf>
    <xf numFmtId="0" fontId="12" fillId="18" borderId="35" xfId="0" applyFont="1" applyFill="1" applyBorder="1" applyAlignment="1">
      <alignment horizontal="justify" vertical="center"/>
    </xf>
    <xf numFmtId="1" fontId="11" fillId="7" borderId="27" xfId="0" applyNumberFormat="1" applyFont="1" applyFill="1" applyBorder="1" applyAlignment="1">
      <alignment horizontal="center" vertical="center" wrapText="1"/>
    </xf>
    <xf numFmtId="0" fontId="11" fillId="7" borderId="8" xfId="0" applyFont="1" applyFill="1" applyBorder="1" applyAlignment="1">
      <alignment horizontal="center" vertical="center" wrapText="1"/>
    </xf>
    <xf numFmtId="2" fontId="11" fillId="7" borderId="2" xfId="0" applyNumberFormat="1" applyFont="1" applyFill="1" applyBorder="1" applyAlignment="1">
      <alignment horizontal="justify" vertical="center" wrapText="1"/>
    </xf>
    <xf numFmtId="43" fontId="8" fillId="7" borderId="15" xfId="6" applyFont="1" applyFill="1" applyBorder="1" applyAlignment="1">
      <alignment horizontal="center" vertical="center" wrapText="1"/>
    </xf>
    <xf numFmtId="0" fontId="11" fillId="7" borderId="0" xfId="0" applyFont="1" applyFill="1" applyAlignment="1">
      <alignment horizontal="center" vertical="center" wrapText="1"/>
    </xf>
    <xf numFmtId="0" fontId="11" fillId="7" borderId="13" xfId="0" applyFont="1" applyFill="1" applyBorder="1" applyAlignment="1">
      <alignment horizontal="center" vertical="center" wrapText="1"/>
    </xf>
    <xf numFmtId="43" fontId="8" fillId="7" borderId="2" xfId="6" applyFont="1" applyFill="1" applyBorder="1" applyAlignment="1">
      <alignment horizontal="center" vertical="center" wrapText="1"/>
    </xf>
    <xf numFmtId="175" fontId="11" fillId="7" borderId="13" xfId="0" applyNumberFormat="1" applyFont="1" applyFill="1" applyBorder="1" applyAlignment="1">
      <alignment horizontal="center" vertical="center" wrapText="1"/>
    </xf>
    <xf numFmtId="0" fontId="8" fillId="7" borderId="2" xfId="0" applyFont="1" applyFill="1" applyBorder="1" applyAlignment="1">
      <alignment horizontal="justify" vertical="center"/>
    </xf>
    <xf numFmtId="9" fontId="11" fillId="7" borderId="2" xfId="5" applyFont="1" applyFill="1" applyBorder="1" applyAlignment="1">
      <alignment horizontal="center" vertical="center"/>
    </xf>
    <xf numFmtId="0" fontId="8" fillId="7" borderId="9" xfId="0" applyFont="1" applyFill="1" applyBorder="1" applyAlignment="1">
      <alignment horizontal="justify" vertical="center"/>
    </xf>
    <xf numFmtId="0" fontId="11" fillId="0" borderId="9" xfId="0" applyFont="1" applyBorder="1" applyAlignment="1">
      <alignment horizontal="justify" vertical="center" wrapText="1"/>
    </xf>
    <xf numFmtId="9" fontId="8" fillId="7" borderId="9" xfId="5" applyFont="1" applyFill="1" applyBorder="1" applyAlignment="1">
      <alignment horizontal="center" vertical="center"/>
    </xf>
    <xf numFmtId="2" fontId="11" fillId="7" borderId="9" xfId="0" applyNumberFormat="1" applyFont="1" applyFill="1" applyBorder="1" applyAlignment="1">
      <alignment horizontal="justify" vertical="center" wrapText="1"/>
    </xf>
    <xf numFmtId="43" fontId="8" fillId="7" borderId="14" xfId="6" applyFont="1" applyFill="1" applyBorder="1" applyAlignment="1">
      <alignment horizontal="center" vertical="center" wrapText="1"/>
    </xf>
    <xf numFmtId="0" fontId="11" fillId="0" borderId="19" xfId="0" applyFont="1" applyBorder="1" applyAlignment="1">
      <alignment vertical="center"/>
    </xf>
    <xf numFmtId="43" fontId="12" fillId="0" borderId="22" xfId="6" applyFont="1" applyBorder="1" applyAlignment="1">
      <alignment vertical="center"/>
    </xf>
    <xf numFmtId="0" fontId="11" fillId="0" borderId="21" xfId="0" applyFont="1" applyBorder="1" applyAlignment="1">
      <alignment vertical="center"/>
    </xf>
    <xf numFmtId="0" fontId="11" fillId="0" borderId="5" xfId="0" applyFont="1" applyBorder="1"/>
    <xf numFmtId="0" fontId="8" fillId="0" borderId="2" xfId="0" applyFont="1" applyBorder="1" applyAlignment="1">
      <alignment horizontal="justify" vertical="center" wrapText="1"/>
    </xf>
    <xf numFmtId="0" fontId="11" fillId="0" borderId="2" xfId="0" applyFont="1" applyFill="1" applyBorder="1" applyAlignment="1">
      <alignment horizontal="justify" vertical="center" wrapText="1"/>
    </xf>
    <xf numFmtId="0" fontId="11" fillId="0" borderId="10" xfId="0" applyFont="1" applyFill="1" applyBorder="1" applyAlignment="1">
      <alignment horizontal="center" vertical="center" wrapText="1"/>
    </xf>
    <xf numFmtId="0" fontId="11" fillId="0" borderId="0" xfId="0" applyFont="1" applyAlignment="1">
      <alignment horizontal="justify"/>
    </xf>
    <xf numFmtId="0" fontId="4" fillId="0" borderId="2" xfId="0" applyFont="1" applyFill="1" applyBorder="1" applyAlignment="1">
      <alignment horizontal="justify" vertical="center" wrapText="1"/>
    </xf>
    <xf numFmtId="0" fontId="11" fillId="0" borderId="15" xfId="0" applyFont="1" applyFill="1" applyBorder="1" applyAlignment="1">
      <alignment horizontal="justify" vertical="center" wrapText="1"/>
    </xf>
    <xf numFmtId="0" fontId="11" fillId="7" borderId="2" xfId="0" applyFont="1" applyFill="1" applyBorder="1" applyAlignment="1">
      <alignment horizontal="justify" vertical="center" wrapText="1"/>
    </xf>
    <xf numFmtId="0" fontId="11" fillId="7" borderId="9" xfId="0" applyFont="1" applyFill="1" applyBorder="1" applyAlignment="1">
      <alignment horizontal="justify" vertical="center" wrapText="1"/>
    </xf>
    <xf numFmtId="0" fontId="8" fillId="0" borderId="2" xfId="0" applyFont="1" applyBorder="1" applyAlignment="1">
      <alignment horizontal="center" vertical="center" wrapText="1"/>
    </xf>
    <xf numFmtId="0" fontId="8" fillId="0" borderId="2"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2" xfId="0" applyFont="1" applyBorder="1" applyAlignment="1">
      <alignment horizontal="center" vertical="center" wrapText="1"/>
    </xf>
    <xf numFmtId="0" fontId="11" fillId="0" borderId="0" xfId="0" applyFont="1" applyAlignment="1">
      <alignment horizontal="justify"/>
    </xf>
    <xf numFmtId="0" fontId="11" fillId="7" borderId="2" xfId="0" applyFont="1" applyFill="1" applyBorder="1" applyAlignment="1">
      <alignment horizontal="center" vertical="center"/>
    </xf>
    <xf numFmtId="0" fontId="11" fillId="7" borderId="15" xfId="0" applyFont="1" applyFill="1" applyBorder="1" applyAlignment="1">
      <alignment horizontal="justify" vertical="center" wrapText="1"/>
    </xf>
    <xf numFmtId="0" fontId="11" fillId="7" borderId="2" xfId="0" applyFont="1" applyFill="1" applyBorder="1" applyAlignment="1">
      <alignment horizontal="justify" vertical="center" wrapText="1"/>
    </xf>
    <xf numFmtId="0" fontId="11" fillId="7" borderId="9" xfId="0" applyFont="1" applyFill="1" applyBorder="1" applyAlignment="1">
      <alignment horizontal="justify" vertical="center" wrapText="1"/>
    </xf>
    <xf numFmtId="1" fontId="11" fillId="7" borderId="9" xfId="0" applyNumberFormat="1" applyFont="1" applyFill="1" applyBorder="1" applyAlignment="1">
      <alignment horizontal="center" vertical="center" wrapText="1"/>
    </xf>
    <xf numFmtId="1" fontId="11" fillId="7" borderId="14" xfId="0" applyNumberFormat="1"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2" xfId="0" applyFont="1" applyFill="1" applyBorder="1" applyAlignment="1">
      <alignment horizontal="center" vertical="center" wrapText="1"/>
    </xf>
    <xf numFmtId="3" fontId="11" fillId="7" borderId="2" xfId="0" applyNumberFormat="1" applyFont="1" applyFill="1" applyBorder="1" applyAlignment="1">
      <alignment horizontal="justify" vertical="center" wrapText="1"/>
    </xf>
    <xf numFmtId="1" fontId="11" fillId="7" borderId="15" xfId="0" applyNumberFormat="1"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0" xfId="0" applyFont="1" applyFill="1" applyAlignment="1">
      <alignment horizontal="center" vertical="center" wrapText="1"/>
    </xf>
    <xf numFmtId="0" fontId="11" fillId="0" borderId="9" xfId="0" applyFont="1" applyBorder="1" applyAlignment="1">
      <alignment horizontal="justify" vertical="center" wrapText="1"/>
    </xf>
    <xf numFmtId="0" fontId="12" fillId="0" borderId="2" xfId="0" applyFont="1" applyFill="1" applyBorder="1" applyAlignment="1">
      <alignment vertical="center"/>
    </xf>
    <xf numFmtId="0" fontId="14" fillId="0" borderId="0" xfId="0" applyFont="1"/>
    <xf numFmtId="0" fontId="12" fillId="0" borderId="2" xfId="0" applyFont="1" applyFill="1" applyBorder="1" applyAlignment="1">
      <alignment horizontal="left" vertical="center"/>
    </xf>
    <xf numFmtId="0" fontId="12" fillId="0" borderId="2" xfId="0" applyFont="1" applyFill="1" applyBorder="1" applyAlignment="1">
      <alignment vertical="center" wrapText="1"/>
    </xf>
    <xf numFmtId="3" fontId="5" fillId="0" borderId="2" xfId="0" applyNumberFormat="1" applyFont="1" applyFill="1" applyBorder="1" applyAlignment="1">
      <alignment horizontal="left" vertical="center" wrapText="1"/>
    </xf>
    <xf numFmtId="0" fontId="12" fillId="0" borderId="7" xfId="0" applyFont="1" applyBorder="1" applyAlignment="1">
      <alignment vertical="center"/>
    </xf>
    <xf numFmtId="0" fontId="12" fillId="0" borderId="4" xfId="0" applyFont="1" applyBorder="1" applyAlignment="1">
      <alignment vertical="center"/>
    </xf>
    <xf numFmtId="0" fontId="12" fillId="15" borderId="9" xfId="0" applyFont="1" applyFill="1" applyBorder="1" applyAlignment="1">
      <alignment horizontal="center" vertical="center" textRotation="90" wrapText="1"/>
    </xf>
    <xf numFmtId="49" fontId="12" fillId="15" borderId="9" xfId="0" applyNumberFormat="1" applyFont="1" applyFill="1" applyBorder="1" applyAlignment="1">
      <alignment horizontal="center" vertical="center" textRotation="90" wrapText="1"/>
    </xf>
    <xf numFmtId="0" fontId="12" fillId="10" borderId="2" xfId="0" applyFont="1" applyFill="1" applyBorder="1" applyAlignment="1">
      <alignment horizontal="center" vertical="center" wrapText="1"/>
    </xf>
    <xf numFmtId="0" fontId="12" fillId="10" borderId="10" xfId="0" applyFont="1" applyFill="1" applyBorder="1" applyAlignment="1">
      <alignment horizontal="left" vertical="center"/>
    </xf>
    <xf numFmtId="0" fontId="12" fillId="10" borderId="11" xfId="0" applyFont="1" applyFill="1" applyBorder="1" applyAlignment="1">
      <alignment horizontal="left" vertical="center" wrapText="1"/>
    </xf>
    <xf numFmtId="0" fontId="12" fillId="10" borderId="11" xfId="0" applyFont="1" applyFill="1" applyBorder="1" applyAlignment="1">
      <alignment horizontal="justify" vertical="center" wrapText="1"/>
    </xf>
    <xf numFmtId="0" fontId="12" fillId="10" borderId="11" xfId="0" applyFont="1" applyFill="1" applyBorder="1" applyAlignment="1">
      <alignment horizontal="center" vertical="center" wrapText="1"/>
    </xf>
    <xf numFmtId="0" fontId="12" fillId="10" borderId="12" xfId="0" applyFont="1" applyFill="1" applyBorder="1" applyAlignment="1">
      <alignment horizontal="justify" vertical="center" wrapText="1"/>
    </xf>
    <xf numFmtId="0" fontId="11" fillId="0" borderId="0" xfId="0" applyFont="1" applyFill="1" applyAlignment="1">
      <alignment horizontal="justify" vertical="center"/>
    </xf>
    <xf numFmtId="0" fontId="12" fillId="7" borderId="27" xfId="0" applyFont="1" applyFill="1" applyBorder="1" applyAlignment="1">
      <alignment vertical="center" wrapText="1"/>
    </xf>
    <xf numFmtId="0" fontId="12" fillId="7" borderId="1" xfId="0" applyFont="1" applyFill="1" applyBorder="1" applyAlignment="1">
      <alignment vertical="center" wrapText="1"/>
    </xf>
    <xf numFmtId="0" fontId="12" fillId="11" borderId="2" xfId="0" applyFont="1" applyFill="1" applyBorder="1" applyAlignment="1">
      <alignment horizontal="center" vertical="center" wrapText="1"/>
    </xf>
    <xf numFmtId="0" fontId="12" fillId="11" borderId="10" xfId="0" applyFont="1" applyFill="1" applyBorder="1" applyAlignment="1">
      <alignment vertical="center"/>
    </xf>
    <xf numFmtId="0" fontId="12" fillId="11" borderId="0" xfId="0" applyFont="1" applyFill="1" applyBorder="1" applyAlignment="1">
      <alignment vertical="center"/>
    </xf>
    <xf numFmtId="0" fontId="12" fillId="11" borderId="0" xfId="0" applyFont="1" applyFill="1" applyBorder="1" applyAlignment="1">
      <alignment horizontal="justify" vertical="center"/>
    </xf>
    <xf numFmtId="0" fontId="12" fillId="11" borderId="0" xfId="0" applyFont="1" applyFill="1" applyBorder="1" applyAlignment="1">
      <alignment horizontal="center" vertical="center"/>
    </xf>
    <xf numFmtId="0" fontId="12" fillId="11" borderId="44" xfId="0" applyFont="1" applyFill="1" applyBorder="1" applyAlignment="1">
      <alignment horizontal="justify" vertical="center"/>
    </xf>
    <xf numFmtId="0" fontId="12" fillId="7" borderId="13" xfId="0" applyFont="1" applyFill="1" applyBorder="1" applyAlignment="1">
      <alignment vertical="center" wrapText="1"/>
    </xf>
    <xf numFmtId="0" fontId="7" fillId="12" borderId="10" xfId="0" applyFont="1" applyFill="1" applyBorder="1" applyAlignment="1">
      <alignment horizontal="left" vertical="center"/>
    </xf>
    <xf numFmtId="0" fontId="7" fillId="12" borderId="11" xfId="0" applyFont="1" applyFill="1" applyBorder="1" applyAlignment="1">
      <alignment horizontal="left" vertical="center"/>
    </xf>
    <xf numFmtId="0" fontId="7" fillId="12" borderId="11" xfId="0" applyFont="1" applyFill="1" applyBorder="1" applyAlignment="1">
      <alignment horizontal="justify" vertical="center"/>
    </xf>
    <xf numFmtId="0" fontId="7" fillId="12" borderId="11" xfId="0" applyFont="1" applyFill="1" applyBorder="1" applyAlignment="1">
      <alignment horizontal="center" vertical="center"/>
    </xf>
    <xf numFmtId="0" fontId="8" fillId="12" borderId="12" xfId="0" applyFont="1" applyFill="1" applyBorder="1" applyAlignment="1">
      <alignment horizontal="justify" vertical="center"/>
    </xf>
    <xf numFmtId="0" fontId="13" fillId="7" borderId="2" xfId="0" applyFont="1" applyFill="1" applyBorder="1" applyAlignment="1">
      <alignment horizontal="justify" vertical="top" wrapText="1"/>
    </xf>
    <xf numFmtId="43" fontId="11" fillId="7" borderId="9" xfId="6" applyFont="1" applyFill="1" applyBorder="1" applyAlignment="1">
      <alignment horizontal="center" vertical="center" wrapText="1"/>
    </xf>
    <xf numFmtId="0" fontId="13" fillId="7" borderId="9" xfId="0" applyFont="1" applyFill="1" applyBorder="1" applyAlignment="1">
      <alignment horizontal="justify" vertical="center" wrapText="1"/>
    </xf>
    <xf numFmtId="0" fontId="12" fillId="7" borderId="7" xfId="0" applyFont="1" applyFill="1" applyBorder="1" applyAlignment="1">
      <alignment vertical="center" wrapText="1"/>
    </xf>
    <xf numFmtId="0" fontId="12" fillId="7" borderId="4" xfId="0" applyFont="1" applyFill="1" applyBorder="1" applyAlignment="1">
      <alignment vertical="center" wrapText="1"/>
    </xf>
    <xf numFmtId="43" fontId="11" fillId="7" borderId="2" xfId="6" applyFont="1" applyFill="1" applyBorder="1" applyAlignment="1">
      <alignment horizontal="center" vertical="center" wrapText="1"/>
    </xf>
    <xf numFmtId="0" fontId="12" fillId="11" borderId="11" xfId="0" applyFont="1" applyFill="1" applyBorder="1" applyAlignment="1">
      <alignment horizontal="left" vertical="center"/>
    </xf>
    <xf numFmtId="0" fontId="12" fillId="11" borderId="11" xfId="0" applyFont="1" applyFill="1" applyBorder="1" applyAlignment="1">
      <alignment horizontal="justify" vertical="center"/>
    </xf>
    <xf numFmtId="43" fontId="12" fillId="11" borderId="11" xfId="6" applyFont="1" applyFill="1" applyBorder="1" applyAlignment="1">
      <alignment horizontal="left" vertical="center"/>
    </xf>
    <xf numFmtId="43" fontId="12" fillId="11" borderId="11" xfId="6" applyFont="1" applyFill="1" applyBorder="1" applyAlignment="1">
      <alignment horizontal="center" vertical="center"/>
    </xf>
    <xf numFmtId="0" fontId="12" fillId="11" borderId="11" xfId="0" applyFont="1" applyFill="1" applyBorder="1" applyAlignment="1">
      <alignment horizontal="center" vertical="center"/>
    </xf>
    <xf numFmtId="0" fontId="11" fillId="11" borderId="2" xfId="0" applyFont="1" applyFill="1" applyBorder="1" applyAlignment="1">
      <alignment horizontal="center" vertical="center"/>
    </xf>
    <xf numFmtId="0" fontId="11" fillId="7" borderId="1" xfId="0" applyFont="1" applyFill="1" applyBorder="1" applyAlignment="1">
      <alignment vertical="center" wrapText="1"/>
    </xf>
    <xf numFmtId="43" fontId="7" fillId="12" borderId="11" xfId="6" applyFont="1" applyFill="1" applyBorder="1" applyAlignment="1">
      <alignment horizontal="left" vertical="center"/>
    </xf>
    <xf numFmtId="43" fontId="7" fillId="12" borderId="11" xfId="6" applyFont="1" applyFill="1" applyBorder="1" applyAlignment="1">
      <alignment horizontal="center" vertical="center"/>
    </xf>
    <xf numFmtId="0" fontId="8" fillId="12" borderId="2" xfId="0" applyFont="1" applyFill="1" applyBorder="1" applyAlignment="1">
      <alignment horizontal="center" vertical="center"/>
    </xf>
    <xf numFmtId="0" fontId="11" fillId="7" borderId="6" xfId="0" applyFont="1" applyFill="1" applyBorder="1" applyAlignment="1">
      <alignment vertical="center" wrapText="1"/>
    </xf>
    <xf numFmtId="0" fontId="11" fillId="0" borderId="2" xfId="0" applyFont="1" applyBorder="1" applyAlignment="1">
      <alignment horizontal="justify" vertical="top" wrapText="1"/>
    </xf>
    <xf numFmtId="43" fontId="11" fillId="7" borderId="15" xfId="6" applyFont="1" applyFill="1" applyBorder="1" applyAlignment="1">
      <alignment horizontal="center" vertical="center" wrapText="1"/>
    </xf>
    <xf numFmtId="0" fontId="13" fillId="7" borderId="2" xfId="0" applyFont="1" applyFill="1" applyBorder="1" applyAlignment="1">
      <alignment horizontal="justify" vertical="center" wrapText="1" readingOrder="1"/>
    </xf>
    <xf numFmtId="0" fontId="13" fillId="7" borderId="9" xfId="0" applyFont="1" applyFill="1" applyBorder="1" applyAlignment="1">
      <alignment horizontal="justify" vertical="center" wrapText="1" readingOrder="1"/>
    </xf>
    <xf numFmtId="0" fontId="13" fillId="0" borderId="9" xfId="0" applyFont="1" applyBorder="1" applyAlignment="1">
      <alignment horizontal="justify" vertical="center" wrapText="1" readingOrder="1"/>
    </xf>
    <xf numFmtId="0" fontId="7" fillId="12" borderId="5" xfId="0" applyFont="1" applyFill="1" applyBorder="1" applyAlignment="1">
      <alignment horizontal="left" vertical="center"/>
    </xf>
    <xf numFmtId="0" fontId="7" fillId="12" borderId="5" xfId="0" applyFont="1" applyFill="1" applyBorder="1" applyAlignment="1">
      <alignment horizontal="justify" vertical="center"/>
    </xf>
    <xf numFmtId="0" fontId="11" fillId="7" borderId="13" xfId="0" applyNumberFormat="1" applyFont="1" applyFill="1" applyBorder="1" applyAlignment="1">
      <alignment vertical="center" wrapText="1"/>
    </xf>
    <xf numFmtId="0" fontId="11" fillId="7" borderId="0" xfId="0" applyNumberFormat="1" applyFont="1" applyFill="1" applyBorder="1" applyAlignment="1">
      <alignment vertical="center" wrapText="1"/>
    </xf>
    <xf numFmtId="0" fontId="8" fillId="0" borderId="2" xfId="0" applyFont="1" applyFill="1" applyBorder="1" applyAlignment="1">
      <alignment horizontal="center" vertical="center" wrapText="1"/>
    </xf>
    <xf numFmtId="176" fontId="11" fillId="7" borderId="9" xfId="0" applyNumberFormat="1" applyFont="1" applyFill="1" applyBorder="1" applyAlignment="1">
      <alignment vertical="center" wrapText="1"/>
    </xf>
    <xf numFmtId="0" fontId="13" fillId="7" borderId="12" xfId="0" applyFont="1" applyFill="1" applyBorder="1" applyAlignment="1">
      <alignment horizontal="justify" vertical="center" wrapText="1"/>
    </xf>
    <xf numFmtId="176" fontId="11" fillId="7" borderId="14" xfId="0" applyNumberFormat="1" applyFont="1" applyFill="1" applyBorder="1" applyAlignment="1">
      <alignment vertical="center" wrapText="1"/>
    </xf>
    <xf numFmtId="0" fontId="11" fillId="0" borderId="11" xfId="0" applyFont="1" applyBorder="1" applyAlignment="1">
      <alignment horizontal="justify" vertical="center" wrapText="1"/>
    </xf>
    <xf numFmtId="0" fontId="11" fillId="0" borderId="12" xfId="0" applyFont="1" applyBorder="1" applyAlignment="1">
      <alignment horizontal="justify" vertical="center" wrapText="1"/>
    </xf>
    <xf numFmtId="0" fontId="11" fillId="7" borderId="12" xfId="0" applyFont="1" applyFill="1" applyBorder="1" applyAlignment="1">
      <alignment horizontal="justify" vertical="justify" wrapText="1"/>
    </xf>
    <xf numFmtId="176" fontId="11" fillId="7" borderId="14" xfId="0" applyNumberFormat="1" applyFont="1" applyFill="1" applyBorder="1" applyAlignment="1">
      <alignment horizontal="center" vertical="center" wrapText="1"/>
    </xf>
    <xf numFmtId="0" fontId="11" fillId="7" borderId="12" xfId="0" applyFont="1" applyFill="1" applyBorder="1" applyAlignment="1">
      <alignment horizontal="justify" vertical="center" wrapText="1"/>
    </xf>
    <xf numFmtId="0" fontId="4" fillId="7" borderId="14" xfId="0" applyFont="1" applyFill="1" applyBorder="1" applyAlignment="1">
      <alignment horizontal="center" vertical="center" wrapText="1"/>
    </xf>
    <xf numFmtId="0" fontId="11" fillId="7" borderId="1" xfId="0" applyNumberFormat="1" applyFont="1" applyFill="1" applyBorder="1" applyAlignment="1">
      <alignment vertical="center" wrapText="1"/>
    </xf>
    <xf numFmtId="0" fontId="13" fillId="7" borderId="8" xfId="0" applyFont="1" applyFill="1" applyBorder="1" applyAlignment="1">
      <alignment horizontal="justify" vertical="center" wrapText="1"/>
    </xf>
    <xf numFmtId="176" fontId="11" fillId="7" borderId="15" xfId="0" applyNumberFormat="1" applyFont="1" applyFill="1" applyBorder="1" applyAlignment="1">
      <alignment vertical="center" wrapText="1"/>
    </xf>
    <xf numFmtId="0" fontId="11" fillId="7" borderId="10" xfId="0" applyFont="1" applyFill="1" applyBorder="1" applyAlignment="1">
      <alignment horizontal="justify" vertical="center" wrapText="1"/>
    </xf>
    <xf numFmtId="0" fontId="12" fillId="12" borderId="14" xfId="0" applyFont="1" applyFill="1" applyBorder="1" applyAlignment="1">
      <alignment horizontal="center" vertical="center" wrapText="1"/>
    </xf>
    <xf numFmtId="43" fontId="7" fillId="12" borderId="2" xfId="6" applyFont="1" applyFill="1" applyBorder="1" applyAlignment="1">
      <alignment horizontal="center" vertical="center"/>
    </xf>
    <xf numFmtId="0" fontId="11" fillId="0" borderId="2" xfId="0" applyFont="1" applyBorder="1" applyAlignment="1">
      <alignment horizontal="center" vertical="center"/>
    </xf>
    <xf numFmtId="0" fontId="11" fillId="7" borderId="2" xfId="0" applyFont="1" applyFill="1" applyBorder="1" applyAlignment="1">
      <alignment horizontal="justify" vertical="top" wrapText="1"/>
    </xf>
    <xf numFmtId="43" fontId="11" fillId="7" borderId="10" xfId="6" applyFont="1" applyFill="1" applyBorder="1" applyAlignment="1">
      <alignment horizontal="center" vertical="center" wrapText="1"/>
    </xf>
    <xf numFmtId="0" fontId="8" fillId="7" borderId="2" xfId="0" applyFont="1" applyFill="1" applyBorder="1" applyAlignment="1">
      <alignment horizontal="justify" vertical="center" wrapText="1"/>
    </xf>
    <xf numFmtId="43" fontId="11" fillId="7" borderId="7" xfId="6" applyFont="1" applyFill="1" applyBorder="1" applyAlignment="1">
      <alignment horizontal="center" vertical="center" wrapText="1"/>
    </xf>
    <xf numFmtId="0" fontId="13" fillId="0" borderId="2" xfId="0" applyFont="1" applyBorder="1" applyAlignment="1">
      <alignment horizontal="justify" vertical="center" wrapText="1"/>
    </xf>
    <xf numFmtId="0" fontId="8" fillId="7" borderId="9" xfId="0" applyFont="1" applyFill="1" applyBorder="1" applyAlignment="1">
      <alignment horizontal="justify" vertical="center" wrapText="1"/>
    </xf>
    <xf numFmtId="43" fontId="11" fillId="7" borderId="8" xfId="6" applyFont="1" applyFill="1" applyBorder="1" applyAlignment="1">
      <alignment horizontal="center" vertical="center" wrapText="1"/>
    </xf>
    <xf numFmtId="43" fontId="12" fillId="11" borderId="11" xfId="6" applyFont="1" applyFill="1" applyBorder="1" applyAlignment="1">
      <alignment vertical="center"/>
    </xf>
    <xf numFmtId="177" fontId="12" fillId="11" borderId="11" xfId="0" applyNumberFormat="1" applyFont="1" applyFill="1" applyBorder="1" applyAlignment="1">
      <alignment vertical="center"/>
    </xf>
    <xf numFmtId="0" fontId="12" fillId="0" borderId="0" xfId="0" applyFont="1" applyAlignment="1">
      <alignment horizontal="justify" vertical="center"/>
    </xf>
    <xf numFmtId="0" fontId="7" fillId="12" borderId="5" xfId="0" applyFont="1" applyFill="1" applyBorder="1" applyAlignment="1">
      <alignment horizontal="center" vertical="center"/>
    </xf>
    <xf numFmtId="0" fontId="8" fillId="7" borderId="2" xfId="13" applyFont="1" applyFill="1" applyBorder="1" applyAlignment="1">
      <alignment horizontal="justify" vertical="top" wrapText="1"/>
    </xf>
    <xf numFmtId="43" fontId="11" fillId="7" borderId="10" xfId="6" applyFont="1" applyFill="1" applyBorder="1" applyAlignment="1">
      <alignment horizontal="center" vertical="center"/>
    </xf>
    <xf numFmtId="0" fontId="8" fillId="7" borderId="2" xfId="13" applyFont="1" applyFill="1" applyBorder="1" applyAlignment="1">
      <alignment horizontal="justify" vertical="justify" wrapText="1"/>
    </xf>
    <xf numFmtId="0" fontId="8" fillId="7" borderId="2" xfId="13" applyFont="1" applyFill="1" applyBorder="1" applyAlignment="1">
      <alignment horizontal="justify" vertical="center" wrapText="1"/>
    </xf>
    <xf numFmtId="0" fontId="8" fillId="0" borderId="2" xfId="13" applyFont="1" applyBorder="1" applyAlignment="1">
      <alignment horizontal="justify" vertical="center" wrapText="1"/>
    </xf>
    <xf numFmtId="43" fontId="11" fillId="0" borderId="2" xfId="6" applyFont="1" applyFill="1" applyBorder="1" applyAlignment="1">
      <alignment horizontal="center" vertical="center" wrapText="1"/>
    </xf>
    <xf numFmtId="0" fontId="11" fillId="7" borderId="7" xfId="0" applyFont="1" applyFill="1" applyBorder="1" applyAlignment="1">
      <alignment vertical="center" wrapText="1"/>
    </xf>
    <xf numFmtId="0" fontId="12" fillId="12" borderId="15" xfId="0" applyFont="1" applyFill="1" applyBorder="1" applyAlignment="1">
      <alignment horizontal="center" vertical="center" wrapText="1"/>
    </xf>
    <xf numFmtId="0" fontId="5" fillId="12" borderId="10" xfId="0" applyFont="1" applyFill="1" applyBorder="1" applyAlignment="1">
      <alignment horizontal="left" vertical="center"/>
    </xf>
    <xf numFmtId="0" fontId="5" fillId="12" borderId="11" xfId="0" applyFont="1" applyFill="1" applyBorder="1" applyAlignment="1">
      <alignment horizontal="left" vertical="center"/>
    </xf>
    <xf numFmtId="0" fontId="5" fillId="12" borderId="11" xfId="0" applyFont="1" applyFill="1" applyBorder="1" applyAlignment="1">
      <alignment horizontal="justify" vertical="center"/>
    </xf>
    <xf numFmtId="43" fontId="5" fillId="12" borderId="11" xfId="6" applyFont="1" applyFill="1" applyBorder="1" applyAlignment="1">
      <alignment horizontal="left" vertical="center"/>
    </xf>
    <xf numFmtId="43" fontId="5" fillId="12" borderId="11" xfId="6" applyFont="1" applyFill="1" applyBorder="1" applyAlignment="1">
      <alignment horizontal="center" vertical="center"/>
    </xf>
    <xf numFmtId="0" fontId="5" fillId="12" borderId="11" xfId="0" applyFont="1" applyFill="1" applyBorder="1" applyAlignment="1">
      <alignment horizontal="center" vertical="center"/>
    </xf>
    <xf numFmtId="0" fontId="4" fillId="12" borderId="2" xfId="0" applyFont="1" applyFill="1" applyBorder="1" applyAlignment="1">
      <alignment horizontal="center" vertical="center"/>
    </xf>
    <xf numFmtId="43" fontId="11" fillId="0" borderId="7" xfId="6" applyFont="1" applyFill="1" applyBorder="1" applyAlignment="1">
      <alignment horizontal="center" vertical="center" wrapText="1"/>
    </xf>
    <xf numFmtId="43" fontId="11" fillId="0" borderId="10" xfId="6" applyFont="1" applyFill="1" applyBorder="1" applyAlignment="1">
      <alignment horizontal="center" vertical="center" wrapText="1"/>
    </xf>
    <xf numFmtId="43" fontId="8" fillId="0" borderId="2" xfId="6" applyFont="1" applyFill="1" applyBorder="1" applyAlignment="1">
      <alignment horizontal="center" vertical="center" wrapText="1"/>
    </xf>
    <xf numFmtId="0" fontId="8" fillId="7" borderId="2" xfId="0" applyFont="1" applyFill="1" applyBorder="1" applyAlignment="1">
      <alignment horizontal="justify" vertical="justify"/>
    </xf>
    <xf numFmtId="0" fontId="5" fillId="12" borderId="10" xfId="0" applyFont="1" applyFill="1" applyBorder="1" applyAlignment="1">
      <alignment vertical="center"/>
    </xf>
    <xf numFmtId="0" fontId="5" fillId="12" borderId="11" xfId="0" applyFont="1" applyFill="1" applyBorder="1" applyAlignment="1">
      <alignment vertical="center"/>
    </xf>
    <xf numFmtId="43" fontId="5" fillId="12" borderId="11" xfId="6" applyFont="1" applyFill="1" applyBorder="1" applyAlignment="1">
      <alignment vertical="center"/>
    </xf>
    <xf numFmtId="1" fontId="11" fillId="7" borderId="2"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4" fillId="0" borderId="14" xfId="0" applyFont="1" applyFill="1" applyBorder="1" applyAlignment="1">
      <alignment vertical="center" wrapText="1"/>
    </xf>
    <xf numFmtId="0" fontId="8" fillId="7" borderId="2" xfId="0" applyFont="1" applyFill="1" applyBorder="1" applyAlignment="1">
      <alignment horizontal="justify" vertical="justify" wrapText="1"/>
    </xf>
    <xf numFmtId="0" fontId="4" fillId="0" borderId="14" xfId="0" applyFont="1" applyFill="1" applyBorder="1" applyAlignment="1">
      <alignment horizontal="center" vertical="center" wrapText="1"/>
    </xf>
    <xf numFmtId="0" fontId="8" fillId="0" borderId="2" xfId="0" applyFont="1" applyBorder="1" applyAlignment="1">
      <alignment horizontal="justify" vertical="justify" wrapText="1"/>
    </xf>
    <xf numFmtId="0" fontId="11" fillId="7" borderId="4" xfId="0" applyFont="1" applyFill="1" applyBorder="1" applyAlignment="1">
      <alignment vertical="center" wrapText="1"/>
    </xf>
    <xf numFmtId="0" fontId="11" fillId="7" borderId="7" xfId="0" applyNumberFormat="1" applyFont="1" applyFill="1" applyBorder="1" applyAlignment="1">
      <alignment vertical="center" wrapText="1"/>
    </xf>
    <xf numFmtId="0" fontId="11" fillId="7" borderId="4" xfId="0" applyNumberFormat="1" applyFont="1" applyFill="1" applyBorder="1" applyAlignment="1">
      <alignment vertical="center" wrapText="1"/>
    </xf>
    <xf numFmtId="0" fontId="4" fillId="0" borderId="15" xfId="0" applyFont="1" applyFill="1" applyBorder="1" applyAlignment="1">
      <alignment vertical="center" wrapText="1"/>
    </xf>
    <xf numFmtId="0" fontId="12" fillId="11" borderId="14" xfId="0" applyFont="1" applyFill="1" applyBorder="1" applyAlignment="1">
      <alignment horizontal="center" vertical="center" wrapText="1"/>
    </xf>
    <xf numFmtId="0" fontId="5" fillId="12" borderId="5" xfId="0" applyFont="1" applyFill="1" applyBorder="1" applyAlignment="1">
      <alignment vertical="center"/>
    </xf>
    <xf numFmtId="0" fontId="5" fillId="12" borderId="5" xfId="0" applyFont="1" applyFill="1" applyBorder="1" applyAlignment="1">
      <alignment horizontal="center" vertical="center"/>
    </xf>
    <xf numFmtId="0" fontId="5" fillId="12" borderId="5" xfId="0" applyFont="1" applyFill="1" applyBorder="1" applyAlignment="1">
      <alignment horizontal="justify" vertical="center"/>
    </xf>
    <xf numFmtId="0" fontId="4" fillId="7" borderId="9" xfId="0" applyFont="1" applyFill="1" applyBorder="1" applyAlignment="1">
      <alignment vertical="center"/>
    </xf>
    <xf numFmtId="43" fontId="8" fillId="0" borderId="7" xfId="6" applyFont="1" applyFill="1" applyBorder="1" applyAlignment="1">
      <alignment horizontal="center" vertical="center" wrapText="1"/>
    </xf>
    <xf numFmtId="0" fontId="11" fillId="0" borderId="9" xfId="0" applyFont="1" applyBorder="1" applyAlignment="1">
      <alignment horizontal="center" vertical="center"/>
    </xf>
    <xf numFmtId="0" fontId="4" fillId="7" borderId="14" xfId="0" applyFont="1" applyFill="1" applyBorder="1" applyAlignment="1">
      <alignment vertical="center"/>
    </xf>
    <xf numFmtId="0" fontId="11" fillId="0" borderId="14" xfId="0" applyFont="1" applyBorder="1" applyAlignment="1">
      <alignment horizontal="center" vertical="center"/>
    </xf>
    <xf numFmtId="43" fontId="8" fillId="0" borderId="10" xfId="6" applyFont="1" applyFill="1" applyBorder="1" applyAlignment="1">
      <alignment horizontal="center" vertical="center" wrapText="1"/>
    </xf>
    <xf numFmtId="0" fontId="4" fillId="7" borderId="14" xfId="0" applyFont="1" applyFill="1" applyBorder="1" applyAlignment="1">
      <alignment horizontal="left" vertical="center" wrapText="1"/>
    </xf>
    <xf numFmtId="43" fontId="8" fillId="7" borderId="10" xfId="6" applyFont="1" applyFill="1" applyBorder="1" applyAlignment="1">
      <alignment horizontal="center" vertical="center" wrapText="1"/>
    </xf>
    <xf numFmtId="0" fontId="4" fillId="0" borderId="15" xfId="0"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9" fontId="11" fillId="0" borderId="2" xfId="5"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1" fillId="0" borderId="0" xfId="0" applyFont="1" applyFill="1" applyBorder="1" applyAlignment="1">
      <alignment horizontal="justify" vertical="center"/>
    </xf>
    <xf numFmtId="0" fontId="11" fillId="0" borderId="0" xfId="0" applyFont="1" applyFill="1" applyBorder="1"/>
    <xf numFmtId="0" fontId="11" fillId="0" borderId="0" xfId="0" applyFont="1" applyBorder="1"/>
    <xf numFmtId="0" fontId="4" fillId="0" borderId="12" xfId="0"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11" fillId="0" borderId="8" xfId="0" applyNumberFormat="1" applyFont="1" applyFill="1" applyBorder="1" applyAlignment="1">
      <alignment horizontal="center" vertical="center" wrapText="1"/>
    </xf>
    <xf numFmtId="9" fontId="11" fillId="0" borderId="9" xfId="5" applyNumberFormat="1" applyFont="1" applyFill="1" applyBorder="1" applyAlignment="1">
      <alignment horizontal="center" vertical="center"/>
    </xf>
    <xf numFmtId="43" fontId="11" fillId="0" borderId="0" xfId="6" applyFont="1" applyFill="1" applyBorder="1" applyAlignment="1">
      <alignment horizontal="center" vertical="center"/>
    </xf>
    <xf numFmtId="43" fontId="12" fillId="0" borderId="22" xfId="6" applyFont="1" applyFill="1" applyBorder="1" applyAlignment="1">
      <alignment horizontal="center" vertical="center" wrapText="1"/>
    </xf>
    <xf numFmtId="166" fontId="4" fillId="7" borderId="48" xfId="0" applyNumberFormat="1" applyFont="1" applyFill="1" applyBorder="1" applyAlignment="1">
      <alignment horizontal="justify" vertical="center" wrapText="1"/>
    </xf>
    <xf numFmtId="0" fontId="4" fillId="7" borderId="46" xfId="0" applyFont="1" applyFill="1" applyBorder="1" applyAlignment="1">
      <alignment horizontal="justify" vertical="center" wrapText="1"/>
    </xf>
    <xf numFmtId="0" fontId="4" fillId="7" borderId="47" xfId="0" applyFont="1" applyFill="1" applyBorder="1" applyAlignment="1">
      <alignment horizontal="justify" vertical="center" wrapText="1"/>
    </xf>
    <xf numFmtId="0" fontId="4" fillId="7" borderId="48" xfId="0" applyFont="1" applyFill="1" applyBorder="1" applyAlignment="1">
      <alignment horizontal="center" vertical="center" wrapText="1"/>
    </xf>
    <xf numFmtId="0" fontId="4" fillId="7" borderId="46" xfId="0" applyFont="1" applyFill="1" applyBorder="1" applyAlignment="1">
      <alignment vertical="center" wrapText="1"/>
    </xf>
    <xf numFmtId="0" fontId="4" fillId="7" borderId="49" xfId="0" applyFont="1" applyFill="1" applyBorder="1" applyAlignment="1">
      <alignment horizontal="justify" vertical="center" wrapText="1"/>
    </xf>
    <xf numFmtId="0" fontId="11" fillId="0" borderId="0" xfId="0" applyFont="1" applyBorder="1" applyAlignment="1">
      <alignment horizontal="justify" vertical="center"/>
    </xf>
    <xf numFmtId="0" fontId="11" fillId="0" borderId="2" xfId="0" applyFont="1" applyBorder="1"/>
    <xf numFmtId="0" fontId="11" fillId="0" borderId="0" xfId="0" applyNumberFormat="1" applyFont="1" applyAlignment="1">
      <alignment wrapText="1"/>
    </xf>
    <xf numFmtId="0" fontId="11" fillId="0" borderId="0" xfId="0" applyNumberFormat="1" applyFont="1" applyBorder="1" applyAlignment="1">
      <alignment horizontal="center" wrapText="1"/>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11" fillId="7" borderId="0" xfId="0" applyFont="1" applyFill="1" applyBorder="1" applyAlignment="1">
      <alignment horizontal="justify" vertical="center" wrapText="1"/>
    </xf>
    <xf numFmtId="0" fontId="11" fillId="0" borderId="0" xfId="0" applyNumberFormat="1" applyFont="1" applyBorder="1" applyAlignment="1">
      <alignment wrapText="1"/>
    </xf>
    <xf numFmtId="0" fontId="11" fillId="0" borderId="0" xfId="0" applyFont="1" applyBorder="1" applyAlignment="1">
      <alignment wrapText="1"/>
    </xf>
    <xf numFmtId="166" fontId="12" fillId="0" borderId="0" xfId="0" applyNumberFormat="1" applyFont="1" applyBorder="1" applyAlignment="1">
      <alignment wrapText="1"/>
    </xf>
    <xf numFmtId="0" fontId="11" fillId="0" borderId="0" xfId="0" applyFont="1" applyBorder="1" applyAlignment="1">
      <alignment horizontal="justify" vertical="center" wrapText="1"/>
    </xf>
    <xf numFmtId="166" fontId="11" fillId="0" borderId="0" xfId="0" applyNumberFormat="1" applyFont="1" applyAlignment="1">
      <alignment horizontal="center" vertical="center" wrapText="1"/>
    </xf>
    <xf numFmtId="0" fontId="11" fillId="0" borderId="0" xfId="0" applyFont="1" applyAlignment="1">
      <alignment horizontal="center" wrapText="1"/>
    </xf>
    <xf numFmtId="0" fontId="11" fillId="0" borderId="0" xfId="0" applyFont="1" applyAlignment="1">
      <alignment horizontal="justify" wrapText="1"/>
    </xf>
    <xf numFmtId="0" fontId="11" fillId="0" borderId="0" xfId="0" applyFont="1" applyAlignment="1">
      <alignment horizontal="justify" vertical="center" wrapText="1"/>
    </xf>
    <xf numFmtId="0" fontId="8" fillId="0" borderId="0" xfId="0" applyFont="1" applyAlignment="1">
      <alignment horizontal="left"/>
    </xf>
    <xf numFmtId="0" fontId="11" fillId="0" borderId="0" xfId="0" applyNumberFormat="1" applyFont="1" applyBorder="1" applyAlignment="1">
      <alignment horizontal="justify" wrapText="1"/>
    </xf>
    <xf numFmtId="179" fontId="17" fillId="7" borderId="0" xfId="0" applyNumberFormat="1" applyFont="1" applyFill="1" applyAlignment="1">
      <alignment horizontal="right" vertical="center"/>
    </xf>
    <xf numFmtId="0" fontId="11" fillId="0" borderId="0" xfId="0" applyFont="1" applyBorder="1" applyAlignment="1">
      <alignment horizontal="justify" wrapText="1"/>
    </xf>
    <xf numFmtId="166" fontId="11" fillId="7" borderId="0" xfId="0" applyNumberFormat="1" applyFont="1" applyFill="1" applyBorder="1" applyAlignment="1">
      <alignment wrapText="1"/>
    </xf>
    <xf numFmtId="180" fontId="5" fillId="7" borderId="0" xfId="0" applyNumberFormat="1" applyFont="1" applyFill="1" applyAlignment="1">
      <alignment horizontal="right" vertical="center"/>
    </xf>
    <xf numFmtId="0" fontId="11" fillId="7" borderId="0" xfId="0" applyFont="1" applyFill="1" applyAlignment="1">
      <alignment horizontal="center" wrapText="1"/>
    </xf>
    <xf numFmtId="0" fontId="11" fillId="0" borderId="0" xfId="0" applyNumberFormat="1" applyFont="1" applyAlignment="1">
      <alignment horizontal="center" wrapText="1"/>
    </xf>
    <xf numFmtId="0" fontId="11" fillId="0" borderId="0" xfId="0" applyNumberFormat="1" applyFont="1" applyAlignment="1">
      <alignment horizontal="justify" wrapText="1"/>
    </xf>
    <xf numFmtId="166" fontId="11" fillId="0" borderId="0" xfId="0" applyNumberFormat="1" applyFont="1" applyBorder="1" applyAlignment="1">
      <alignment wrapText="1"/>
    </xf>
    <xf numFmtId="181" fontId="11" fillId="0" borderId="0" xfId="0" applyNumberFormat="1" applyFont="1" applyAlignment="1">
      <alignment wrapText="1"/>
    </xf>
    <xf numFmtId="166" fontId="11" fillId="0" borderId="0" xfId="0" applyNumberFormat="1" applyFont="1" applyAlignment="1">
      <alignment wrapText="1"/>
    </xf>
    <xf numFmtId="0" fontId="12" fillId="0" borderId="0" xfId="0" applyFont="1" applyAlignment="1">
      <alignment horizontal="justify"/>
    </xf>
    <xf numFmtId="0" fontId="11" fillId="0" borderId="0" xfId="0" applyFont="1" applyAlignment="1">
      <alignment horizontal="justify"/>
    </xf>
    <xf numFmtId="0" fontId="11" fillId="0" borderId="2" xfId="0" applyFont="1" applyBorder="1" applyAlignment="1">
      <alignment horizontal="justify" vertical="center" wrapText="1"/>
    </xf>
    <xf numFmtId="0" fontId="11" fillId="0" borderId="9" xfId="0" applyFont="1" applyBorder="1" applyAlignment="1">
      <alignment horizontal="justify" vertical="center" wrapText="1"/>
    </xf>
    <xf numFmtId="0" fontId="12" fillId="0" borderId="26" xfId="0" applyFont="1" applyBorder="1" applyAlignment="1">
      <alignment vertical="center"/>
    </xf>
    <xf numFmtId="0" fontId="12" fillId="0" borderId="18" xfId="0" applyFont="1" applyBorder="1" applyAlignment="1">
      <alignment vertical="center"/>
    </xf>
    <xf numFmtId="17" fontId="12" fillId="0" borderId="18" xfId="0" applyNumberFormat="1" applyFont="1" applyBorder="1" applyAlignment="1">
      <alignment horizontal="left"/>
    </xf>
    <xf numFmtId="3" fontId="5" fillId="0" borderId="18" xfId="0" applyNumberFormat="1" applyFont="1" applyBorder="1" applyAlignment="1">
      <alignment horizontal="left" vertical="center" wrapText="1"/>
    </xf>
    <xf numFmtId="1" fontId="12" fillId="8" borderId="9" xfId="0" applyNumberFormat="1" applyFont="1" applyFill="1" applyBorder="1" applyAlignment="1">
      <alignment horizontal="center" vertical="center" wrapText="1"/>
    </xf>
    <xf numFmtId="0" fontId="11" fillId="0" borderId="0" xfId="0" applyFont="1" applyAlignment="1">
      <alignment horizontal="center" vertical="center"/>
    </xf>
    <xf numFmtId="166" fontId="12" fillId="10" borderId="11" xfId="0" applyNumberFormat="1" applyFont="1" applyFill="1" applyBorder="1" applyAlignment="1">
      <alignment vertical="center"/>
    </xf>
    <xf numFmtId="1" fontId="12" fillId="11" borderId="15" xfId="0" applyNumberFormat="1" applyFont="1" applyFill="1" applyBorder="1" applyAlignment="1">
      <alignment horizontal="center" vertical="center"/>
    </xf>
    <xf numFmtId="166" fontId="12" fillId="11" borderId="3" xfId="0" applyNumberFormat="1" applyFont="1" applyFill="1" applyBorder="1" applyAlignment="1">
      <alignment vertical="center"/>
    </xf>
    <xf numFmtId="1" fontId="12" fillId="12" borderId="10" xfId="0" applyNumberFormat="1" applyFont="1" applyFill="1" applyBorder="1" applyAlignment="1">
      <alignment horizontal="center" vertical="center" wrapText="1"/>
    </xf>
    <xf numFmtId="0" fontId="12" fillId="12" borderId="11" xfId="0" applyFont="1" applyFill="1" applyBorder="1" applyAlignment="1">
      <alignment horizontal="justify" vertical="center"/>
    </xf>
    <xf numFmtId="0" fontId="12" fillId="12" borderId="11" xfId="0" applyFont="1" applyFill="1" applyBorder="1" applyAlignment="1">
      <alignment horizontal="center" vertical="center"/>
    </xf>
    <xf numFmtId="169" fontId="12" fillId="12" borderId="11" xfId="0" applyNumberFormat="1" applyFont="1" applyFill="1" applyBorder="1" applyAlignment="1">
      <alignment horizontal="center" vertical="center"/>
    </xf>
    <xf numFmtId="166" fontId="12" fillId="12" borderId="11" xfId="0" applyNumberFormat="1" applyFont="1" applyFill="1" applyBorder="1" applyAlignment="1">
      <alignment vertical="center"/>
    </xf>
    <xf numFmtId="168" fontId="12" fillId="12" borderId="11" xfId="4" applyNumberFormat="1" applyFont="1" applyFill="1" applyBorder="1" applyAlignment="1">
      <alignment horizontal="justify" vertical="center"/>
    </xf>
    <xf numFmtId="167" fontId="12" fillId="12" borderId="11" xfId="0" applyNumberFormat="1" applyFont="1" applyFill="1" applyBorder="1" applyAlignment="1">
      <alignment vertical="center"/>
    </xf>
    <xf numFmtId="0" fontId="12" fillId="12" borderId="35" xfId="0" applyFont="1" applyFill="1" applyBorder="1" applyAlignment="1">
      <alignment horizontal="justify" vertical="center"/>
    </xf>
    <xf numFmtId="1" fontId="11" fillId="0" borderId="9" xfId="0" applyNumberFormat="1" applyFont="1" applyBorder="1" applyAlignment="1">
      <alignment horizontal="center" vertical="center" wrapText="1"/>
    </xf>
    <xf numFmtId="43" fontId="8" fillId="0" borderId="8" xfId="6" applyFont="1" applyBorder="1" applyAlignment="1">
      <alignment horizontal="justify" vertical="center"/>
    </xf>
    <xf numFmtId="1" fontId="11" fillId="0" borderId="2" xfId="0" applyNumberFormat="1" applyFont="1" applyBorder="1" applyAlignment="1">
      <alignment horizontal="center" vertical="center" wrapText="1"/>
    </xf>
    <xf numFmtId="0" fontId="11" fillId="7" borderId="0" xfId="0" applyFont="1" applyFill="1" applyAlignment="1">
      <alignment vertical="center" wrapText="1"/>
    </xf>
    <xf numFmtId="0" fontId="13" fillId="0" borderId="10" xfId="0" applyFont="1" applyBorder="1" applyAlignment="1">
      <alignment horizontal="justify" vertical="center" wrapText="1"/>
    </xf>
    <xf numFmtId="43" fontId="8" fillId="0" borderId="10" xfId="6" applyFont="1" applyBorder="1" applyAlignment="1">
      <alignment horizontal="justify" vertical="center"/>
    </xf>
    <xf numFmtId="3" fontId="8" fillId="0" borderId="2" xfId="0" applyNumberFormat="1" applyFont="1" applyBorder="1" applyAlignment="1">
      <alignment horizontal="center" vertical="center" wrapText="1"/>
    </xf>
    <xf numFmtId="10" fontId="11" fillId="0" borderId="2" xfId="5" applyNumberFormat="1" applyFont="1" applyBorder="1" applyAlignment="1">
      <alignment horizontal="center" vertical="center" wrapText="1"/>
    </xf>
    <xf numFmtId="43" fontId="8" fillId="0" borderId="7" xfId="6" applyFont="1" applyBorder="1" applyAlignment="1">
      <alignment horizontal="justify" vertical="center"/>
    </xf>
    <xf numFmtId="0" fontId="13" fillId="0" borderId="2" xfId="0" applyFont="1" applyBorder="1" applyAlignment="1">
      <alignment horizontal="justify" vertical="center"/>
    </xf>
    <xf numFmtId="43" fontId="11" fillId="0" borderId="10" xfId="6" applyFont="1" applyBorder="1" applyAlignment="1">
      <alignment horizontal="justify" vertical="center" wrapText="1"/>
    </xf>
    <xf numFmtId="1" fontId="12" fillId="7" borderId="28" xfId="0" applyNumberFormat="1"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10" fontId="12" fillId="12" borderId="11" xfId="0" applyNumberFormat="1" applyFont="1" applyFill="1" applyBorder="1" applyAlignment="1">
      <alignment horizontal="center" vertical="center"/>
    </xf>
    <xf numFmtId="43" fontId="12" fillId="12" borderId="11" xfId="6" applyFont="1" applyFill="1" applyBorder="1" applyAlignment="1">
      <alignment vertical="center"/>
    </xf>
    <xf numFmtId="43" fontId="12" fillId="12" borderId="11" xfId="6" applyFont="1" applyFill="1" applyBorder="1" applyAlignment="1">
      <alignment horizontal="justify" vertical="center"/>
    </xf>
    <xf numFmtId="1" fontId="12" fillId="12" borderId="0" xfId="0" applyNumberFormat="1" applyFont="1" applyFill="1" applyAlignment="1">
      <alignment horizontal="center" vertical="center"/>
    </xf>
    <xf numFmtId="0" fontId="12" fillId="12" borderId="0" xfId="0" applyFont="1" applyFill="1" applyAlignment="1">
      <alignment horizontal="center" vertical="center"/>
    </xf>
    <xf numFmtId="167" fontId="12" fillId="12" borderId="11" xfId="0" applyNumberFormat="1" applyFont="1" applyFill="1" applyBorder="1" applyAlignment="1">
      <alignment horizontal="center" vertical="center"/>
    </xf>
    <xf numFmtId="1" fontId="11" fillId="7" borderId="27" xfId="0" applyNumberFormat="1" applyFont="1" applyFill="1" applyBorder="1"/>
    <xf numFmtId="0" fontId="11" fillId="0" borderId="2" xfId="0" applyFont="1" applyBorder="1" applyAlignment="1">
      <alignment horizontal="justify" vertical="center"/>
    </xf>
    <xf numFmtId="43" fontId="11" fillId="0" borderId="10" xfId="6" applyFont="1" applyBorder="1" applyAlignment="1">
      <alignment horizontal="justify" vertical="center"/>
    </xf>
    <xf numFmtId="43" fontId="11" fillId="7" borderId="10" xfId="6" applyFont="1" applyFill="1" applyBorder="1" applyAlignment="1">
      <alignment horizontal="justify" vertical="center"/>
    </xf>
    <xf numFmtId="1" fontId="12" fillId="12" borderId="11" xfId="0" applyNumberFormat="1" applyFont="1" applyFill="1" applyBorder="1" applyAlignment="1">
      <alignment horizontal="center" vertical="center" wrapText="1"/>
    </xf>
    <xf numFmtId="0" fontId="13" fillId="0" borderId="2" xfId="0" applyFont="1" applyBorder="1" applyAlignment="1">
      <alignment horizontal="justify" vertical="center" wrapText="1" readingOrder="2"/>
    </xf>
    <xf numFmtId="1" fontId="11" fillId="7" borderId="8" xfId="0" applyNumberFormat="1" applyFont="1" applyFill="1" applyBorder="1" applyAlignment="1">
      <alignment horizontal="center" vertical="center" wrapText="1"/>
    </xf>
    <xf numFmtId="1" fontId="11" fillId="7" borderId="13" xfId="0" applyNumberFormat="1" applyFont="1" applyFill="1" applyBorder="1" applyAlignment="1">
      <alignment horizontal="center" vertical="center" wrapText="1"/>
    </xf>
    <xf numFmtId="0" fontId="8" fillId="7" borderId="2" xfId="0" applyFont="1" applyFill="1" applyBorder="1" applyAlignment="1">
      <alignment horizontal="center" vertical="center" wrapText="1"/>
    </xf>
    <xf numFmtId="10" fontId="11" fillId="7" borderId="2" xfId="5" applyNumberFormat="1" applyFont="1" applyFill="1" applyBorder="1" applyAlignment="1">
      <alignment horizontal="center" vertical="center"/>
    </xf>
    <xf numFmtId="0" fontId="11" fillId="0" borderId="9" xfId="0" applyFont="1" applyBorder="1" applyAlignment="1">
      <alignment horizontal="justify" vertical="center" wrapText="1" readingOrder="2"/>
    </xf>
    <xf numFmtId="0" fontId="11" fillId="0" borderId="2" xfId="0" applyFont="1" applyBorder="1" applyAlignment="1">
      <alignment horizontal="justify" vertical="center" wrapText="1" readingOrder="2"/>
    </xf>
    <xf numFmtId="1" fontId="11" fillId="7" borderId="7" xfId="0" applyNumberFormat="1" applyFont="1" applyFill="1" applyBorder="1" applyAlignment="1">
      <alignment horizontal="center" vertical="center" wrapText="1"/>
    </xf>
    <xf numFmtId="10" fontId="12" fillId="10" borderId="11" xfId="0" applyNumberFormat="1" applyFont="1" applyFill="1" applyBorder="1" applyAlignment="1">
      <alignment horizontal="center" vertical="center"/>
    </xf>
    <xf numFmtId="43" fontId="12" fillId="10" borderId="11" xfId="6" applyFont="1" applyFill="1" applyBorder="1" applyAlignment="1">
      <alignment vertical="center"/>
    </xf>
    <xf numFmtId="43" fontId="12" fillId="10" borderId="11" xfId="6" applyFont="1" applyFill="1" applyBorder="1" applyAlignment="1">
      <alignment horizontal="justify" vertical="center"/>
    </xf>
    <xf numFmtId="1" fontId="12" fillId="10" borderId="3" xfId="0" applyNumberFormat="1" applyFont="1" applyFill="1" applyBorder="1" applyAlignment="1">
      <alignment horizontal="center" vertical="center"/>
    </xf>
    <xf numFmtId="0" fontId="12" fillId="10" borderId="3" xfId="0" applyFont="1" applyFill="1" applyBorder="1" applyAlignment="1">
      <alignment horizontal="center" vertical="center"/>
    </xf>
    <xf numFmtId="167" fontId="12" fillId="10" borderId="11" xfId="0" applyNumberFormat="1" applyFont="1" applyFill="1" applyBorder="1" applyAlignment="1">
      <alignment horizontal="center" vertical="center"/>
    </xf>
    <xf numFmtId="1" fontId="12" fillId="11" borderId="1" xfId="0" applyNumberFormat="1" applyFont="1" applyFill="1" applyBorder="1" applyAlignment="1">
      <alignment horizontal="center" vertical="center"/>
    </xf>
    <xf numFmtId="10" fontId="12" fillId="11" borderId="3" xfId="0" applyNumberFormat="1" applyFont="1" applyFill="1" applyBorder="1" applyAlignment="1">
      <alignment horizontal="center" vertical="center"/>
    </xf>
    <xf numFmtId="43" fontId="12" fillId="11" borderId="3" xfId="6" applyFont="1" applyFill="1" applyBorder="1" applyAlignment="1">
      <alignment vertical="center"/>
    </xf>
    <xf numFmtId="43" fontId="12" fillId="11" borderId="3" xfId="6" applyFont="1" applyFill="1" applyBorder="1" applyAlignment="1">
      <alignment horizontal="justify" vertical="center"/>
    </xf>
    <xf numFmtId="167" fontId="12" fillId="11" borderId="3" xfId="0" applyNumberFormat="1" applyFont="1" applyFill="1" applyBorder="1" applyAlignment="1">
      <alignment horizontal="center" vertical="center"/>
    </xf>
    <xf numFmtId="0" fontId="11" fillId="7" borderId="13" xfId="0" applyFont="1" applyFill="1" applyBorder="1"/>
    <xf numFmtId="0" fontId="11" fillId="7" borderId="1" xfId="0" applyFont="1" applyFill="1" applyBorder="1"/>
    <xf numFmtId="0" fontId="11" fillId="7" borderId="8" xfId="0" applyFont="1" applyFill="1" applyBorder="1"/>
    <xf numFmtId="0" fontId="11" fillId="7" borderId="5" xfId="0" applyFont="1" applyFill="1" applyBorder="1"/>
    <xf numFmtId="0" fontId="11" fillId="7" borderId="6" xfId="0" applyFont="1" applyFill="1" applyBorder="1"/>
    <xf numFmtId="43" fontId="8" fillId="7" borderId="10" xfId="6" applyFont="1" applyFill="1" applyBorder="1" applyAlignment="1">
      <alignment horizontal="justify" vertical="center"/>
    </xf>
    <xf numFmtId="0" fontId="11" fillId="7" borderId="7" xfId="0" applyFont="1" applyFill="1" applyBorder="1"/>
    <xf numFmtId="0" fontId="11" fillId="7" borderId="3" xfId="0" applyFont="1" applyFill="1" applyBorder="1"/>
    <xf numFmtId="0" fontId="11" fillId="7" borderId="4" xfId="0" applyFont="1" applyFill="1" applyBorder="1"/>
    <xf numFmtId="0" fontId="12" fillId="7" borderId="13" xfId="0" applyFont="1" applyFill="1" applyBorder="1" applyAlignment="1">
      <alignment horizontal="center" vertical="center" wrapText="1"/>
    </xf>
    <xf numFmtId="1" fontId="12" fillId="12" borderId="5" xfId="0" applyNumberFormat="1" applyFont="1" applyFill="1" applyBorder="1" applyAlignment="1">
      <alignment horizontal="center" vertical="center" wrapText="1"/>
    </xf>
    <xf numFmtId="1" fontId="12" fillId="12" borderId="3" xfId="0" applyNumberFormat="1" applyFont="1" applyFill="1" applyBorder="1" applyAlignment="1">
      <alignment horizontal="center" vertical="center"/>
    </xf>
    <xf numFmtId="0" fontId="12" fillId="12" borderId="3" xfId="0" applyFont="1" applyFill="1" applyBorder="1" applyAlignment="1">
      <alignment horizontal="center" vertical="center"/>
    </xf>
    <xf numFmtId="43" fontId="11" fillId="7" borderId="2" xfId="6" applyFont="1" applyFill="1" applyBorder="1" applyAlignment="1">
      <alignment horizontal="justify" vertical="center"/>
    </xf>
    <xf numFmtId="0" fontId="8" fillId="7" borderId="12" xfId="0" applyFont="1" applyFill="1" applyBorder="1" applyAlignment="1">
      <alignment horizontal="center" vertical="center" wrapText="1"/>
    </xf>
    <xf numFmtId="0" fontId="11" fillId="7" borderId="2" xfId="0" applyFont="1" applyFill="1" applyBorder="1" applyAlignment="1">
      <alignment horizontal="justify" wrapText="1"/>
    </xf>
    <xf numFmtId="43" fontId="11" fillId="7" borderId="2" xfId="6" applyFont="1" applyFill="1" applyBorder="1" applyAlignment="1">
      <alignment vertical="center"/>
    </xf>
    <xf numFmtId="167" fontId="11" fillId="0" borderId="15" xfId="0" applyNumberFormat="1" applyFont="1" applyBorder="1" applyAlignment="1">
      <alignment horizontal="center" vertical="center" wrapText="1"/>
    </xf>
    <xf numFmtId="167" fontId="11" fillId="0" borderId="15" xfId="0" applyNumberFormat="1" applyFont="1" applyBorder="1" applyAlignment="1">
      <alignment vertical="center" wrapText="1"/>
    </xf>
    <xf numFmtId="0" fontId="11" fillId="0" borderId="17" xfId="0" applyFont="1" applyBorder="1" applyAlignment="1">
      <alignment vertical="center" wrapText="1"/>
    </xf>
    <xf numFmtId="0" fontId="11" fillId="7" borderId="2" xfId="0" applyFont="1" applyFill="1" applyBorder="1" applyAlignment="1">
      <alignment horizontal="justify" vertical="center"/>
    </xf>
    <xf numFmtId="1" fontId="12" fillId="12" borderId="3" xfId="0" applyNumberFormat="1" applyFont="1" applyFill="1" applyBorder="1" applyAlignment="1">
      <alignment horizontal="center" vertical="center" wrapText="1"/>
    </xf>
    <xf numFmtId="0" fontId="12" fillId="12" borderId="3" xfId="0" applyFont="1" applyFill="1" applyBorder="1" applyAlignment="1">
      <alignment vertical="center"/>
    </xf>
    <xf numFmtId="1" fontId="12" fillId="12" borderId="11" xfId="0" applyNumberFormat="1" applyFont="1" applyFill="1" applyBorder="1" applyAlignment="1">
      <alignment horizontal="center" vertical="center"/>
    </xf>
    <xf numFmtId="0" fontId="8" fillId="7" borderId="42" xfId="0" applyFont="1" applyFill="1" applyBorder="1" applyAlignment="1">
      <alignment horizontal="center" vertical="center" wrapText="1"/>
    </xf>
    <xf numFmtId="0" fontId="8" fillId="0" borderId="15" xfId="0" applyFont="1" applyBorder="1" applyAlignment="1">
      <alignment horizontal="center" vertical="center" wrapText="1"/>
    </xf>
    <xf numFmtId="1" fontId="11" fillId="7" borderId="28" xfId="0" applyNumberFormat="1" applyFont="1" applyFill="1" applyBorder="1"/>
    <xf numFmtId="0" fontId="12" fillId="10" borderId="3" xfId="0" applyFont="1" applyFill="1" applyBorder="1" applyAlignment="1">
      <alignment vertical="center"/>
    </xf>
    <xf numFmtId="1" fontId="12" fillId="11" borderId="4" xfId="0" applyNumberFormat="1" applyFont="1" applyFill="1" applyBorder="1" applyAlignment="1">
      <alignment horizontal="center" vertical="center"/>
    </xf>
    <xf numFmtId="0" fontId="11" fillId="0" borderId="19" xfId="0" applyFont="1" applyBorder="1"/>
    <xf numFmtId="0" fontId="11" fillId="0" borderId="20" xfId="0" applyFont="1" applyBorder="1"/>
    <xf numFmtId="0" fontId="11" fillId="0" borderId="20" xfId="0" applyFont="1" applyBorder="1" applyAlignment="1">
      <alignment horizontal="justify"/>
    </xf>
    <xf numFmtId="0" fontId="11" fillId="0" borderId="21" xfId="0" applyFont="1" applyBorder="1"/>
    <xf numFmtId="0" fontId="12" fillId="0" borderId="19" xfId="0" applyFont="1" applyBorder="1" applyAlignment="1">
      <alignment horizontal="justify"/>
    </xf>
    <xf numFmtId="0" fontId="12" fillId="0" borderId="20" xfId="0" applyFont="1" applyBorder="1" applyAlignment="1">
      <alignment horizontal="justify"/>
    </xf>
    <xf numFmtId="0" fontId="12" fillId="0" borderId="21" xfId="0" applyFont="1" applyBorder="1" applyAlignment="1">
      <alignment horizontal="justify"/>
    </xf>
    <xf numFmtId="0" fontId="12" fillId="0" borderId="19" xfId="0" applyFont="1" applyBorder="1"/>
    <xf numFmtId="0" fontId="10" fillId="0" borderId="2" xfId="0" applyFont="1" applyBorder="1" applyAlignment="1">
      <alignment horizontal="left" vertical="center"/>
    </xf>
    <xf numFmtId="0" fontId="10" fillId="0" borderId="2" xfId="0" applyFont="1" applyBorder="1" applyAlignment="1">
      <alignment vertical="center" wrapText="1"/>
    </xf>
    <xf numFmtId="0" fontId="11" fillId="0" borderId="3" xfId="0" applyFont="1" applyBorder="1" applyAlignment="1">
      <alignment horizontal="justify" vertical="center"/>
    </xf>
    <xf numFmtId="174" fontId="11" fillId="0" borderId="3" xfId="15" applyNumberFormat="1" applyFont="1" applyBorder="1" applyAlignment="1">
      <alignment horizontal="center" vertical="center"/>
    </xf>
    <xf numFmtId="174" fontId="12" fillId="8" borderId="9" xfId="15" applyNumberFormat="1" applyFont="1" applyFill="1" applyBorder="1" applyAlignment="1">
      <alignment horizontal="center" vertical="center" wrapText="1"/>
    </xf>
    <xf numFmtId="0" fontId="11" fillId="7" borderId="0" xfId="0" applyFont="1" applyFill="1" applyAlignment="1">
      <alignment horizontal="center" vertical="center"/>
    </xf>
    <xf numFmtId="1" fontId="12" fillId="10" borderId="5" xfId="0" applyNumberFormat="1" applyFont="1" applyFill="1" applyBorder="1" applyAlignment="1">
      <alignment horizontal="justify" vertical="center" wrapText="1"/>
    </xf>
    <xf numFmtId="169" fontId="12" fillId="10" borderId="11" xfId="0" applyNumberFormat="1" applyFont="1" applyFill="1" applyBorder="1" applyAlignment="1">
      <alignment horizontal="justify" vertical="center"/>
    </xf>
    <xf numFmtId="166" fontId="12" fillId="10" borderId="11" xfId="0" applyNumberFormat="1" applyFont="1" applyFill="1" applyBorder="1" applyAlignment="1">
      <alignment horizontal="justify" vertical="center"/>
    </xf>
    <xf numFmtId="0" fontId="11" fillId="10" borderId="11" xfId="0" applyFont="1" applyFill="1" applyBorder="1" applyAlignment="1">
      <alignment horizontal="justify" vertical="center"/>
    </xf>
    <xf numFmtId="174" fontId="11" fillId="10" borderId="11" xfId="15" applyNumberFormat="1" applyFont="1" applyFill="1" applyBorder="1" applyAlignment="1">
      <alignment horizontal="center" vertical="center"/>
    </xf>
    <xf numFmtId="0" fontId="12" fillId="10" borderId="12" xfId="0" applyFont="1" applyFill="1" applyBorder="1" applyAlignment="1">
      <alignment horizontal="justify" vertical="center"/>
    </xf>
    <xf numFmtId="1" fontId="12" fillId="7" borderId="8" xfId="0" applyNumberFormat="1" applyFont="1" applyFill="1" applyBorder="1" applyAlignment="1">
      <alignment horizontal="justify" vertical="center" wrapText="1"/>
    </xf>
    <xf numFmtId="0" fontId="12" fillId="7" borderId="5" xfId="0" applyFont="1" applyFill="1" applyBorder="1" applyAlignment="1">
      <alignment horizontal="justify" vertical="center" wrapText="1"/>
    </xf>
    <xf numFmtId="0" fontId="12" fillId="7" borderId="6" xfId="0" applyFont="1" applyFill="1" applyBorder="1" applyAlignment="1">
      <alignment horizontal="justify" vertical="center" wrapText="1"/>
    </xf>
    <xf numFmtId="1" fontId="12" fillId="11" borderId="0" xfId="0" applyNumberFormat="1" applyFont="1" applyFill="1" applyAlignment="1">
      <alignment horizontal="justify" vertical="center"/>
    </xf>
    <xf numFmtId="169" fontId="12" fillId="11" borderId="3" xfId="0" applyNumberFormat="1" applyFont="1" applyFill="1" applyBorder="1" applyAlignment="1">
      <alignment horizontal="justify" vertical="center"/>
    </xf>
    <xf numFmtId="166" fontId="12" fillId="11" borderId="3" xfId="0" applyNumberFormat="1" applyFont="1" applyFill="1" applyBorder="1" applyAlignment="1">
      <alignment horizontal="justify" vertical="center"/>
    </xf>
    <xf numFmtId="0" fontId="11" fillId="11" borderId="3" xfId="0" applyFont="1" applyFill="1" applyBorder="1" applyAlignment="1">
      <alignment horizontal="justify" vertical="center"/>
    </xf>
    <xf numFmtId="174" fontId="11" fillId="11" borderId="3" xfId="15" applyNumberFormat="1" applyFont="1" applyFill="1" applyBorder="1" applyAlignment="1">
      <alignment horizontal="center" vertical="center"/>
    </xf>
    <xf numFmtId="0" fontId="12" fillId="11" borderId="4" xfId="0" applyFont="1" applyFill="1" applyBorder="1" applyAlignment="1">
      <alignment horizontal="justify" vertical="center"/>
    </xf>
    <xf numFmtId="1" fontId="12" fillId="7" borderId="13" xfId="0" applyNumberFormat="1" applyFont="1" applyFill="1" applyBorder="1" applyAlignment="1">
      <alignment horizontal="justify" vertical="center" wrapText="1"/>
    </xf>
    <xf numFmtId="0" fontId="12" fillId="7" borderId="0" xfId="0" applyFont="1" applyFill="1" applyAlignment="1">
      <alignment horizontal="justify" vertical="center" wrapText="1"/>
    </xf>
    <xf numFmtId="0" fontId="12" fillId="7" borderId="8" xfId="0" applyFont="1" applyFill="1" applyBorder="1" applyAlignment="1">
      <alignment horizontal="justify" vertical="center" wrapText="1"/>
    </xf>
    <xf numFmtId="1" fontId="12" fillId="12" borderId="10" xfId="0" applyNumberFormat="1" applyFont="1" applyFill="1" applyBorder="1" applyAlignment="1">
      <alignment horizontal="justify" vertical="center" wrapText="1"/>
    </xf>
    <xf numFmtId="169" fontId="12" fillId="12" borderId="11" xfId="0" applyNumberFormat="1" applyFont="1" applyFill="1" applyBorder="1" applyAlignment="1">
      <alignment horizontal="justify" vertical="center"/>
    </xf>
    <xf numFmtId="166" fontId="12" fillId="12" borderId="5" xfId="0" applyNumberFormat="1" applyFont="1" applyFill="1" applyBorder="1" applyAlignment="1">
      <alignment horizontal="justify" vertical="center"/>
    </xf>
    <xf numFmtId="0" fontId="11" fillId="12" borderId="11" xfId="0" applyFont="1" applyFill="1" applyBorder="1" applyAlignment="1">
      <alignment horizontal="justify" vertical="center"/>
    </xf>
    <xf numFmtId="174" fontId="11" fillId="12" borderId="11" xfId="15" applyNumberFormat="1" applyFont="1" applyFill="1" applyBorder="1" applyAlignment="1">
      <alignment horizontal="center" vertical="center"/>
    </xf>
    <xf numFmtId="0" fontId="12" fillId="12" borderId="12" xfId="0" applyFont="1" applyFill="1" applyBorder="1" applyAlignment="1">
      <alignment horizontal="justify" vertical="center"/>
    </xf>
    <xf numFmtId="1" fontId="11" fillId="0" borderId="13" xfId="0" applyNumberFormat="1" applyFont="1" applyBorder="1" applyAlignment="1">
      <alignment horizontal="justify" vertical="center" wrapText="1"/>
    </xf>
    <xf numFmtId="0" fontId="11" fillId="0" borderId="13"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8" xfId="0" applyFont="1" applyBorder="1" applyAlignment="1">
      <alignment horizontal="justify" vertical="center" wrapText="1"/>
    </xf>
    <xf numFmtId="3" fontId="11" fillId="0" borderId="2" xfId="0" applyNumberFormat="1" applyFont="1" applyBorder="1" applyAlignment="1">
      <alignment horizontal="justify" vertical="center" wrapText="1"/>
    </xf>
    <xf numFmtId="0" fontId="14" fillId="0" borderId="2" xfId="0" applyFont="1" applyBorder="1" applyAlignment="1">
      <alignment horizontal="justify" vertical="center"/>
    </xf>
    <xf numFmtId="174" fontId="11" fillId="0" borderId="2" xfId="6" applyNumberFormat="1" applyFont="1" applyBorder="1" applyAlignment="1">
      <alignment horizontal="center" vertical="center"/>
    </xf>
    <xf numFmtId="0" fontId="11" fillId="0" borderId="2" xfId="10" applyFont="1" applyBorder="1" applyAlignment="1">
      <alignment horizontal="justify" vertical="center"/>
    </xf>
    <xf numFmtId="0" fontId="8" fillId="0" borderId="2" xfId="10" applyFont="1" applyBorder="1" applyAlignment="1">
      <alignment horizontal="justify" vertical="center"/>
    </xf>
    <xf numFmtId="0" fontId="8" fillId="0" borderId="2" xfId="10" applyFont="1" applyBorder="1" applyAlignment="1">
      <alignment horizontal="justify" vertical="center" wrapText="1"/>
    </xf>
    <xf numFmtId="0" fontId="11" fillId="0" borderId="7" xfId="0" applyFont="1" applyBorder="1" applyAlignment="1">
      <alignment horizontal="justify" vertical="center" wrapText="1"/>
    </xf>
    <xf numFmtId="1" fontId="11" fillId="7" borderId="13" xfId="0" applyNumberFormat="1" applyFont="1" applyFill="1" applyBorder="1" applyAlignment="1">
      <alignment horizontal="justify"/>
    </xf>
    <xf numFmtId="0" fontId="11" fillId="7" borderId="13" xfId="0" applyFont="1" applyFill="1" applyBorder="1" applyAlignment="1">
      <alignment horizontal="justify"/>
    </xf>
    <xf numFmtId="0" fontId="11" fillId="12" borderId="10" xfId="0" applyFont="1" applyFill="1" applyBorder="1" applyAlignment="1">
      <alignment horizontal="justify"/>
    </xf>
    <xf numFmtId="166" fontId="12" fillId="12" borderId="3" xfId="0" applyNumberFormat="1" applyFont="1" applyFill="1" applyBorder="1" applyAlignment="1">
      <alignment horizontal="right" vertical="center"/>
    </xf>
    <xf numFmtId="0" fontId="12" fillId="12" borderId="11" xfId="0" applyFont="1" applyFill="1" applyBorder="1" applyAlignment="1">
      <alignment horizontal="justify" vertical="center" wrapText="1"/>
    </xf>
    <xf numFmtId="174" fontId="11" fillId="12" borderId="11" xfId="6" applyNumberFormat="1" applyFont="1" applyFill="1" applyBorder="1" applyAlignment="1">
      <alignment horizontal="center" vertical="center"/>
    </xf>
    <xf numFmtId="1" fontId="11" fillId="12" borderId="11" xfId="0" applyNumberFormat="1" applyFont="1" applyFill="1" applyBorder="1" applyAlignment="1">
      <alignment horizontal="center" vertical="center"/>
    </xf>
    <xf numFmtId="0" fontId="11" fillId="12" borderId="11" xfId="0" applyFont="1" applyFill="1" applyBorder="1" applyAlignment="1">
      <alignment horizontal="center" vertical="center"/>
    </xf>
    <xf numFmtId="0" fontId="11" fillId="12" borderId="11" xfId="0" applyFont="1" applyFill="1" applyBorder="1"/>
    <xf numFmtId="2" fontId="11" fillId="12" borderId="11" xfId="0" applyNumberFormat="1" applyFont="1" applyFill="1" applyBorder="1" applyAlignment="1">
      <alignment vertical="center" wrapText="1"/>
    </xf>
    <xf numFmtId="167" fontId="11" fillId="12" borderId="11" xfId="0" applyNumberFormat="1" applyFont="1" applyFill="1" applyBorder="1" applyAlignment="1">
      <alignment horizontal="right" vertical="center"/>
    </xf>
    <xf numFmtId="167" fontId="11" fillId="12" borderId="11" xfId="0" applyNumberFormat="1" applyFont="1" applyFill="1" applyBorder="1" applyAlignment="1">
      <alignment horizontal="center"/>
    </xf>
    <xf numFmtId="0" fontId="11" fillId="12" borderId="12" xfId="0" applyFont="1" applyFill="1" applyBorder="1" applyAlignment="1">
      <alignment horizontal="justify" vertical="center" wrapText="1"/>
    </xf>
    <xf numFmtId="1" fontId="11" fillId="0" borderId="13" xfId="0" applyNumberFormat="1" applyFont="1" applyBorder="1" applyAlignment="1">
      <alignment horizontal="justify"/>
    </xf>
    <xf numFmtId="0" fontId="11" fillId="0" borderId="13" xfId="0" applyFont="1" applyBorder="1" applyAlignment="1">
      <alignment horizontal="justify"/>
    </xf>
    <xf numFmtId="174" fontId="8" fillId="0" borderId="2" xfId="6" applyNumberFormat="1" applyFont="1" applyBorder="1" applyAlignment="1">
      <alignment horizontal="center" vertical="center"/>
    </xf>
    <xf numFmtId="0" fontId="11" fillId="0" borderId="7" xfId="0" applyFont="1" applyBorder="1" applyAlignment="1">
      <alignment horizontal="justify"/>
    </xf>
    <xf numFmtId="1" fontId="12" fillId="19" borderId="10" xfId="0" applyNumberFormat="1" applyFont="1" applyFill="1" applyBorder="1" applyAlignment="1">
      <alignment horizontal="justify" vertical="center"/>
    </xf>
    <xf numFmtId="0" fontId="12" fillId="19" borderId="5" xfId="0" applyFont="1" applyFill="1" applyBorder="1" applyAlignment="1">
      <alignment horizontal="justify" vertical="center"/>
    </xf>
    <xf numFmtId="0" fontId="12" fillId="19" borderId="5" xfId="0" applyFont="1" applyFill="1" applyBorder="1" applyAlignment="1">
      <alignment horizontal="center" vertical="center"/>
    </xf>
    <xf numFmtId="169" fontId="12" fillId="19" borderId="5" xfId="0" applyNumberFormat="1" applyFont="1" applyFill="1" applyBorder="1" applyAlignment="1">
      <alignment horizontal="justify" vertical="center"/>
    </xf>
    <xf numFmtId="166" fontId="12" fillId="19" borderId="5" xfId="0" applyNumberFormat="1" applyFont="1" applyFill="1" applyBorder="1" applyAlignment="1">
      <alignment horizontal="right" vertical="center"/>
    </xf>
    <xf numFmtId="0" fontId="12" fillId="19" borderId="5" xfId="0" applyFont="1" applyFill="1" applyBorder="1" applyAlignment="1">
      <alignment horizontal="justify" vertical="center" wrapText="1"/>
    </xf>
    <xf numFmtId="0" fontId="11" fillId="19" borderId="5" xfId="0" applyFont="1" applyFill="1" applyBorder="1" applyAlignment="1">
      <alignment horizontal="justify" vertical="center"/>
    </xf>
    <xf numFmtId="174" fontId="11" fillId="19" borderId="5" xfId="15" applyNumberFormat="1" applyFont="1" applyFill="1" applyBorder="1" applyAlignment="1">
      <alignment horizontal="center" vertical="center"/>
    </xf>
    <xf numFmtId="1" fontId="11" fillId="19" borderId="5" xfId="0" applyNumberFormat="1" applyFont="1" applyFill="1" applyBorder="1" applyAlignment="1">
      <alignment horizontal="center" vertical="center"/>
    </xf>
    <xf numFmtId="0" fontId="11" fillId="19" borderId="5" xfId="0" applyFont="1" applyFill="1" applyBorder="1" applyAlignment="1">
      <alignment horizontal="center" vertical="center"/>
    </xf>
    <xf numFmtId="0" fontId="11" fillId="19" borderId="5" xfId="0" applyFont="1" applyFill="1" applyBorder="1"/>
    <xf numFmtId="2" fontId="11" fillId="19" borderId="5" xfId="0" applyNumberFormat="1" applyFont="1" applyFill="1" applyBorder="1" applyAlignment="1">
      <alignment vertical="center" wrapText="1"/>
    </xf>
    <xf numFmtId="167" fontId="11" fillId="19" borderId="5" xfId="0" applyNumberFormat="1" applyFont="1" applyFill="1" applyBorder="1" applyAlignment="1">
      <alignment horizontal="right" vertical="center"/>
    </xf>
    <xf numFmtId="167" fontId="11" fillId="19" borderId="5" xfId="0" applyNumberFormat="1" applyFont="1" applyFill="1" applyBorder="1" applyAlignment="1">
      <alignment horizontal="center"/>
    </xf>
    <xf numFmtId="0" fontId="11" fillId="19" borderId="6" xfId="0" applyFont="1" applyFill="1" applyBorder="1" applyAlignment="1">
      <alignment horizontal="justify" vertical="center" wrapText="1"/>
    </xf>
    <xf numFmtId="0" fontId="11" fillId="7" borderId="1" xfId="0" applyFont="1" applyFill="1" applyBorder="1" applyAlignment="1">
      <alignment horizontal="justify"/>
    </xf>
    <xf numFmtId="166" fontId="12" fillId="12" borderId="11" xfId="0" applyNumberFormat="1" applyFont="1" applyFill="1" applyBorder="1" applyAlignment="1">
      <alignment horizontal="right" vertical="center"/>
    </xf>
    <xf numFmtId="1" fontId="11" fillId="0" borderId="13" xfId="0" applyNumberFormat="1" applyFont="1" applyBorder="1" applyAlignment="1">
      <alignment horizontal="justify" vertical="center"/>
    </xf>
    <xf numFmtId="0" fontId="11" fillId="0" borderId="1" xfId="0" applyFont="1" applyBorder="1" applyAlignment="1">
      <alignment horizontal="justify" vertical="center"/>
    </xf>
    <xf numFmtId="0" fontId="11" fillId="0" borderId="13" xfId="0" applyFont="1" applyBorder="1" applyAlignment="1">
      <alignment horizontal="justify" vertical="center"/>
    </xf>
    <xf numFmtId="0" fontId="11" fillId="0" borderId="8" xfId="0" applyFont="1" applyBorder="1" applyAlignment="1">
      <alignment horizontal="justify" vertical="center"/>
    </xf>
    <xf numFmtId="49" fontId="8" fillId="0" borderId="2" xfId="16" applyNumberFormat="1" applyFont="1" applyBorder="1" applyAlignment="1">
      <alignment horizontal="justify" vertical="center" wrapText="1"/>
    </xf>
    <xf numFmtId="1" fontId="12" fillId="20" borderId="10" xfId="0" applyNumberFormat="1" applyFont="1" applyFill="1" applyBorder="1" applyAlignment="1">
      <alignment horizontal="justify" vertical="center"/>
    </xf>
    <xf numFmtId="0" fontId="12" fillId="20" borderId="11" xfId="0" applyFont="1" applyFill="1" applyBorder="1" applyAlignment="1">
      <alignment horizontal="justify" vertical="center"/>
    </xf>
    <xf numFmtId="0" fontId="12" fillId="20" borderId="5" xfId="0" applyFont="1" applyFill="1" applyBorder="1" applyAlignment="1">
      <alignment horizontal="justify" vertical="center"/>
    </xf>
    <xf numFmtId="0" fontId="12" fillId="20" borderId="5" xfId="0" applyFont="1" applyFill="1" applyBorder="1" applyAlignment="1">
      <alignment horizontal="center" vertical="center"/>
    </xf>
    <xf numFmtId="169" fontId="12" fillId="20" borderId="5" xfId="0" applyNumberFormat="1" applyFont="1" applyFill="1" applyBorder="1" applyAlignment="1">
      <alignment horizontal="justify" vertical="center"/>
    </xf>
    <xf numFmtId="166" fontId="12" fillId="20" borderId="5" xfId="0" applyNumberFormat="1" applyFont="1" applyFill="1" applyBorder="1" applyAlignment="1">
      <alignment horizontal="right" vertical="center"/>
    </xf>
    <xf numFmtId="0" fontId="12" fillId="20" borderId="5" xfId="0" applyFont="1" applyFill="1" applyBorder="1" applyAlignment="1">
      <alignment horizontal="justify" vertical="center" wrapText="1"/>
    </xf>
    <xf numFmtId="0" fontId="11" fillId="20" borderId="5" xfId="0" applyFont="1" applyFill="1" applyBorder="1" applyAlignment="1">
      <alignment horizontal="justify" vertical="center"/>
    </xf>
    <xf numFmtId="174" fontId="11" fillId="20" borderId="5" xfId="15" applyNumberFormat="1" applyFont="1" applyFill="1" applyBorder="1" applyAlignment="1">
      <alignment horizontal="center" vertical="center"/>
    </xf>
    <xf numFmtId="1" fontId="11" fillId="20" borderId="5" xfId="0" applyNumberFormat="1" applyFont="1" applyFill="1" applyBorder="1" applyAlignment="1">
      <alignment horizontal="center" vertical="center"/>
    </xf>
    <xf numFmtId="0" fontId="11" fillId="20" borderId="5" xfId="0" applyFont="1" applyFill="1" applyBorder="1" applyAlignment="1">
      <alignment horizontal="center" vertical="center"/>
    </xf>
    <xf numFmtId="0" fontId="11" fillId="20" borderId="5" xfId="0" applyFont="1" applyFill="1" applyBorder="1"/>
    <xf numFmtId="2" fontId="11" fillId="20" borderId="5" xfId="0" applyNumberFormat="1" applyFont="1" applyFill="1" applyBorder="1" applyAlignment="1">
      <alignment vertical="center" wrapText="1"/>
    </xf>
    <xf numFmtId="167" fontId="11" fillId="20" borderId="5" xfId="0" applyNumberFormat="1" applyFont="1" applyFill="1" applyBorder="1" applyAlignment="1">
      <alignment horizontal="right" vertical="center"/>
    </xf>
    <xf numFmtId="167" fontId="11" fillId="20" borderId="5" xfId="0" applyNumberFormat="1" applyFont="1" applyFill="1" applyBorder="1" applyAlignment="1">
      <alignment horizontal="center"/>
    </xf>
    <xf numFmtId="0" fontId="11" fillId="20" borderId="6" xfId="0" applyFont="1" applyFill="1" applyBorder="1" applyAlignment="1">
      <alignment horizontal="justify" vertical="center" wrapText="1"/>
    </xf>
    <xf numFmtId="0" fontId="11" fillId="7" borderId="8" xfId="0" applyFont="1" applyFill="1" applyBorder="1" applyAlignment="1">
      <alignment horizontal="justify"/>
    </xf>
    <xf numFmtId="0" fontId="11" fillId="7" borderId="5" xfId="0" applyFont="1" applyFill="1" applyBorder="1" applyAlignment="1">
      <alignment horizontal="justify"/>
    </xf>
    <xf numFmtId="0" fontId="11" fillId="7" borderId="6" xfId="0" applyFont="1" applyFill="1" applyBorder="1" applyAlignment="1">
      <alignment horizontal="justify"/>
    </xf>
    <xf numFmtId="1" fontId="11" fillId="12" borderId="5" xfId="0" applyNumberFormat="1" applyFont="1" applyFill="1" applyBorder="1" applyAlignment="1">
      <alignment horizontal="center" vertical="center"/>
    </xf>
    <xf numFmtId="0" fontId="11" fillId="12" borderId="5" xfId="0" applyFont="1" applyFill="1" applyBorder="1" applyAlignment="1">
      <alignment horizontal="center" vertical="center"/>
    </xf>
    <xf numFmtId="0" fontId="11" fillId="12" borderId="5" xfId="0" applyFont="1" applyFill="1" applyBorder="1"/>
    <xf numFmtId="0" fontId="11" fillId="0" borderId="8" xfId="0" applyFont="1" applyBorder="1" applyAlignment="1">
      <alignment horizontal="justify"/>
    </xf>
    <xf numFmtId="0" fontId="11" fillId="0" borderId="5" xfId="0" applyFont="1" applyBorder="1" applyAlignment="1">
      <alignment horizontal="justify"/>
    </xf>
    <xf numFmtId="174" fontId="11" fillId="0" borderId="2" xfId="6" applyNumberFormat="1" applyFont="1" applyFill="1" applyBorder="1" applyAlignment="1">
      <alignment horizontal="center" vertical="center"/>
    </xf>
    <xf numFmtId="1" fontId="11" fillId="0" borderId="10" xfId="0" applyNumberFormat="1" applyFont="1" applyBorder="1" applyAlignment="1">
      <alignment horizontal="center" vertical="center"/>
    </xf>
    <xf numFmtId="9" fontId="11" fillId="0" borderId="2" xfId="5" applyFont="1" applyBorder="1" applyAlignment="1">
      <alignment horizontal="center" vertical="center"/>
    </xf>
    <xf numFmtId="174" fontId="11" fillId="0" borderId="10" xfId="6" applyNumberFormat="1" applyFont="1" applyFill="1" applyBorder="1" applyAlignment="1">
      <alignment horizontal="center" vertical="center"/>
    </xf>
    <xf numFmtId="174" fontId="11" fillId="0" borderId="10" xfId="6" applyNumberFormat="1" applyFont="1" applyBorder="1" applyAlignment="1">
      <alignment horizontal="center" vertical="center"/>
    </xf>
    <xf numFmtId="174" fontId="8" fillId="0" borderId="10" xfId="6" applyNumberFormat="1" applyFont="1" applyBorder="1" applyAlignment="1">
      <alignment horizontal="center" vertical="center"/>
    </xf>
    <xf numFmtId="0" fontId="8" fillId="0" borderId="2" xfId="0" applyFont="1" applyBorder="1" applyAlignment="1">
      <alignment horizontal="justify" vertical="center"/>
    </xf>
    <xf numFmtId="0" fontId="13" fillId="0" borderId="2" xfId="10" applyFont="1" applyBorder="1" applyAlignment="1">
      <alignment horizontal="justify" vertical="center" wrapText="1"/>
    </xf>
    <xf numFmtId="0" fontId="11" fillId="0" borderId="1" xfId="0" applyFont="1" applyBorder="1" applyAlignment="1">
      <alignment horizontal="justify"/>
    </xf>
    <xf numFmtId="1" fontId="11" fillId="0" borderId="2" xfId="0" applyNumberFormat="1" applyFont="1" applyBorder="1" applyAlignment="1">
      <alignment horizontal="center" vertical="center"/>
    </xf>
    <xf numFmtId="0" fontId="13" fillId="0" borderId="2" xfId="17" applyFont="1" applyBorder="1" applyAlignment="1">
      <alignment horizontal="justify" vertical="center" wrapText="1"/>
    </xf>
    <xf numFmtId="0" fontId="8" fillId="0" borderId="2" xfId="17" applyFont="1" applyBorder="1" applyAlignment="1">
      <alignment horizontal="justify" vertical="center" wrapText="1"/>
    </xf>
    <xf numFmtId="1" fontId="11" fillId="0" borderId="9" xfId="0" applyNumberFormat="1" applyFont="1" applyBorder="1" applyAlignment="1">
      <alignment horizontal="center" vertical="center"/>
    </xf>
    <xf numFmtId="9" fontId="11" fillId="0" borderId="9" xfId="5" applyFont="1" applyBorder="1" applyAlignment="1">
      <alignment horizontal="center" vertical="center"/>
    </xf>
    <xf numFmtId="0" fontId="13" fillId="0" borderId="9" xfId="17" applyFont="1" applyBorder="1" applyAlignment="1">
      <alignment horizontal="justify" vertical="center" wrapText="1"/>
    </xf>
    <xf numFmtId="174" fontId="11" fillId="0" borderId="9" xfId="6" applyNumberFormat="1" applyFont="1" applyBorder="1" applyAlignment="1">
      <alignment horizontal="center" vertical="center"/>
    </xf>
    <xf numFmtId="1" fontId="11" fillId="0" borderId="19" xfId="0" applyNumberFormat="1" applyFont="1" applyBorder="1" applyAlignment="1">
      <alignment horizontal="justify"/>
    </xf>
    <xf numFmtId="0" fontId="11" fillId="7" borderId="20" xfId="0" applyFont="1" applyFill="1" applyBorder="1" applyAlignment="1">
      <alignment horizontal="justify"/>
    </xf>
    <xf numFmtId="169" fontId="11" fillId="7" borderId="21" xfId="0" applyNumberFormat="1" applyFont="1" applyFill="1" applyBorder="1" applyAlignment="1">
      <alignment horizontal="justify" vertical="center"/>
    </xf>
    <xf numFmtId="41" fontId="12" fillId="7" borderId="22" xfId="15" applyFont="1" applyFill="1" applyBorder="1" applyAlignment="1">
      <alignment horizontal="center" vertical="center"/>
    </xf>
    <xf numFmtId="0" fontId="11" fillId="7" borderId="19" xfId="0" applyFont="1" applyFill="1" applyBorder="1" applyAlignment="1">
      <alignment horizontal="justify" vertical="center"/>
    </xf>
    <xf numFmtId="0" fontId="11" fillId="7" borderId="21" xfId="0" applyFont="1" applyFill="1" applyBorder="1" applyAlignment="1">
      <alignment horizontal="justify" vertical="center"/>
    </xf>
    <xf numFmtId="174" fontId="12" fillId="7" borderId="22" xfId="6" applyNumberFormat="1" applyFont="1" applyFill="1" applyBorder="1" applyAlignment="1">
      <alignment horizontal="center" vertical="center"/>
    </xf>
    <xf numFmtId="0" fontId="11" fillId="7" borderId="20" xfId="0" applyFont="1" applyFill="1" applyBorder="1" applyAlignment="1">
      <alignment horizontal="center" vertical="center"/>
    </xf>
    <xf numFmtId="167" fontId="11" fillId="0" borderId="20" xfId="0" applyNumberFormat="1" applyFont="1" applyBorder="1" applyAlignment="1">
      <alignment horizontal="center"/>
    </xf>
    <xf numFmtId="1" fontId="11" fillId="0" borderId="0" xfId="0" applyNumberFormat="1" applyFont="1" applyAlignment="1">
      <alignment horizontal="justify"/>
    </xf>
    <xf numFmtId="169" fontId="11" fillId="7" borderId="0" xfId="0" applyNumberFormat="1" applyFont="1" applyFill="1" applyAlignment="1">
      <alignment horizontal="justify" vertical="center"/>
    </xf>
    <xf numFmtId="166" fontId="11" fillId="7" borderId="0" xfId="0" applyNumberFormat="1" applyFont="1" applyFill="1" applyAlignment="1">
      <alignment horizontal="justify" vertical="center"/>
    </xf>
    <xf numFmtId="174" fontId="11" fillId="7" borderId="0" xfId="6" applyNumberFormat="1" applyFont="1" applyFill="1" applyAlignment="1">
      <alignment horizontal="center" vertical="center"/>
    </xf>
    <xf numFmtId="169" fontId="11" fillId="0" borderId="0" xfId="0" applyNumberFormat="1" applyFont="1" applyAlignment="1">
      <alignment horizontal="justify" vertical="center"/>
    </xf>
    <xf numFmtId="166" fontId="11" fillId="0" borderId="0" xfId="0" applyNumberFormat="1" applyFont="1" applyAlignment="1">
      <alignment horizontal="justify" vertical="center"/>
    </xf>
    <xf numFmtId="174" fontId="11" fillId="7" borderId="0" xfId="15" applyNumberFormat="1" applyFont="1" applyFill="1" applyAlignment="1">
      <alignment horizontal="center" vertical="center"/>
    </xf>
    <xf numFmtId="0" fontId="12" fillId="15" borderId="2" xfId="0" applyFont="1" applyFill="1" applyBorder="1" applyAlignment="1">
      <alignment horizontal="center" vertical="center" textRotation="90" wrapText="1"/>
    </xf>
    <xf numFmtId="0" fontId="12" fillId="0" borderId="2" xfId="0" applyFont="1" applyBorder="1" applyAlignment="1">
      <alignment horizontal="center" vertical="center"/>
    </xf>
    <xf numFmtId="0" fontId="12" fillId="11" borderId="11" xfId="0" applyFont="1" applyFill="1" applyBorder="1" applyAlignment="1">
      <alignment horizontal="left" vertical="center"/>
    </xf>
    <xf numFmtId="0" fontId="12" fillId="12" borderId="11" xfId="0" applyFont="1" applyFill="1" applyBorder="1" applyAlignment="1">
      <alignment horizontal="left" vertical="center"/>
    </xf>
    <xf numFmtId="0" fontId="11" fillId="0" borderId="2" xfId="0" applyFont="1" applyBorder="1" applyAlignment="1">
      <alignment horizontal="justify" vertical="center" wrapText="1"/>
    </xf>
    <xf numFmtId="0" fontId="11" fillId="0" borderId="2" xfId="0" applyFont="1" applyBorder="1" applyAlignment="1">
      <alignment horizontal="center" vertical="center"/>
    </xf>
    <xf numFmtId="0" fontId="11" fillId="0" borderId="9" xfId="0" applyFont="1" applyBorder="1" applyAlignment="1">
      <alignment horizontal="justify" vertical="center" wrapText="1"/>
    </xf>
    <xf numFmtId="43" fontId="11" fillId="0" borderId="9" xfId="6" applyFont="1" applyBorder="1" applyAlignment="1">
      <alignment horizontal="center" vertical="center" wrapText="1"/>
    </xf>
    <xf numFmtId="43" fontId="11" fillId="0" borderId="15" xfId="6" applyFont="1" applyBorder="1" applyAlignment="1">
      <alignment horizontal="center" vertical="center" wrapText="1"/>
    </xf>
    <xf numFmtId="0" fontId="11" fillId="0" borderId="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9"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2" xfId="0" applyFont="1" applyBorder="1" applyAlignment="1">
      <alignment horizontal="justify" vertical="center"/>
    </xf>
    <xf numFmtId="0" fontId="11" fillId="0" borderId="0" xfId="0" applyFont="1" applyAlignment="1">
      <alignment horizontal="justify"/>
    </xf>
    <xf numFmtId="0" fontId="11" fillId="0" borderId="9" xfId="0" applyFont="1" applyBorder="1" applyAlignment="1">
      <alignment horizontal="justify" vertical="center"/>
    </xf>
    <xf numFmtId="43" fontId="11" fillId="0" borderId="2" xfId="6" applyFont="1" applyBorder="1" applyAlignment="1">
      <alignment horizontal="justify" vertical="center" wrapText="1"/>
    </xf>
    <xf numFmtId="0" fontId="11" fillId="0" borderId="0" xfId="0" applyFont="1" applyAlignment="1">
      <alignment horizontal="center"/>
    </xf>
    <xf numFmtId="0" fontId="8" fillId="7" borderId="9"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9" xfId="0" applyFont="1" applyFill="1" applyBorder="1" applyAlignment="1">
      <alignment horizontal="justify" vertical="center" wrapText="1"/>
    </xf>
    <xf numFmtId="3" fontId="11" fillId="0" borderId="2" xfId="0" applyNumberFormat="1" applyFont="1" applyBorder="1" applyAlignment="1">
      <alignment horizontal="center" vertical="center"/>
    </xf>
    <xf numFmtId="3" fontId="11" fillId="0" borderId="9" xfId="0" applyNumberFormat="1" applyFont="1" applyBorder="1" applyAlignment="1">
      <alignment horizontal="center" vertical="center"/>
    </xf>
    <xf numFmtId="1" fontId="11" fillId="7" borderId="14" xfId="0" applyNumberFormat="1" applyFont="1" applyFill="1" applyBorder="1" applyAlignment="1">
      <alignment horizontal="center" vertical="center" wrapText="1"/>
    </xf>
    <xf numFmtId="0" fontId="11" fillId="7" borderId="14" xfId="0" applyFont="1" applyFill="1" applyBorder="1" applyAlignment="1">
      <alignment horizontal="center" vertical="center" wrapText="1"/>
    </xf>
    <xf numFmtId="1" fontId="11" fillId="7" borderId="9" xfId="0" applyNumberFormat="1" applyFont="1" applyFill="1" applyBorder="1" applyAlignment="1">
      <alignment horizontal="center" vertical="center" wrapText="1"/>
    </xf>
    <xf numFmtId="0" fontId="11" fillId="7" borderId="15" xfId="0" applyFont="1" applyFill="1" applyBorder="1" applyAlignment="1">
      <alignment horizontal="justify" vertical="center" wrapText="1"/>
    </xf>
    <xf numFmtId="3" fontId="11" fillId="0" borderId="15" xfId="0" applyNumberFormat="1" applyFont="1" applyBorder="1" applyAlignment="1">
      <alignment horizontal="center" vertical="center"/>
    </xf>
    <xf numFmtId="0" fontId="11" fillId="7" borderId="2" xfId="0" applyFont="1" applyFill="1" applyBorder="1" applyAlignment="1">
      <alignment horizontal="center" vertical="center"/>
    </xf>
    <xf numFmtId="0" fontId="11" fillId="7" borderId="5" xfId="0" applyFont="1" applyFill="1" applyBorder="1" applyAlignment="1">
      <alignment horizontal="center"/>
    </xf>
    <xf numFmtId="0" fontId="11" fillId="7" borderId="0" xfId="0" applyFont="1" applyFill="1" applyAlignment="1">
      <alignment horizontal="center"/>
    </xf>
    <xf numFmtId="0" fontId="11" fillId="7" borderId="1" xfId="0" applyFont="1" applyFill="1" applyBorder="1" applyAlignment="1">
      <alignment horizontal="center"/>
    </xf>
    <xf numFmtId="43" fontId="11" fillId="0" borderId="2" xfId="6" applyFont="1" applyBorder="1" applyAlignment="1">
      <alignment vertical="center"/>
    </xf>
    <xf numFmtId="0" fontId="11" fillId="7" borderId="0" xfId="0" applyFont="1" applyFill="1" applyAlignment="1">
      <alignment horizontal="center" vertical="center" wrapText="1"/>
    </xf>
    <xf numFmtId="0" fontId="11" fillId="7" borderId="9" xfId="0" applyFont="1" applyFill="1" applyBorder="1" applyAlignment="1">
      <alignment horizontal="center" vertical="center"/>
    </xf>
    <xf numFmtId="0" fontId="12" fillId="7" borderId="2" xfId="0" applyFont="1" applyFill="1" applyBorder="1" applyAlignment="1">
      <alignment horizontal="center" vertical="center"/>
    </xf>
    <xf numFmtId="3" fontId="11" fillId="0" borderId="14" xfId="0" applyNumberFormat="1" applyFont="1" applyBorder="1" applyAlignment="1">
      <alignment horizontal="center" vertical="center"/>
    </xf>
    <xf numFmtId="9" fontId="11" fillId="7" borderId="9" xfId="5" applyFont="1" applyFill="1" applyBorder="1" applyAlignment="1">
      <alignment horizontal="center" vertical="center"/>
    </xf>
    <xf numFmtId="9" fontId="11" fillId="7" borderId="14" xfId="5" applyFont="1" applyFill="1" applyBorder="1" applyAlignment="1">
      <alignment horizontal="center" vertical="center"/>
    </xf>
    <xf numFmtId="9" fontId="11" fillId="7" borderId="15" xfId="5" applyFont="1" applyFill="1" applyBorder="1" applyAlignment="1">
      <alignment horizontal="center" vertical="center"/>
    </xf>
    <xf numFmtId="43" fontId="11" fillId="7" borderId="15" xfId="6" applyFont="1" applyFill="1" applyBorder="1" applyAlignment="1">
      <alignment horizontal="center" vertical="center"/>
    </xf>
    <xf numFmtId="43" fontId="11" fillId="7" borderId="2" xfId="6" applyFont="1" applyFill="1" applyBorder="1" applyAlignment="1">
      <alignment horizontal="center" vertical="center"/>
    </xf>
    <xf numFmtId="43" fontId="11" fillId="7" borderId="9" xfId="6" applyFont="1" applyFill="1" applyBorder="1" applyAlignment="1">
      <alignment horizontal="center" vertical="center"/>
    </xf>
    <xf numFmtId="0" fontId="11" fillId="7" borderId="14" xfId="0" applyFont="1" applyFill="1" applyBorder="1" applyAlignment="1">
      <alignment horizontal="center" vertical="center"/>
    </xf>
    <xf numFmtId="0" fontId="11" fillId="7" borderId="15" xfId="0" applyFont="1" applyFill="1" applyBorder="1" applyAlignment="1">
      <alignment horizontal="center" vertical="center"/>
    </xf>
    <xf numFmtId="1" fontId="11" fillId="7" borderId="2" xfId="0" applyNumberFormat="1" applyFont="1" applyFill="1" applyBorder="1" applyAlignment="1">
      <alignment horizontal="center" vertical="center"/>
    </xf>
    <xf numFmtId="9" fontId="11" fillId="7" borderId="2" xfId="5" applyFont="1" applyFill="1" applyBorder="1" applyAlignment="1">
      <alignment horizontal="center" vertical="center"/>
    </xf>
    <xf numFmtId="1" fontId="11" fillId="7" borderId="9" xfId="0" applyNumberFormat="1" applyFont="1" applyFill="1" applyBorder="1" applyAlignment="1">
      <alignment horizontal="center" vertical="center"/>
    </xf>
    <xf numFmtId="1" fontId="11" fillId="7" borderId="14" xfId="0" applyNumberFormat="1" applyFont="1" applyFill="1" applyBorder="1" applyAlignment="1">
      <alignment horizontal="center" vertical="center"/>
    </xf>
    <xf numFmtId="1" fontId="11" fillId="7" borderId="15" xfId="0" applyNumberFormat="1" applyFont="1" applyFill="1" applyBorder="1" applyAlignment="1">
      <alignment horizontal="center" vertical="center"/>
    </xf>
    <xf numFmtId="43" fontId="11" fillId="7" borderId="14" xfId="6" applyFont="1" applyFill="1" applyBorder="1" applyAlignment="1">
      <alignment horizontal="center" vertical="center"/>
    </xf>
    <xf numFmtId="3" fontId="11" fillId="0" borderId="9" xfId="0" applyNumberFormat="1" applyFont="1" applyFill="1" applyBorder="1" applyAlignment="1">
      <alignment horizontal="center" vertical="center"/>
    </xf>
    <xf numFmtId="43" fontId="11" fillId="0" borderId="9" xfId="6" applyFont="1" applyFill="1" applyBorder="1" applyAlignment="1">
      <alignment horizontal="center" vertical="center"/>
    </xf>
    <xf numFmtId="43" fontId="11" fillId="0" borderId="14" xfId="6" applyFont="1" applyFill="1" applyBorder="1" applyAlignment="1">
      <alignment horizontal="center" vertical="center"/>
    </xf>
    <xf numFmtId="0" fontId="12" fillId="0" borderId="2" xfId="0" applyFont="1" applyBorder="1" applyAlignment="1">
      <alignment vertical="center"/>
    </xf>
    <xf numFmtId="1" fontId="12" fillId="10" borderId="34" xfId="0" applyNumberFormat="1" applyFont="1" applyFill="1" applyBorder="1" applyAlignment="1">
      <alignment horizontal="center" vertical="center" wrapText="1"/>
    </xf>
    <xf numFmtId="0" fontId="11" fillId="10" borderId="2" xfId="0" applyFont="1" applyFill="1" applyBorder="1"/>
    <xf numFmtId="0" fontId="11" fillId="10" borderId="18" xfId="0" applyFont="1" applyFill="1" applyBorder="1"/>
    <xf numFmtId="0" fontId="19" fillId="0" borderId="0" xfId="0" applyFont="1"/>
    <xf numFmtId="1" fontId="12" fillId="11" borderId="11" xfId="0" applyNumberFormat="1" applyFont="1" applyFill="1" applyBorder="1" applyAlignment="1">
      <alignment horizontal="center" vertical="center"/>
    </xf>
    <xf numFmtId="0" fontId="11" fillId="11" borderId="2" xfId="0" applyFont="1" applyFill="1" applyBorder="1"/>
    <xf numFmtId="0" fontId="11" fillId="11" borderId="18" xfId="0" applyFont="1" applyFill="1" applyBorder="1"/>
    <xf numFmtId="0" fontId="19" fillId="7" borderId="0" xfId="0" applyFont="1" applyFill="1"/>
    <xf numFmtId="1" fontId="12" fillId="12" borderId="2" xfId="0" applyNumberFormat="1" applyFont="1" applyFill="1" applyBorder="1" applyAlignment="1">
      <alignment horizontal="left" vertical="center" wrapText="1" indent="1"/>
    </xf>
    <xf numFmtId="0" fontId="11" fillId="12" borderId="2" xfId="0" applyFont="1" applyFill="1" applyBorder="1"/>
    <xf numFmtId="0" fontId="11" fillId="12" borderId="18" xfId="0" applyFont="1" applyFill="1" applyBorder="1"/>
    <xf numFmtId="43" fontId="11" fillId="7" borderId="15" xfId="6" applyFont="1" applyFill="1" applyBorder="1" applyAlignment="1">
      <alignment horizontal="center" vertical="center" wrapText="1"/>
    </xf>
    <xf numFmtId="0" fontId="7" fillId="0" borderId="20" xfId="0" applyFont="1" applyBorder="1" applyAlignment="1">
      <alignment vertical="center"/>
    </xf>
    <xf numFmtId="43" fontId="7" fillId="0" borderId="21" xfId="6" applyFont="1" applyBorder="1" applyAlignment="1">
      <alignment vertical="center"/>
    </xf>
    <xf numFmtId="0" fontId="20" fillId="0" borderId="0" xfId="0" applyFont="1" applyAlignment="1">
      <alignment vertical="center"/>
    </xf>
    <xf numFmtId="43" fontId="19" fillId="0" borderId="0" xfId="6" applyFont="1"/>
    <xf numFmtId="166" fontId="19" fillId="0" borderId="0" xfId="0" applyNumberFormat="1" applyFont="1"/>
    <xf numFmtId="0" fontId="19" fillId="0" borderId="5" xfId="0" applyFont="1" applyBorder="1"/>
    <xf numFmtId="0" fontId="19" fillId="7" borderId="0" xfId="0" applyFont="1" applyFill="1" applyAlignment="1">
      <alignment horizontal="justify" vertical="center"/>
    </xf>
    <xf numFmtId="0" fontId="12" fillId="10" borderId="11" xfId="0" applyFont="1" applyFill="1" applyBorder="1" applyAlignment="1">
      <alignment horizontal="left" vertical="center"/>
    </xf>
    <xf numFmtId="0" fontId="12" fillId="0" borderId="3" xfId="0" applyFont="1" applyBorder="1" applyAlignment="1">
      <alignment horizontal="justify" vertical="center"/>
    </xf>
    <xf numFmtId="0" fontId="11" fillId="7" borderId="0" xfId="0" applyFont="1" applyFill="1" applyAlignment="1">
      <alignment horizontal="center"/>
    </xf>
    <xf numFmtId="1" fontId="11" fillId="7" borderId="9" xfId="0" applyNumberFormat="1" applyFont="1" applyFill="1" applyBorder="1" applyAlignment="1">
      <alignment horizontal="center" vertical="center" wrapText="1"/>
    </xf>
    <xf numFmtId="1" fontId="11" fillId="7" borderId="15" xfId="0" applyNumberFormat="1" applyFont="1" applyFill="1" applyBorder="1" applyAlignment="1">
      <alignment horizontal="center" vertical="center" wrapText="1"/>
    </xf>
    <xf numFmtId="1" fontId="11" fillId="7" borderId="14" xfId="0" applyNumberFormat="1"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0" borderId="0" xfId="0" applyFont="1" applyAlignment="1">
      <alignment horizontal="center"/>
    </xf>
    <xf numFmtId="0" fontId="11" fillId="7" borderId="14" xfId="0" applyFont="1" applyFill="1" applyBorder="1" applyAlignment="1">
      <alignment horizontal="center" vertical="center"/>
    </xf>
    <xf numFmtId="1" fontId="12" fillId="10" borderId="8" xfId="0" applyNumberFormat="1" applyFont="1" applyFill="1" applyBorder="1" applyAlignment="1">
      <alignment horizontal="left" vertical="center"/>
    </xf>
    <xf numFmtId="0" fontId="12" fillId="10" borderId="5" xfId="0" applyFont="1" applyFill="1" applyBorder="1" applyAlignment="1">
      <alignment horizontal="left" vertical="center"/>
    </xf>
    <xf numFmtId="169" fontId="12" fillId="10" borderId="5" xfId="0" applyNumberFormat="1" applyFont="1" applyFill="1" applyBorder="1" applyAlignment="1">
      <alignment horizontal="left" vertical="center"/>
    </xf>
    <xf numFmtId="166" fontId="12" fillId="10" borderId="5" xfId="0" applyNumberFormat="1" applyFont="1" applyFill="1" applyBorder="1" applyAlignment="1">
      <alignment horizontal="left" vertical="center"/>
    </xf>
    <xf numFmtId="167" fontId="12" fillId="10" borderId="5" xfId="0" applyNumberFormat="1" applyFont="1" applyFill="1" applyBorder="1" applyAlignment="1">
      <alignment horizontal="left" vertical="center"/>
    </xf>
    <xf numFmtId="0" fontId="14" fillId="10" borderId="5" xfId="0" applyFont="1" applyFill="1" applyBorder="1"/>
    <xf numFmtId="0" fontId="14" fillId="10" borderId="6" xfId="0" applyFont="1" applyFill="1" applyBorder="1" applyAlignment="1">
      <alignment horizontal="justify"/>
    </xf>
    <xf numFmtId="1" fontId="12" fillId="7" borderId="8" xfId="0" applyNumberFormat="1" applyFont="1" applyFill="1" applyBorder="1" applyAlignment="1">
      <alignment horizontal="center" vertical="center" wrapText="1"/>
    </xf>
    <xf numFmtId="1" fontId="12" fillId="7" borderId="5" xfId="0" applyNumberFormat="1" applyFont="1" applyFill="1" applyBorder="1" applyAlignment="1">
      <alignment horizontal="center" vertical="center" wrapText="1"/>
    </xf>
    <xf numFmtId="1" fontId="12" fillId="7" borderId="6" xfId="0" applyNumberFormat="1" applyFont="1" applyFill="1" applyBorder="1" applyAlignment="1">
      <alignment horizontal="center" vertical="center" wrapText="1"/>
    </xf>
    <xf numFmtId="1" fontId="12" fillId="11" borderId="5" xfId="0" applyNumberFormat="1" applyFont="1" applyFill="1" applyBorder="1" applyAlignment="1">
      <alignment horizontal="left" vertical="center"/>
    </xf>
    <xf numFmtId="0" fontId="12" fillId="11" borderId="5" xfId="0" applyFont="1" applyFill="1" applyBorder="1" applyAlignment="1">
      <alignment horizontal="left" vertical="center"/>
    </xf>
    <xf numFmtId="169" fontId="12" fillId="11" borderId="5" xfId="0" applyNumberFormat="1" applyFont="1" applyFill="1" applyBorder="1" applyAlignment="1">
      <alignment horizontal="left" vertical="center"/>
    </xf>
    <xf numFmtId="166" fontId="12" fillId="11" borderId="5" xfId="0" applyNumberFormat="1" applyFont="1" applyFill="1" applyBorder="1" applyAlignment="1">
      <alignment horizontal="left" vertical="center"/>
    </xf>
    <xf numFmtId="167" fontId="12" fillId="11" borderId="5" xfId="0" applyNumberFormat="1" applyFont="1" applyFill="1" applyBorder="1" applyAlignment="1">
      <alignment horizontal="left" vertical="center"/>
    </xf>
    <xf numFmtId="0" fontId="14" fillId="11" borderId="5" xfId="0" applyFont="1" applyFill="1" applyBorder="1"/>
    <xf numFmtId="0" fontId="14" fillId="11" borderId="6" xfId="0" applyFont="1" applyFill="1" applyBorder="1" applyAlignment="1">
      <alignment horizontal="justify"/>
    </xf>
    <xf numFmtId="1" fontId="12" fillId="7" borderId="13" xfId="0" applyNumberFormat="1" applyFont="1" applyFill="1" applyBorder="1" applyAlignment="1">
      <alignment horizontal="center" vertical="center" wrapText="1"/>
    </xf>
    <xf numFmtId="1" fontId="12" fillId="7" borderId="0" xfId="0" applyNumberFormat="1" applyFont="1" applyFill="1" applyAlignment="1">
      <alignment horizontal="center" vertical="center" wrapText="1"/>
    </xf>
    <xf numFmtId="0" fontId="12" fillId="7" borderId="8"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6" xfId="0" applyFont="1" applyFill="1" applyBorder="1" applyAlignment="1">
      <alignment horizontal="center" vertical="center"/>
    </xf>
    <xf numFmtId="1" fontId="12" fillId="12" borderId="11" xfId="0" applyNumberFormat="1" applyFont="1" applyFill="1" applyBorder="1" applyAlignment="1">
      <alignment horizontal="left" vertical="center"/>
    </xf>
    <xf numFmtId="169" fontId="12" fillId="12" borderId="11" xfId="0" applyNumberFormat="1" applyFont="1" applyFill="1" applyBorder="1" applyAlignment="1">
      <alignment horizontal="left" vertical="center"/>
    </xf>
    <xf numFmtId="166" fontId="12" fillId="12" borderId="11" xfId="0" applyNumberFormat="1" applyFont="1" applyFill="1" applyBorder="1" applyAlignment="1">
      <alignment horizontal="left" vertical="center"/>
    </xf>
    <xf numFmtId="1" fontId="11" fillId="12" borderId="11" xfId="0" applyNumberFormat="1" applyFont="1" applyFill="1" applyBorder="1" applyAlignment="1">
      <alignment vertical="center" wrapText="1"/>
    </xf>
    <xf numFmtId="167" fontId="12" fillId="12" borderId="11" xfId="0" applyNumberFormat="1" applyFont="1" applyFill="1" applyBorder="1" applyAlignment="1">
      <alignment horizontal="left" vertical="center"/>
    </xf>
    <xf numFmtId="0" fontId="14" fillId="12" borderId="11" xfId="0" applyFont="1" applyFill="1" applyBorder="1"/>
    <xf numFmtId="0" fontId="14" fillId="12" borderId="12" xfId="0" applyFont="1" applyFill="1" applyBorder="1" applyAlignment="1">
      <alignment horizontal="justify"/>
    </xf>
    <xf numFmtId="0" fontId="12" fillId="7" borderId="13" xfId="0" applyFont="1" applyFill="1" applyBorder="1" applyAlignment="1">
      <alignment horizontal="center" vertical="center"/>
    </xf>
    <xf numFmtId="0" fontId="12" fillId="7" borderId="0" xfId="0" applyFont="1" applyFill="1" applyAlignment="1">
      <alignment horizontal="center" vertical="center"/>
    </xf>
    <xf numFmtId="0" fontId="12" fillId="7" borderId="1" xfId="0" applyFont="1" applyFill="1" applyBorder="1" applyAlignment="1">
      <alignment horizontal="center" vertical="center"/>
    </xf>
    <xf numFmtId="0" fontId="11" fillId="7" borderId="1" xfId="0" applyFont="1" applyFill="1" applyBorder="1" applyAlignment="1">
      <alignment horizontal="center" vertical="center"/>
    </xf>
    <xf numFmtId="43" fontId="11" fillId="0" borderId="2" xfId="6" applyFont="1" applyFill="1" applyBorder="1" applyAlignment="1">
      <alignment horizontal="center" vertical="center"/>
    </xf>
    <xf numFmtId="43" fontId="11" fillId="0" borderId="14" xfId="6" applyFont="1" applyFill="1" applyBorder="1" applyAlignment="1">
      <alignment horizontal="center" vertical="center" wrapText="1"/>
    </xf>
    <xf numFmtId="0" fontId="14" fillId="0" borderId="0" xfId="0" applyFont="1" applyAlignment="1">
      <alignment wrapText="1"/>
    </xf>
    <xf numFmtId="1" fontId="12" fillId="7" borderId="13" xfId="0" applyNumberFormat="1" applyFont="1" applyFill="1" applyBorder="1" applyAlignment="1">
      <alignment horizontal="justify" vertical="center"/>
    </xf>
    <xf numFmtId="1" fontId="12" fillId="7" borderId="0" xfId="0" applyNumberFormat="1" applyFont="1" applyFill="1" applyAlignment="1">
      <alignment horizontal="justify" vertical="center"/>
    </xf>
    <xf numFmtId="1" fontId="12" fillId="7" borderId="1" xfId="0" applyNumberFormat="1" applyFont="1" applyFill="1" applyBorder="1" applyAlignment="1">
      <alignment horizontal="justify" vertical="center"/>
    </xf>
    <xf numFmtId="1" fontId="12" fillId="12" borderId="5" xfId="0" applyNumberFormat="1" applyFont="1" applyFill="1" applyBorder="1" applyAlignment="1">
      <alignment horizontal="justify" vertical="center"/>
    </xf>
    <xf numFmtId="43" fontId="12" fillId="12" borderId="2" xfId="6" applyFont="1" applyFill="1" applyBorder="1" applyAlignment="1">
      <alignment horizontal="justify" vertical="center"/>
    </xf>
    <xf numFmtId="0" fontId="14" fillId="12" borderId="12" xfId="0" applyFont="1" applyFill="1" applyBorder="1" applyAlignment="1">
      <alignment horizontal="center" vertical="center"/>
    </xf>
    <xf numFmtId="1" fontId="11" fillId="7" borderId="13" xfId="0" applyNumberFormat="1" applyFont="1" applyFill="1" applyBorder="1" applyAlignment="1">
      <alignment horizontal="justify" vertical="center"/>
    </xf>
    <xf numFmtId="1" fontId="11" fillId="7" borderId="0" xfId="0" applyNumberFormat="1" applyFont="1" applyFill="1" applyAlignment="1">
      <alignment horizontal="justify" vertical="center"/>
    </xf>
    <xf numFmtId="0" fontId="11" fillId="7" borderId="13" xfId="0" applyFont="1" applyFill="1" applyBorder="1" applyAlignment="1">
      <alignment horizontal="justify" vertical="center"/>
    </xf>
    <xf numFmtId="0" fontId="11" fillId="7" borderId="8" xfId="0" applyFont="1" applyFill="1" applyBorder="1" applyAlignment="1">
      <alignment horizontal="justify" vertical="center"/>
    </xf>
    <xf numFmtId="0" fontId="11" fillId="7" borderId="5" xfId="0" applyFont="1" applyFill="1" applyBorder="1" applyAlignment="1">
      <alignment horizontal="justify" vertical="center"/>
    </xf>
    <xf numFmtId="0" fontId="11" fillId="7" borderId="6" xfId="0" applyFont="1" applyFill="1" applyBorder="1" applyAlignment="1">
      <alignment horizontal="justify" vertical="center"/>
    </xf>
    <xf numFmtId="0" fontId="11" fillId="0" borderId="4" xfId="0" applyFont="1" applyBorder="1" applyAlignment="1">
      <alignment horizontal="center" vertical="center"/>
    </xf>
    <xf numFmtId="0" fontId="11" fillId="7" borderId="15" xfId="0" applyFont="1" applyFill="1" applyBorder="1" applyAlignment="1">
      <alignment horizontal="justify" vertical="center"/>
    </xf>
    <xf numFmtId="2" fontId="11" fillId="7" borderId="14" xfId="5" applyNumberFormat="1" applyFont="1" applyFill="1" applyBorder="1" applyAlignment="1">
      <alignment horizontal="center" vertical="center"/>
    </xf>
    <xf numFmtId="0" fontId="11" fillId="0" borderId="15" xfId="0" applyFont="1" applyBorder="1" applyAlignment="1">
      <alignment horizontal="justify" vertical="center"/>
    </xf>
    <xf numFmtId="43" fontId="11" fillId="0" borderId="15" xfId="6" applyFont="1" applyBorder="1" applyAlignment="1">
      <alignment horizontal="center" vertical="center"/>
    </xf>
    <xf numFmtId="0" fontId="11" fillId="7" borderId="1" xfId="0" applyFont="1" applyFill="1" applyBorder="1" applyAlignment="1">
      <alignment horizontal="justify" vertical="center"/>
    </xf>
    <xf numFmtId="0" fontId="11" fillId="0" borderId="12" xfId="0" applyFont="1" applyBorder="1" applyAlignment="1">
      <alignment horizontal="center" vertical="center"/>
    </xf>
    <xf numFmtId="2" fontId="11" fillId="7" borderId="9" xfId="5" applyNumberFormat="1" applyFont="1" applyFill="1" applyBorder="1" applyAlignment="1">
      <alignment horizontal="center" vertical="center"/>
    </xf>
    <xf numFmtId="43" fontId="11" fillId="0" borderId="2" xfId="6" applyFont="1" applyBorder="1" applyAlignment="1">
      <alignment horizontal="center" vertical="center"/>
    </xf>
    <xf numFmtId="0" fontId="11" fillId="0" borderId="6" xfId="0" applyFont="1" applyBorder="1" applyAlignment="1">
      <alignment horizontal="center" vertical="center"/>
    </xf>
    <xf numFmtId="0" fontId="11" fillId="7" borderId="9" xfId="0" applyFont="1" applyFill="1" applyBorder="1" applyAlignment="1">
      <alignment horizontal="justify" vertical="center"/>
    </xf>
    <xf numFmtId="0" fontId="11" fillId="0" borderId="9" xfId="0" applyFont="1" applyBorder="1" applyAlignment="1">
      <alignment horizontal="left" vertical="center" wrapText="1"/>
    </xf>
    <xf numFmtId="43" fontId="11" fillId="0" borderId="9" xfId="6" applyFont="1" applyFill="1" applyBorder="1" applyAlignment="1">
      <alignment horizontal="center" vertical="center" wrapText="1"/>
    </xf>
    <xf numFmtId="0" fontId="11" fillId="7" borderId="7" xfId="0" applyFont="1" applyFill="1" applyBorder="1" applyAlignment="1">
      <alignment horizontal="justify" vertical="center"/>
    </xf>
    <xf numFmtId="0" fontId="11" fillId="7" borderId="3" xfId="0" applyFont="1" applyFill="1" applyBorder="1" applyAlignment="1">
      <alignment horizontal="justify" vertical="center"/>
    </xf>
    <xf numFmtId="0" fontId="11" fillId="7" borderId="4" xfId="0" applyFont="1" applyFill="1" applyBorder="1" applyAlignment="1">
      <alignment horizontal="justify" vertical="center"/>
    </xf>
    <xf numFmtId="1" fontId="11" fillId="7" borderId="8" xfId="0" applyNumberFormat="1" applyFont="1" applyFill="1" applyBorder="1" applyAlignment="1">
      <alignment horizontal="center" vertical="center"/>
    </xf>
    <xf numFmtId="1" fontId="14" fillId="0" borderId="9" xfId="0" applyNumberFormat="1" applyFont="1" applyBorder="1" applyAlignment="1">
      <alignment horizontal="center" vertical="center"/>
    </xf>
    <xf numFmtId="0" fontId="14" fillId="0" borderId="9" xfId="0" applyFont="1" applyBorder="1" applyAlignment="1">
      <alignment horizontal="center" vertical="center"/>
    </xf>
    <xf numFmtId="14" fontId="14" fillId="0" borderId="9" xfId="0" applyNumberFormat="1" applyFont="1" applyBorder="1" applyAlignment="1">
      <alignment vertical="center" wrapText="1"/>
    </xf>
    <xf numFmtId="0" fontId="14" fillId="0" borderId="9" xfId="0" applyFont="1" applyBorder="1" applyAlignment="1">
      <alignment horizontal="center" vertical="center" wrapText="1"/>
    </xf>
    <xf numFmtId="0" fontId="12" fillId="11" borderId="0" xfId="0" applyFont="1" applyFill="1" applyAlignment="1">
      <alignment horizontal="left" vertical="center"/>
    </xf>
    <xf numFmtId="169" fontId="12" fillId="11" borderId="5" xfId="0" applyNumberFormat="1" applyFont="1" applyFill="1" applyBorder="1" applyAlignment="1">
      <alignment horizontal="center" vertical="center"/>
    </xf>
    <xf numFmtId="43" fontId="12" fillId="11" borderId="5" xfId="6" applyFont="1" applyFill="1" applyBorder="1" applyAlignment="1">
      <alignment vertical="center"/>
    </xf>
    <xf numFmtId="43" fontId="12" fillId="11" borderId="5" xfId="6" applyFont="1" applyFill="1" applyBorder="1" applyAlignment="1">
      <alignment horizontal="justify" vertical="center"/>
    </xf>
    <xf numFmtId="167" fontId="12" fillId="11" borderId="5" xfId="0" applyNumberFormat="1" applyFont="1" applyFill="1" applyBorder="1" applyAlignment="1">
      <alignment horizontal="center" vertical="center"/>
    </xf>
    <xf numFmtId="0" fontId="14" fillId="11" borderId="6" xfId="0" applyFont="1" applyFill="1" applyBorder="1" applyAlignment="1">
      <alignment horizontal="center" vertical="center"/>
    </xf>
    <xf numFmtId="0" fontId="8" fillId="0" borderId="13" xfId="0" applyFont="1" applyBorder="1" applyAlignment="1">
      <alignment vertical="center"/>
    </xf>
    <xf numFmtId="0" fontId="12" fillId="7" borderId="0" xfId="0" applyFont="1" applyFill="1" applyAlignment="1">
      <alignment horizontal="justify" vertical="center"/>
    </xf>
    <xf numFmtId="0" fontId="12" fillId="7" borderId="8" xfId="0" applyFont="1" applyFill="1" applyBorder="1" applyAlignment="1">
      <alignment horizontal="justify" vertical="center"/>
    </xf>
    <xf numFmtId="0" fontId="12" fillId="7" borderId="5" xfId="0" applyFont="1" applyFill="1" applyBorder="1" applyAlignment="1">
      <alignment horizontal="justify" vertical="center"/>
    </xf>
    <xf numFmtId="0" fontId="12" fillId="7" borderId="6" xfId="0" applyFont="1" applyFill="1" applyBorder="1" applyAlignment="1">
      <alignment horizontal="justify" vertical="center"/>
    </xf>
    <xf numFmtId="1" fontId="12" fillId="12" borderId="11" xfId="0" applyNumberFormat="1" applyFont="1" applyFill="1" applyBorder="1" applyAlignment="1">
      <alignment horizontal="justify" vertical="center"/>
    </xf>
    <xf numFmtId="0" fontId="12" fillId="7" borderId="13" xfId="0" applyFont="1" applyFill="1" applyBorder="1" applyAlignment="1">
      <alignment horizontal="justify" vertical="center"/>
    </xf>
    <xf numFmtId="0" fontId="12" fillId="7" borderId="1" xfId="0" applyFont="1" applyFill="1" applyBorder="1" applyAlignment="1">
      <alignment horizontal="justify" vertical="center"/>
    </xf>
    <xf numFmtId="0" fontId="11" fillId="7" borderId="14" xfId="0" applyFont="1" applyFill="1" applyBorder="1" applyAlignment="1">
      <alignment horizontal="center"/>
    </xf>
    <xf numFmtId="0" fontId="11" fillId="0" borderId="14" xfId="0" applyFont="1" applyBorder="1" applyAlignment="1">
      <alignment horizontal="justify" vertical="center"/>
    </xf>
    <xf numFmtId="43" fontId="11" fillId="0" borderId="14" xfId="6" applyFont="1" applyBorder="1" applyAlignment="1">
      <alignment horizontal="justify" vertical="center"/>
    </xf>
    <xf numFmtId="43" fontId="11" fillId="0" borderId="2" xfId="6" applyFont="1" applyBorder="1" applyAlignment="1">
      <alignment horizontal="justify" vertical="center"/>
    </xf>
    <xf numFmtId="0" fontId="14" fillId="0" borderId="13" xfId="0" applyFont="1" applyBorder="1"/>
    <xf numFmtId="43" fontId="11" fillId="0" borderId="9" xfId="6" applyFont="1" applyBorder="1" applyAlignment="1">
      <alignment horizontal="justify" vertical="center"/>
    </xf>
    <xf numFmtId="0" fontId="12" fillId="7" borderId="13" xfId="0" applyFont="1" applyFill="1" applyBorder="1" applyAlignment="1">
      <alignment vertical="center"/>
    </xf>
    <xf numFmtId="0" fontId="12" fillId="7" borderId="0" xfId="0" applyFont="1" applyFill="1" applyAlignment="1">
      <alignment vertical="center"/>
    </xf>
    <xf numFmtId="0" fontId="12" fillId="7" borderId="1" xfId="0" applyFont="1" applyFill="1" applyBorder="1" applyAlignment="1">
      <alignment vertical="center"/>
    </xf>
    <xf numFmtId="10" fontId="11" fillId="0" borderId="13" xfId="5" applyNumberFormat="1" applyFont="1" applyBorder="1" applyAlignment="1">
      <alignment horizontal="center" vertical="center"/>
    </xf>
    <xf numFmtId="14" fontId="14" fillId="0" borderId="14" xfId="0" applyNumberFormat="1" applyFont="1" applyBorder="1" applyAlignment="1">
      <alignment vertical="center"/>
    </xf>
    <xf numFmtId="10" fontId="11" fillId="0" borderId="10" xfId="5" applyNumberFormat="1" applyFont="1" applyBorder="1" applyAlignment="1">
      <alignment horizontal="center" vertical="center"/>
    </xf>
    <xf numFmtId="0" fontId="14" fillId="0" borderId="14" xfId="0" applyFont="1" applyBorder="1" applyAlignment="1">
      <alignment vertical="center"/>
    </xf>
    <xf numFmtId="4" fontId="11" fillId="0" borderId="10" xfId="5" applyNumberFormat="1" applyFont="1" applyBorder="1" applyAlignment="1">
      <alignment horizontal="center" vertical="center"/>
    </xf>
    <xf numFmtId="10" fontId="11" fillId="0" borderId="8" xfId="5" applyNumberFormat="1" applyFont="1" applyBorder="1" applyAlignment="1">
      <alignment horizontal="center" vertical="center"/>
    </xf>
    <xf numFmtId="43" fontId="11" fillId="0" borderId="9" xfId="6" applyFont="1" applyFill="1" applyBorder="1" applyAlignment="1">
      <alignment horizontal="justify" vertical="center"/>
    </xf>
    <xf numFmtId="3" fontId="11" fillId="0" borderId="7" xfId="0" applyNumberFormat="1" applyFont="1" applyBorder="1" applyAlignment="1">
      <alignment horizontal="center" vertical="center"/>
    </xf>
    <xf numFmtId="9" fontId="11" fillId="7" borderId="7" xfId="5" applyFont="1" applyFill="1" applyBorder="1" applyAlignment="1">
      <alignment horizontal="center" vertical="center"/>
    </xf>
    <xf numFmtId="0" fontId="11" fillId="7" borderId="9" xfId="0" applyFont="1" applyFill="1" applyBorder="1" applyAlignment="1">
      <alignment horizontal="left" vertical="center" wrapText="1"/>
    </xf>
    <xf numFmtId="3" fontId="11" fillId="0" borderId="8" xfId="0" applyNumberFormat="1" applyFont="1" applyBorder="1" applyAlignment="1">
      <alignment horizontal="center" vertical="center"/>
    </xf>
    <xf numFmtId="9" fontId="11" fillId="7" borderId="8" xfId="5" applyFont="1" applyFill="1" applyBorder="1" applyAlignment="1">
      <alignment horizontal="center" vertical="center"/>
    </xf>
    <xf numFmtId="0" fontId="11" fillId="7" borderId="13" xfId="0" applyFont="1" applyFill="1" applyBorder="1" applyAlignment="1">
      <alignment vertical="center"/>
    </xf>
    <xf numFmtId="0" fontId="11" fillId="7" borderId="0" xfId="0" applyFont="1" applyFill="1" applyAlignment="1">
      <alignment vertical="center"/>
    </xf>
    <xf numFmtId="0" fontId="11" fillId="7" borderId="1" xfId="0" applyFont="1" applyFill="1" applyBorder="1" applyAlignment="1">
      <alignment vertical="center"/>
    </xf>
    <xf numFmtId="0" fontId="11" fillId="7" borderId="7" xfId="0" applyFont="1" applyFill="1" applyBorder="1" applyAlignment="1">
      <alignment vertical="center"/>
    </xf>
    <xf numFmtId="0" fontId="11" fillId="7" borderId="3" xfId="0" applyFont="1" applyFill="1" applyBorder="1" applyAlignment="1">
      <alignment vertical="center"/>
    </xf>
    <xf numFmtId="0" fontId="11" fillId="7" borderId="4" xfId="0" applyFont="1" applyFill="1" applyBorder="1" applyAlignment="1">
      <alignment vertical="center"/>
    </xf>
    <xf numFmtId="1" fontId="12" fillId="7" borderId="13" xfId="0" applyNumberFormat="1" applyFont="1" applyFill="1" applyBorder="1" applyAlignment="1">
      <alignment vertical="center" wrapText="1"/>
    </xf>
    <xf numFmtId="1" fontId="12" fillId="7" borderId="0" xfId="0" applyNumberFormat="1" applyFont="1" applyFill="1" applyAlignment="1">
      <alignment vertical="center" wrapText="1"/>
    </xf>
    <xf numFmtId="1" fontId="12" fillId="7" borderId="1" xfId="0" applyNumberFormat="1" applyFont="1" applyFill="1" applyBorder="1" applyAlignment="1">
      <alignment vertical="center" wrapText="1"/>
    </xf>
    <xf numFmtId="169" fontId="12" fillId="11" borderId="11" xfId="0" applyNumberFormat="1" applyFont="1" applyFill="1" applyBorder="1" applyAlignment="1">
      <alignment horizontal="center" vertical="center"/>
    </xf>
    <xf numFmtId="43" fontId="12" fillId="11" borderId="11" xfId="6" applyFont="1" applyFill="1" applyBorder="1" applyAlignment="1">
      <alignment horizontal="justify" vertical="center"/>
    </xf>
    <xf numFmtId="167" fontId="12" fillId="11" borderId="11" xfId="0" applyNumberFormat="1" applyFont="1" applyFill="1" applyBorder="1" applyAlignment="1">
      <alignment horizontal="center" vertical="center"/>
    </xf>
    <xf numFmtId="0" fontId="14" fillId="11" borderId="11" xfId="0" applyFont="1" applyFill="1" applyBorder="1"/>
    <xf numFmtId="0" fontId="23" fillId="11" borderId="11" xfId="0" applyFont="1" applyFill="1" applyBorder="1"/>
    <xf numFmtId="0" fontId="14" fillId="9" borderId="11" xfId="0" applyFont="1" applyFill="1" applyBorder="1"/>
    <xf numFmtId="0" fontId="14" fillId="9" borderId="12" xfId="0" applyFont="1" applyFill="1" applyBorder="1" applyAlignment="1">
      <alignment horizontal="center" vertical="center"/>
    </xf>
    <xf numFmtId="1" fontId="12" fillId="12" borderId="3" xfId="0" applyNumberFormat="1" applyFont="1" applyFill="1" applyBorder="1" applyAlignment="1">
      <alignment horizontal="justify" vertical="center"/>
    </xf>
    <xf numFmtId="0" fontId="12" fillId="12" borderId="7" xfId="0" applyFont="1" applyFill="1" applyBorder="1" applyAlignment="1">
      <alignment horizontal="left" vertical="center"/>
    </xf>
    <xf numFmtId="0" fontId="12" fillId="12" borderId="3" xfId="0" applyFont="1" applyFill="1" applyBorder="1" applyAlignment="1">
      <alignment horizontal="left" vertical="center"/>
    </xf>
    <xf numFmtId="0" fontId="12" fillId="12" borderId="3" xfId="0" applyFont="1" applyFill="1" applyBorder="1" applyAlignment="1">
      <alignment horizontal="justify" vertical="center"/>
    </xf>
    <xf numFmtId="43" fontId="12" fillId="12" borderId="3" xfId="6" applyFont="1" applyFill="1" applyBorder="1" applyAlignment="1">
      <alignment vertical="center"/>
    </xf>
    <xf numFmtId="43" fontId="12" fillId="12" borderId="3" xfId="6" applyFont="1" applyFill="1" applyBorder="1" applyAlignment="1">
      <alignment horizontal="justify" vertical="center"/>
    </xf>
    <xf numFmtId="0" fontId="14" fillId="12" borderId="3" xfId="0" applyFont="1" applyFill="1" applyBorder="1"/>
    <xf numFmtId="0" fontId="23" fillId="12" borderId="3" xfId="0" applyFont="1" applyFill="1" applyBorder="1"/>
    <xf numFmtId="0" fontId="14" fillId="12" borderId="4" xfId="0" applyFont="1" applyFill="1" applyBorder="1" applyAlignment="1">
      <alignment horizontal="center" vertical="center"/>
    </xf>
    <xf numFmtId="43" fontId="11" fillId="0" borderId="15" xfId="6" applyFont="1" applyBorder="1" applyAlignment="1">
      <alignment horizontal="justify" vertical="center"/>
    </xf>
    <xf numFmtId="0" fontId="14" fillId="0" borderId="0" xfId="0" applyFont="1" applyAlignment="1">
      <alignment horizontal="center"/>
    </xf>
    <xf numFmtId="9" fontId="11" fillId="7" borderId="10" xfId="5" applyFont="1" applyFill="1" applyBorder="1" applyAlignment="1">
      <alignment horizontal="center" vertical="center"/>
    </xf>
    <xf numFmtId="166" fontId="11" fillId="0" borderId="2" xfId="0" applyNumberFormat="1" applyFont="1" applyBorder="1" applyAlignment="1">
      <alignment horizontal="justify" vertical="center"/>
    </xf>
    <xf numFmtId="1" fontId="12" fillId="7" borderId="13" xfId="0" applyNumberFormat="1" applyFont="1" applyFill="1" applyBorder="1" applyAlignment="1">
      <alignment vertical="center"/>
    </xf>
    <xf numFmtId="1" fontId="12" fillId="7" borderId="0" xfId="0" applyNumberFormat="1" applyFont="1" applyFill="1" applyAlignment="1">
      <alignment vertical="center"/>
    </xf>
    <xf numFmtId="1" fontId="12" fillId="7" borderId="1" xfId="0" applyNumberFormat="1" applyFont="1" applyFill="1" applyBorder="1" applyAlignment="1">
      <alignment vertical="center"/>
    </xf>
    <xf numFmtId="43" fontId="12" fillId="12" borderId="11" xfId="6" applyFont="1" applyFill="1" applyBorder="1" applyAlignment="1">
      <alignment horizontal="left" vertical="center"/>
    </xf>
    <xf numFmtId="0" fontId="11" fillId="7" borderId="9" xfId="0" applyFont="1" applyFill="1" applyBorder="1" applyAlignment="1">
      <alignment vertical="center" wrapText="1"/>
    </xf>
    <xf numFmtId="0" fontId="11" fillId="7" borderId="14" xfId="0" applyFont="1" applyFill="1" applyBorder="1" applyAlignment="1">
      <alignment vertical="center" wrapText="1"/>
    </xf>
    <xf numFmtId="43" fontId="11" fillId="0" borderId="9" xfId="6" applyFont="1" applyBorder="1" applyAlignment="1">
      <alignment horizontal="center" vertical="center"/>
    </xf>
    <xf numFmtId="0" fontId="11" fillId="7" borderId="0" xfId="0" applyFont="1" applyFill="1" applyBorder="1"/>
    <xf numFmtId="0" fontId="11" fillId="7" borderId="0" xfId="0" applyFont="1" applyFill="1" applyBorder="1" applyAlignment="1">
      <alignment horizontal="center"/>
    </xf>
    <xf numFmtId="0" fontId="12" fillId="11" borderId="0" xfId="0" applyFont="1" applyFill="1" applyAlignment="1">
      <alignment horizontal="center" vertical="center"/>
    </xf>
    <xf numFmtId="169" fontId="12" fillId="11" borderId="0" xfId="0" applyNumberFormat="1" applyFont="1" applyFill="1" applyAlignment="1">
      <alignment horizontal="center" vertical="center"/>
    </xf>
    <xf numFmtId="43" fontId="12" fillId="11" borderId="0" xfId="6" applyFont="1" applyFill="1" applyAlignment="1">
      <alignment vertical="center"/>
    </xf>
    <xf numFmtId="43" fontId="12" fillId="11" borderId="0" xfId="6" applyFont="1" applyFill="1" applyAlignment="1">
      <alignment horizontal="justify" vertical="center"/>
    </xf>
    <xf numFmtId="1" fontId="12" fillId="11" borderId="0" xfId="0" applyNumberFormat="1" applyFont="1" applyFill="1" applyAlignment="1">
      <alignment horizontal="center" vertical="center"/>
    </xf>
    <xf numFmtId="1" fontId="12" fillId="11" borderId="0" xfId="0" applyNumberFormat="1" applyFont="1" applyFill="1" applyAlignment="1">
      <alignment vertical="center"/>
    </xf>
    <xf numFmtId="1" fontId="14" fillId="11" borderId="0" xfId="0" applyNumberFormat="1" applyFont="1" applyFill="1"/>
    <xf numFmtId="0" fontId="14" fillId="9" borderId="0" xfId="0" applyFont="1" applyFill="1"/>
    <xf numFmtId="0" fontId="14" fillId="9" borderId="1" xfId="0" applyFont="1" applyFill="1" applyBorder="1" applyAlignment="1">
      <alignment horizontal="center" vertical="center"/>
    </xf>
    <xf numFmtId="0" fontId="12" fillId="7" borderId="8" xfId="0" applyFont="1" applyFill="1" applyBorder="1" applyAlignment="1">
      <alignment vertical="center" wrapText="1"/>
    </xf>
    <xf numFmtId="0" fontId="12" fillId="7" borderId="5" xfId="0" applyFont="1" applyFill="1" applyBorder="1" applyAlignment="1">
      <alignment vertical="center" wrapText="1"/>
    </xf>
    <xf numFmtId="0" fontId="12" fillId="7" borderId="6" xfId="0" applyFont="1" applyFill="1" applyBorder="1" applyAlignment="1">
      <alignment vertical="center" wrapText="1"/>
    </xf>
    <xf numFmtId="0" fontId="12" fillId="7" borderId="0" xfId="0" applyFont="1" applyFill="1" applyAlignment="1">
      <alignment vertical="center" wrapText="1"/>
    </xf>
    <xf numFmtId="0" fontId="11" fillId="7" borderId="14" xfId="0" applyFont="1" applyFill="1" applyBorder="1" applyAlignment="1">
      <alignment horizontal="justify" vertical="center"/>
    </xf>
    <xf numFmtId="0" fontId="11" fillId="7" borderId="14" xfId="0" applyFont="1" applyFill="1" applyBorder="1" applyAlignment="1">
      <alignment horizontal="justify"/>
    </xf>
    <xf numFmtId="1" fontId="11" fillId="7" borderId="13" xfId="0" applyNumberFormat="1" applyFont="1" applyFill="1" applyBorder="1" applyAlignment="1">
      <alignment horizontal="center" vertical="center"/>
    </xf>
    <xf numFmtId="1" fontId="14" fillId="0" borderId="14" xfId="0" applyNumberFormat="1" applyFont="1" applyBorder="1" applyAlignment="1">
      <alignment horizontal="center" vertical="center"/>
    </xf>
    <xf numFmtId="0" fontId="14" fillId="0" borderId="14" xfId="0" applyFont="1" applyBorder="1" applyAlignment="1">
      <alignment horizontal="center" vertical="center"/>
    </xf>
    <xf numFmtId="0" fontId="14" fillId="0" borderId="14" xfId="0" applyFont="1" applyBorder="1" applyAlignment="1">
      <alignment horizontal="center" vertical="center" wrapText="1"/>
    </xf>
    <xf numFmtId="9" fontId="11" fillId="0" borderId="14" xfId="9" applyFont="1" applyBorder="1" applyAlignment="1">
      <alignment horizontal="center" vertical="center"/>
    </xf>
    <xf numFmtId="174" fontId="12" fillId="12" borderId="11" xfId="0" applyNumberFormat="1" applyFont="1" applyFill="1" applyBorder="1" applyAlignment="1">
      <alignment horizontal="center" vertical="center"/>
    </xf>
    <xf numFmtId="1" fontId="12" fillId="11" borderId="5" xfId="0" applyNumberFormat="1" applyFont="1" applyFill="1" applyBorder="1" applyAlignment="1">
      <alignment horizontal="center" vertical="center"/>
    </xf>
    <xf numFmtId="0" fontId="12" fillId="7" borderId="5" xfId="0" applyFont="1" applyFill="1" applyBorder="1" applyAlignment="1">
      <alignment vertical="center"/>
    </xf>
    <xf numFmtId="0" fontId="12" fillId="7" borderId="6" xfId="0" applyFont="1" applyFill="1" applyBorder="1" applyAlignment="1">
      <alignment vertical="center"/>
    </xf>
    <xf numFmtId="0" fontId="12" fillId="12" borderId="11" xfId="0" applyFont="1" applyFill="1" applyBorder="1" applyAlignment="1">
      <alignment vertical="center" wrapText="1"/>
    </xf>
    <xf numFmtId="0" fontId="12" fillId="12" borderId="11" xfId="0" applyFont="1" applyFill="1" applyBorder="1" applyAlignment="1">
      <alignment horizontal="center" vertical="center" wrapText="1"/>
    </xf>
    <xf numFmtId="1" fontId="12" fillId="7" borderId="7" xfId="0" applyNumberFormat="1" applyFont="1" applyFill="1" applyBorder="1" applyAlignment="1">
      <alignment vertical="center"/>
    </xf>
    <xf numFmtId="1" fontId="12" fillId="7" borderId="3" xfId="0" applyNumberFormat="1" applyFont="1" applyFill="1" applyBorder="1" applyAlignment="1">
      <alignment vertical="center"/>
    </xf>
    <xf numFmtId="1" fontId="12" fillId="7" borderId="4" xfId="0" applyNumberFormat="1" applyFont="1" applyFill="1" applyBorder="1" applyAlignment="1">
      <alignment vertical="center"/>
    </xf>
    <xf numFmtId="0" fontId="12" fillId="7" borderId="3" xfId="0" applyFont="1" applyFill="1" applyBorder="1" applyAlignment="1">
      <alignment vertical="center"/>
    </xf>
    <xf numFmtId="0" fontId="12" fillId="7" borderId="4" xfId="0" applyFont="1" applyFill="1" applyBorder="1" applyAlignment="1">
      <alignment vertical="center"/>
    </xf>
    <xf numFmtId="0" fontId="11" fillId="7" borderId="3" xfId="0" applyFont="1" applyFill="1" applyBorder="1" applyAlignment="1">
      <alignment horizontal="justify"/>
    </xf>
    <xf numFmtId="1" fontId="11" fillId="7" borderId="7" xfId="0" applyNumberFormat="1" applyFont="1" applyFill="1" applyBorder="1" applyAlignment="1">
      <alignment horizontal="center" vertical="center"/>
    </xf>
    <xf numFmtId="1" fontId="14" fillId="0" borderId="15" xfId="0" applyNumberFormat="1" applyFont="1" applyBorder="1" applyAlignment="1">
      <alignment horizontal="center" vertical="center"/>
    </xf>
    <xf numFmtId="0" fontId="14" fillId="0" borderId="15" xfId="0" applyFont="1" applyBorder="1" applyAlignment="1">
      <alignment horizontal="center" vertical="center"/>
    </xf>
    <xf numFmtId="14" fontId="14" fillId="0" borderId="2" xfId="0" applyNumberFormat="1" applyFont="1" applyBorder="1" applyAlignment="1">
      <alignment vertical="center"/>
    </xf>
    <xf numFmtId="14" fontId="14" fillId="0" borderId="15" xfId="0" applyNumberFormat="1" applyFont="1" applyBorder="1" applyAlignment="1">
      <alignment vertical="center"/>
    </xf>
    <xf numFmtId="0" fontId="14" fillId="0" borderId="15" xfId="0" applyFont="1" applyBorder="1" applyAlignment="1">
      <alignment horizontal="center" vertical="center" wrapText="1"/>
    </xf>
    <xf numFmtId="0" fontId="12" fillId="7" borderId="2" xfId="0" applyFont="1" applyFill="1" applyBorder="1" applyAlignment="1">
      <alignment horizontal="justify" vertical="center"/>
    </xf>
    <xf numFmtId="0" fontId="12" fillId="7" borderId="2" xfId="0" applyFont="1" applyFill="1" applyBorder="1" applyAlignment="1">
      <alignment horizontal="center" vertical="center" wrapText="1"/>
    </xf>
    <xf numFmtId="9" fontId="12" fillId="7" borderId="2" xfId="5" applyFont="1" applyFill="1" applyBorder="1" applyAlignment="1">
      <alignment horizontal="center" vertical="center"/>
    </xf>
    <xf numFmtId="43" fontId="12" fillId="7" borderId="2" xfId="6" applyFont="1" applyFill="1" applyBorder="1" applyAlignment="1">
      <alignment horizontal="center" vertical="center"/>
    </xf>
    <xf numFmtId="166" fontId="12" fillId="7" borderId="2" xfId="0" applyNumberFormat="1" applyFont="1" applyFill="1" applyBorder="1" applyAlignment="1">
      <alignment horizontal="center" vertical="center"/>
    </xf>
    <xf numFmtId="14" fontId="22" fillId="0" borderId="2" xfId="0" applyNumberFormat="1" applyFont="1" applyBorder="1" applyAlignment="1">
      <alignment vertical="center"/>
    </xf>
    <xf numFmtId="0" fontId="22" fillId="0" borderId="2" xfId="0" applyFont="1" applyBorder="1" applyAlignment="1">
      <alignment horizontal="justify" vertical="center" wrapText="1"/>
    </xf>
    <xf numFmtId="0" fontId="22" fillId="0" borderId="0" xfId="0" applyFont="1"/>
    <xf numFmtId="169" fontId="11" fillId="0" borderId="0" xfId="0" applyNumberFormat="1" applyFont="1" applyAlignment="1">
      <alignment horizontal="center" vertical="center"/>
    </xf>
    <xf numFmtId="166" fontId="8" fillId="0" borderId="0" xfId="18" applyNumberFormat="1" applyFont="1" applyAlignment="1">
      <alignment horizontal="center" vertical="center"/>
    </xf>
    <xf numFmtId="166" fontId="11" fillId="0" borderId="0" xfId="0" applyNumberFormat="1" applyFont="1" applyAlignment="1">
      <alignment horizontal="center" vertical="center"/>
    </xf>
    <xf numFmtId="0" fontId="14" fillId="0" borderId="0" xfId="0" applyFont="1" applyAlignment="1">
      <alignment horizontal="justify"/>
    </xf>
    <xf numFmtId="3" fontId="11" fillId="0" borderId="0" xfId="0" applyNumberFormat="1" applyFont="1" applyAlignment="1">
      <alignment horizontal="right" vertical="center"/>
    </xf>
    <xf numFmtId="4" fontId="11" fillId="0" borderId="0" xfId="0" applyNumberFormat="1" applyFont="1" applyAlignment="1">
      <alignment horizontal="justify" vertical="center"/>
    </xf>
    <xf numFmtId="43" fontId="11" fillId="0" borderId="0" xfId="0" applyNumberFormat="1" applyFont="1" applyAlignment="1">
      <alignment horizontal="justify" vertical="center"/>
    </xf>
    <xf numFmtId="0" fontId="16" fillId="0" borderId="0" xfId="0" applyFont="1" applyAlignment="1">
      <alignment horizontal="justify"/>
    </xf>
    <xf numFmtId="0" fontId="12" fillId="0" borderId="0" xfId="0" applyFont="1" applyAlignment="1">
      <alignment wrapText="1"/>
    </xf>
    <xf numFmtId="42" fontId="16" fillId="0" borderId="0" xfId="18" applyFont="1" applyAlignment="1">
      <alignment horizontal="justify"/>
    </xf>
    <xf numFmtId="0" fontId="16" fillId="0" borderId="0" xfId="0" applyFont="1"/>
    <xf numFmtId="0" fontId="11" fillId="0" borderId="0" xfId="0" applyFont="1" applyAlignment="1">
      <alignment horizontal="left"/>
    </xf>
    <xf numFmtId="166" fontId="11" fillId="0" borderId="0" xfId="0" applyNumberFormat="1" applyFont="1" applyAlignment="1">
      <alignment horizontal="justify"/>
    </xf>
    <xf numFmtId="42" fontId="11" fillId="0" borderId="0" xfId="18" applyFont="1" applyAlignment="1">
      <alignment horizontal="justify"/>
    </xf>
    <xf numFmtId="0" fontId="11" fillId="0" borderId="3" xfId="0" applyFont="1" applyBorder="1" applyAlignment="1">
      <alignment horizontal="center"/>
    </xf>
    <xf numFmtId="0" fontId="24" fillId="0" borderId="26" xfId="0" applyFont="1" applyBorder="1"/>
    <xf numFmtId="173" fontId="24" fillId="0" borderId="18" xfId="0" applyNumberFormat="1" applyFont="1" applyBorder="1" applyAlignment="1">
      <alignment horizontal="left"/>
    </xf>
    <xf numFmtId="17" fontId="24" fillId="0" borderId="18" xfId="0" applyNumberFormat="1" applyFont="1" applyBorder="1" applyAlignment="1">
      <alignment horizontal="left"/>
    </xf>
    <xf numFmtId="3" fontId="24" fillId="2" borderId="18" xfId="0" applyNumberFormat="1" applyFont="1" applyFill="1" applyBorder="1" applyAlignment="1">
      <alignment horizontal="left" vertical="center" wrapText="1"/>
    </xf>
    <xf numFmtId="0" fontId="11" fillId="0" borderId="3" xfId="0" applyFont="1" applyBorder="1" applyAlignment="1">
      <alignment vertical="center"/>
    </xf>
    <xf numFmtId="43" fontId="11" fillId="0" borderId="3" xfId="6" applyFont="1" applyBorder="1" applyAlignment="1">
      <alignment vertical="center"/>
    </xf>
    <xf numFmtId="174" fontId="12" fillId="0" borderId="3" xfId="6" applyNumberFormat="1" applyFont="1" applyBorder="1" applyAlignment="1">
      <alignment horizontal="center" vertical="center"/>
    </xf>
    <xf numFmtId="14" fontId="12" fillId="0" borderId="3" xfId="0" applyNumberFormat="1" applyFont="1" applyBorder="1" applyAlignment="1">
      <alignment vertical="center"/>
    </xf>
    <xf numFmtId="0" fontId="11" fillId="0" borderId="30" xfId="0" applyFont="1" applyBorder="1" applyAlignment="1">
      <alignment vertical="center"/>
    </xf>
    <xf numFmtId="0" fontId="7" fillId="8" borderId="10" xfId="0" applyFont="1" applyFill="1" applyBorder="1" applyAlignment="1">
      <alignment horizontal="center" vertical="center" textRotation="90" wrapText="1"/>
    </xf>
    <xf numFmtId="1" fontId="12" fillId="10" borderId="43" xfId="0" applyNumberFormat="1" applyFont="1" applyFill="1" applyBorder="1" applyAlignment="1">
      <alignment horizontal="center" vertical="center" wrapText="1"/>
    </xf>
    <xf numFmtId="0" fontId="11" fillId="10" borderId="11" xfId="0" applyFont="1" applyFill="1" applyBorder="1" applyAlignment="1">
      <alignment horizontal="center" vertical="center"/>
    </xf>
    <xf numFmtId="43" fontId="11" fillId="10" borderId="11" xfId="6" applyFont="1" applyFill="1" applyBorder="1" applyAlignment="1">
      <alignment vertical="center"/>
    </xf>
    <xf numFmtId="166" fontId="12" fillId="10" borderId="11" xfId="0" applyNumberFormat="1" applyFont="1" applyFill="1" applyBorder="1" applyAlignment="1">
      <alignment horizontal="center" vertical="center"/>
    </xf>
    <xf numFmtId="174" fontId="11" fillId="10" borderId="11" xfId="6" applyNumberFormat="1" applyFont="1" applyFill="1" applyBorder="1" applyAlignment="1">
      <alignment vertical="center"/>
    </xf>
    <xf numFmtId="174" fontId="12" fillId="10" borderId="11" xfId="6" applyNumberFormat="1" applyFont="1" applyFill="1" applyBorder="1" applyAlignment="1">
      <alignment vertical="center"/>
    </xf>
    <xf numFmtId="14" fontId="12" fillId="10" borderId="11" xfId="0" applyNumberFormat="1" applyFont="1" applyFill="1" applyBorder="1" applyAlignment="1">
      <alignment vertical="center"/>
    </xf>
    <xf numFmtId="0" fontId="11" fillId="10" borderId="35" xfId="0" applyFont="1" applyFill="1" applyBorder="1" applyAlignment="1">
      <alignment horizontal="justify" vertical="center"/>
    </xf>
    <xf numFmtId="1" fontId="12" fillId="11" borderId="12" xfId="0" applyNumberFormat="1" applyFont="1" applyFill="1" applyBorder="1" applyAlignment="1">
      <alignment horizontal="center" vertical="center"/>
    </xf>
    <xf numFmtId="0" fontId="11" fillId="11" borderId="3" xfId="0" applyFont="1" applyFill="1" applyBorder="1" applyAlignment="1">
      <alignment horizontal="center" vertical="center"/>
    </xf>
    <xf numFmtId="43" fontId="11" fillId="11" borderId="3" xfId="6" applyFont="1" applyFill="1" applyBorder="1" applyAlignment="1">
      <alignment vertical="center"/>
    </xf>
    <xf numFmtId="166" fontId="12" fillId="11" borderId="3" xfId="0" applyNumberFormat="1" applyFont="1" applyFill="1" applyBorder="1" applyAlignment="1">
      <alignment horizontal="center" vertical="center"/>
    </xf>
    <xf numFmtId="174" fontId="11" fillId="11" borderId="3" xfId="6" applyNumberFormat="1" applyFont="1" applyFill="1" applyBorder="1" applyAlignment="1">
      <alignment vertical="center"/>
    </xf>
    <xf numFmtId="174" fontId="12" fillId="11" borderId="3" xfId="6" applyNumberFormat="1" applyFont="1" applyFill="1" applyBorder="1" applyAlignment="1">
      <alignment vertical="center"/>
    </xf>
    <xf numFmtId="14" fontId="12" fillId="11" borderId="3" xfId="0" applyNumberFormat="1" applyFont="1" applyFill="1" applyBorder="1" applyAlignment="1">
      <alignment vertical="center"/>
    </xf>
    <xf numFmtId="0" fontId="11" fillId="11" borderId="30" xfId="0" applyFont="1" applyFill="1" applyBorder="1" applyAlignment="1">
      <alignment horizontal="justify" vertical="center"/>
    </xf>
    <xf numFmtId="1" fontId="12" fillId="12" borderId="12" xfId="0" applyNumberFormat="1" applyFont="1" applyFill="1" applyBorder="1" applyAlignment="1">
      <alignment horizontal="center" vertical="center" wrapText="1"/>
    </xf>
    <xf numFmtId="43" fontId="11" fillId="12" borderId="11" xfId="6" applyFont="1" applyFill="1" applyBorder="1" applyAlignment="1">
      <alignment vertical="center"/>
    </xf>
    <xf numFmtId="166" fontId="12" fillId="12" borderId="11" xfId="0" applyNumberFormat="1" applyFont="1" applyFill="1" applyBorder="1" applyAlignment="1">
      <alignment horizontal="center" vertical="center"/>
    </xf>
    <xf numFmtId="174" fontId="11" fillId="12" borderId="11" xfId="6" applyNumberFormat="1" applyFont="1" applyFill="1" applyBorder="1" applyAlignment="1">
      <alignment vertical="center"/>
    </xf>
    <xf numFmtId="174" fontId="12" fillId="12" borderId="11" xfId="6" applyNumberFormat="1" applyFont="1" applyFill="1" applyBorder="1" applyAlignment="1">
      <alignment vertical="center"/>
    </xf>
    <xf numFmtId="14" fontId="12" fillId="12" borderId="11" xfId="0" applyNumberFormat="1" applyFont="1" applyFill="1" applyBorder="1" applyAlignment="1">
      <alignment vertical="center"/>
    </xf>
    <xf numFmtId="0" fontId="11" fillId="12" borderId="35" xfId="0" applyFont="1" applyFill="1" applyBorder="1" applyAlignment="1">
      <alignment horizontal="justify" vertical="center"/>
    </xf>
    <xf numFmtId="1" fontId="12" fillId="7" borderId="9" xfId="0" applyNumberFormat="1" applyFont="1" applyFill="1" applyBorder="1" applyAlignment="1">
      <alignment horizontal="center" vertical="center" wrapText="1"/>
    </xf>
    <xf numFmtId="1" fontId="12" fillId="7" borderId="14" xfId="0" applyNumberFormat="1" applyFont="1" applyFill="1" applyBorder="1" applyAlignment="1">
      <alignment horizontal="center" vertical="center" wrapText="1"/>
    </xf>
    <xf numFmtId="1" fontId="12" fillId="7" borderId="15" xfId="0" applyNumberFormat="1" applyFont="1" applyFill="1" applyBorder="1" applyAlignment="1">
      <alignment horizontal="center" vertical="center" wrapText="1"/>
    </xf>
    <xf numFmtId="43" fontId="12" fillId="12" borderId="2" xfId="6" applyFont="1" applyFill="1" applyBorder="1" applyAlignment="1">
      <alignment horizontal="center" vertical="center"/>
    </xf>
    <xf numFmtId="14" fontId="11" fillId="12" borderId="11" xfId="0" applyNumberFormat="1" applyFont="1" applyFill="1" applyBorder="1" applyAlignment="1">
      <alignment vertical="center"/>
    </xf>
    <xf numFmtId="0" fontId="11" fillId="12" borderId="35" xfId="0" applyFont="1" applyFill="1" applyBorder="1" applyAlignment="1">
      <alignment horizontal="justify" vertical="center" wrapText="1"/>
    </xf>
    <xf numFmtId="14" fontId="11" fillId="11" borderId="3" xfId="0" applyNumberFormat="1" applyFont="1" applyFill="1" applyBorder="1" applyAlignment="1">
      <alignment vertical="center"/>
    </xf>
    <xf numFmtId="0" fontId="11" fillId="11" borderId="30" xfId="0" applyFont="1" applyFill="1" applyBorder="1" applyAlignment="1">
      <alignment horizontal="justify" vertical="center" wrapText="1"/>
    </xf>
    <xf numFmtId="14" fontId="11" fillId="7" borderId="9" xfId="0" applyNumberFormat="1" applyFont="1" applyFill="1" applyBorder="1" applyAlignment="1">
      <alignment horizontal="center" vertical="center" wrapText="1"/>
    </xf>
    <xf numFmtId="14" fontId="11" fillId="7" borderId="14" xfId="0" applyNumberFormat="1" applyFont="1" applyFill="1" applyBorder="1" applyAlignment="1">
      <alignment horizontal="center" vertical="center" wrapText="1"/>
    </xf>
    <xf numFmtId="14" fontId="11" fillId="7" borderId="15" xfId="0" applyNumberFormat="1" applyFont="1" applyFill="1" applyBorder="1" applyAlignment="1">
      <alignment horizontal="center" vertical="center" wrapText="1"/>
    </xf>
    <xf numFmtId="0" fontId="11" fillId="7" borderId="9" xfId="0" applyFont="1" applyFill="1" applyBorder="1" applyAlignment="1">
      <alignment horizontal="center"/>
    </xf>
    <xf numFmtId="0" fontId="11" fillId="12" borderId="3" xfId="0" applyFont="1" applyFill="1" applyBorder="1" applyAlignment="1">
      <alignment horizontal="center" vertical="center"/>
    </xf>
    <xf numFmtId="169" fontId="12" fillId="12" borderId="3" xfId="0" applyNumberFormat="1" applyFont="1" applyFill="1" applyBorder="1" applyAlignment="1">
      <alignment horizontal="center" vertical="center"/>
    </xf>
    <xf numFmtId="43" fontId="11" fillId="12" borderId="3" xfId="6" applyFont="1" applyFill="1" applyBorder="1" applyAlignment="1">
      <alignment vertical="center"/>
    </xf>
    <xf numFmtId="174" fontId="11" fillId="12" borderId="3" xfId="6" applyNumberFormat="1" applyFont="1" applyFill="1" applyBorder="1" applyAlignment="1">
      <alignment vertical="center"/>
    </xf>
    <xf numFmtId="14" fontId="11" fillId="12" borderId="3" xfId="0" applyNumberFormat="1" applyFont="1" applyFill="1" applyBorder="1" applyAlignment="1">
      <alignment vertical="center"/>
    </xf>
    <xf numFmtId="0" fontId="11" fillId="12" borderId="30" xfId="0" applyFont="1" applyFill="1" applyBorder="1" applyAlignment="1">
      <alignment horizontal="justify" vertical="center" wrapText="1"/>
    </xf>
    <xf numFmtId="1" fontId="11" fillId="0" borderId="19" xfId="0" applyNumberFormat="1" applyFont="1" applyBorder="1"/>
    <xf numFmtId="0" fontId="11" fillId="7" borderId="20" xfId="0" applyFont="1" applyFill="1" applyBorder="1"/>
    <xf numFmtId="0" fontId="11" fillId="7" borderId="20" xfId="0" applyFont="1" applyFill="1" applyBorder="1" applyAlignment="1">
      <alignment horizontal="center"/>
    </xf>
    <xf numFmtId="0" fontId="7" fillId="7" borderId="20" xfId="0" applyFont="1" applyFill="1" applyBorder="1" applyAlignment="1">
      <alignment horizontal="justify" vertical="center"/>
    </xf>
    <xf numFmtId="169" fontId="11" fillId="7" borderId="21" xfId="0" applyNumberFormat="1" applyFont="1" applyFill="1" applyBorder="1" applyAlignment="1">
      <alignment horizontal="center" vertical="center"/>
    </xf>
    <xf numFmtId="43" fontId="12" fillId="0" borderId="22" xfId="6" applyFont="1" applyBorder="1" applyAlignment="1">
      <alignment horizontal="center" vertical="center"/>
    </xf>
    <xf numFmtId="43" fontId="12" fillId="0" borderId="50" xfId="6" applyFont="1" applyBorder="1" applyAlignment="1">
      <alignment horizontal="center" vertical="center"/>
    </xf>
    <xf numFmtId="174" fontId="11" fillId="0" borderId="20" xfId="6" applyNumberFormat="1" applyFont="1" applyBorder="1"/>
    <xf numFmtId="14" fontId="11" fillId="0" borderId="20" xfId="0" applyNumberFormat="1" applyFont="1" applyBorder="1" applyAlignment="1">
      <alignment horizontal="right" vertical="center"/>
    </xf>
    <xf numFmtId="43" fontId="11" fillId="7" borderId="0" xfId="6" applyFont="1" applyFill="1" applyAlignment="1">
      <alignment vertical="center"/>
    </xf>
    <xf numFmtId="174" fontId="11" fillId="0" borderId="0" xfId="6" applyNumberFormat="1" applyFont="1"/>
    <xf numFmtId="14" fontId="11" fillId="0" borderId="0" xfId="0" applyNumberFormat="1" applyFont="1" applyAlignment="1">
      <alignment horizontal="right" vertical="center"/>
    </xf>
    <xf numFmtId="0" fontId="11" fillId="0" borderId="3" xfId="0" applyFont="1" applyBorder="1"/>
    <xf numFmtId="166" fontId="11" fillId="7" borderId="0" xfId="0" applyNumberFormat="1" applyFont="1" applyFill="1" applyAlignment="1">
      <alignment horizontal="center" vertical="center"/>
    </xf>
    <xf numFmtId="0" fontId="12" fillId="0" borderId="3" xfId="0" applyFont="1" applyBorder="1" applyAlignment="1">
      <alignment horizontal="justify" vertical="center"/>
    </xf>
    <xf numFmtId="0" fontId="12" fillId="0" borderId="11" xfId="0" applyFont="1" applyBorder="1" applyAlignment="1">
      <alignment horizontal="center" vertical="center"/>
    </xf>
    <xf numFmtId="0" fontId="11" fillId="0" borderId="0" xfId="0" applyFont="1" applyAlignment="1">
      <alignment horizontal="justify" vertical="center" wrapText="1"/>
    </xf>
    <xf numFmtId="0" fontId="12" fillId="0" borderId="3" xfId="0" applyFont="1" applyBorder="1" applyAlignment="1">
      <alignment horizontal="center" vertical="center"/>
    </xf>
    <xf numFmtId="0" fontId="11" fillId="0" borderId="2" xfId="0" applyFont="1" applyFill="1" applyBorder="1" applyAlignment="1">
      <alignment horizontal="justify" vertical="center" wrapText="1"/>
    </xf>
    <xf numFmtId="0" fontId="11" fillId="7" borderId="2" xfId="0" applyFont="1" applyFill="1" applyBorder="1" applyAlignment="1">
      <alignment horizontal="justify" vertical="center" wrapText="1"/>
    </xf>
    <xf numFmtId="0" fontId="11" fillId="7" borderId="0" xfId="0" applyFont="1" applyFill="1" applyAlignment="1">
      <alignment horizontal="center"/>
    </xf>
    <xf numFmtId="43" fontId="11" fillId="7" borderId="2" xfId="6" applyFont="1" applyFill="1" applyBorder="1" applyAlignment="1">
      <alignment horizontal="center" vertical="center"/>
    </xf>
    <xf numFmtId="0" fontId="8" fillId="0" borderId="15" xfId="0" applyFont="1" applyBorder="1" applyAlignment="1">
      <alignment horizontal="justify" vertical="center" wrapText="1"/>
    </xf>
    <xf numFmtId="0" fontId="8" fillId="7" borderId="9"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9" xfId="0" applyFont="1" applyFill="1" applyBorder="1" applyAlignment="1">
      <alignment horizontal="justify" vertical="center" wrapText="1"/>
    </xf>
    <xf numFmtId="0" fontId="8" fillId="7" borderId="14" xfId="0" applyFont="1" applyFill="1" applyBorder="1" applyAlignment="1">
      <alignment horizontal="justify" vertical="center" wrapText="1"/>
    </xf>
    <xf numFmtId="0" fontId="24" fillId="0" borderId="26" xfId="0" applyFont="1" applyBorder="1" applyAlignment="1">
      <alignment horizontal="justify" vertical="center" wrapText="1"/>
    </xf>
    <xf numFmtId="0" fontId="24" fillId="0" borderId="18" xfId="0" applyFont="1" applyBorder="1" applyAlignment="1">
      <alignment horizontal="justify" vertical="center" wrapText="1"/>
    </xf>
    <xf numFmtId="3" fontId="24" fillId="0" borderId="18" xfId="0" applyNumberFormat="1" applyFont="1" applyBorder="1" applyAlignment="1">
      <alignment horizontal="justify" vertical="center" wrapText="1"/>
    </xf>
    <xf numFmtId="0" fontId="11" fillId="0" borderId="7" xfId="0" applyFont="1" applyBorder="1" applyAlignment="1">
      <alignment horizontal="justify" vertical="center"/>
    </xf>
    <xf numFmtId="0" fontId="12" fillId="0" borderId="3" xfId="0" applyFont="1" applyBorder="1" applyAlignment="1">
      <alignment horizontal="justify" vertical="center" wrapText="1"/>
    </xf>
    <xf numFmtId="41" fontId="12" fillId="0" borderId="3" xfId="0" applyNumberFormat="1" applyFont="1" applyBorder="1" applyAlignment="1">
      <alignment vertical="center"/>
    </xf>
    <xf numFmtId="0" fontId="12" fillId="0" borderId="30" xfId="0" applyFont="1" applyBorder="1" applyAlignment="1">
      <alignment horizontal="justify" vertical="center" wrapText="1"/>
    </xf>
    <xf numFmtId="0" fontId="12" fillId="7" borderId="0" xfId="0" applyFont="1" applyFill="1"/>
    <xf numFmtId="0" fontId="11" fillId="10" borderId="5" xfId="0" applyFont="1" applyFill="1" applyBorder="1" applyAlignment="1">
      <alignment vertical="center"/>
    </xf>
    <xf numFmtId="0" fontId="12" fillId="10" borderId="5" xfId="0" applyFont="1" applyFill="1" applyBorder="1" applyAlignment="1">
      <alignment horizontal="justify" vertical="center" wrapText="1"/>
    </xf>
    <xf numFmtId="0" fontId="11" fillId="10" borderId="5" xfId="0" applyFont="1" applyFill="1" applyBorder="1" applyAlignment="1">
      <alignment horizontal="justify" vertical="center"/>
    </xf>
    <xf numFmtId="169" fontId="11" fillId="10" borderId="5" xfId="0" applyNumberFormat="1" applyFont="1" applyFill="1" applyBorder="1" applyAlignment="1">
      <alignment horizontal="center" vertical="center"/>
    </xf>
    <xf numFmtId="166" fontId="12" fillId="10" borderId="5" xfId="0" applyNumberFormat="1" applyFont="1" applyFill="1" applyBorder="1" applyAlignment="1">
      <alignment vertical="center"/>
    </xf>
    <xf numFmtId="0" fontId="12" fillId="10" borderId="5" xfId="0" applyFont="1" applyFill="1" applyBorder="1" applyAlignment="1">
      <alignment horizontal="center" vertical="center" wrapText="1"/>
    </xf>
    <xf numFmtId="41" fontId="12" fillId="10" borderId="5" xfId="0" applyNumberFormat="1" applyFont="1" applyFill="1" applyBorder="1" applyAlignment="1">
      <alignment horizontal="center" vertical="center"/>
    </xf>
    <xf numFmtId="166" fontId="12" fillId="10" borderId="5" xfId="0" applyNumberFormat="1" applyFont="1" applyFill="1" applyBorder="1" applyAlignment="1">
      <alignment horizontal="center" vertical="center"/>
    </xf>
    <xf numFmtId="167" fontId="12" fillId="10" borderId="5" xfId="0" applyNumberFormat="1" applyFont="1" applyFill="1" applyBorder="1" applyAlignment="1">
      <alignment vertical="center"/>
    </xf>
    <xf numFmtId="0" fontId="12" fillId="10" borderId="36" xfId="0" applyFont="1" applyFill="1" applyBorder="1" applyAlignment="1">
      <alignment horizontal="justify" vertical="center" wrapText="1"/>
    </xf>
    <xf numFmtId="0" fontId="11" fillId="11" borderId="5" xfId="0" applyFont="1" applyFill="1" applyBorder="1" applyAlignment="1">
      <alignment vertical="center"/>
    </xf>
    <xf numFmtId="0" fontId="12" fillId="11" borderId="5" xfId="0" applyFont="1" applyFill="1" applyBorder="1" applyAlignment="1">
      <alignment horizontal="justify" vertical="center" wrapText="1"/>
    </xf>
    <xf numFmtId="0" fontId="11" fillId="11" borderId="5" xfId="0" applyFont="1" applyFill="1" applyBorder="1" applyAlignment="1">
      <alignment horizontal="justify" vertical="center"/>
    </xf>
    <xf numFmtId="169" fontId="11" fillId="11" borderId="5" xfId="0" applyNumberFormat="1" applyFont="1" applyFill="1" applyBorder="1" applyAlignment="1">
      <alignment horizontal="center" vertical="center"/>
    </xf>
    <xf numFmtId="166" fontId="12" fillId="11" borderId="5" xfId="0" applyNumberFormat="1" applyFont="1" applyFill="1" applyBorder="1" applyAlignment="1">
      <alignment vertical="center"/>
    </xf>
    <xf numFmtId="41" fontId="12" fillId="11" borderId="5" xfId="0" applyNumberFormat="1" applyFont="1" applyFill="1" applyBorder="1" applyAlignment="1">
      <alignment horizontal="center" vertical="center"/>
    </xf>
    <xf numFmtId="166" fontId="12" fillId="11" borderId="5" xfId="0" applyNumberFormat="1" applyFont="1" applyFill="1" applyBorder="1" applyAlignment="1">
      <alignment horizontal="center" vertical="center"/>
    </xf>
    <xf numFmtId="167" fontId="12" fillId="11" borderId="5" xfId="0" applyNumberFormat="1" applyFont="1" applyFill="1" applyBorder="1" applyAlignment="1">
      <alignment vertical="center"/>
    </xf>
    <xf numFmtId="0" fontId="12" fillId="11" borderId="36" xfId="0" applyFont="1" applyFill="1" applyBorder="1" applyAlignment="1">
      <alignment horizontal="justify" vertical="center" wrapText="1"/>
    </xf>
    <xf numFmtId="1" fontId="12" fillId="12" borderId="11" xfId="0" applyNumberFormat="1" applyFont="1" applyFill="1" applyBorder="1" applyAlignment="1">
      <alignment horizontal="left" vertical="center" wrapText="1" indent="1"/>
    </xf>
    <xf numFmtId="0" fontId="11" fillId="12" borderId="5" xfId="0" applyFont="1" applyFill="1" applyBorder="1" applyAlignment="1">
      <alignment vertical="center"/>
    </xf>
    <xf numFmtId="0" fontId="12" fillId="12" borderId="5" xfId="0" applyFont="1" applyFill="1" applyBorder="1" applyAlignment="1">
      <alignment horizontal="justify" vertical="center" wrapText="1"/>
    </xf>
    <xf numFmtId="0" fontId="11" fillId="12" borderId="11" xfId="0" applyFont="1" applyFill="1" applyBorder="1" applyAlignment="1">
      <alignment vertical="center"/>
    </xf>
    <xf numFmtId="169" fontId="11" fillId="12" borderId="5" xfId="0" applyNumberFormat="1" applyFont="1" applyFill="1" applyBorder="1" applyAlignment="1">
      <alignment horizontal="center" vertical="center"/>
    </xf>
    <xf numFmtId="166" fontId="12" fillId="12" borderId="5" xfId="0" applyNumberFormat="1" applyFont="1" applyFill="1" applyBorder="1" applyAlignment="1">
      <alignment vertical="center"/>
    </xf>
    <xf numFmtId="41" fontId="12" fillId="12" borderId="5" xfId="0" applyNumberFormat="1" applyFont="1" applyFill="1" applyBorder="1" applyAlignment="1">
      <alignment horizontal="center" vertical="center"/>
    </xf>
    <xf numFmtId="166" fontId="12" fillId="12" borderId="5" xfId="0" applyNumberFormat="1" applyFont="1" applyFill="1" applyBorder="1" applyAlignment="1">
      <alignment horizontal="center" vertical="center"/>
    </xf>
    <xf numFmtId="0" fontId="12" fillId="12" borderId="36" xfId="0" applyFont="1" applyFill="1" applyBorder="1" applyAlignment="1">
      <alignment horizontal="justify" vertical="center" wrapText="1"/>
    </xf>
    <xf numFmtId="3" fontId="11" fillId="7" borderId="2" xfId="3" applyNumberFormat="1" applyFont="1" applyFill="1" applyBorder="1" applyAlignment="1">
      <alignment horizontal="center" vertical="center" wrapText="1"/>
    </xf>
    <xf numFmtId="164" fontId="11" fillId="7" borderId="2" xfId="3" applyFont="1" applyFill="1" applyBorder="1" applyAlignment="1">
      <alignment horizontal="justify" vertical="center" wrapText="1"/>
    </xf>
    <xf numFmtId="164" fontId="11" fillId="0" borderId="2" xfId="3" applyFont="1" applyBorder="1" applyAlignment="1">
      <alignment horizontal="justify" vertical="center" wrapText="1"/>
    </xf>
    <xf numFmtId="3" fontId="11" fillId="0" borderId="2" xfId="3" applyNumberFormat="1" applyFont="1" applyBorder="1" applyAlignment="1">
      <alignment horizontal="center" vertical="center"/>
    </xf>
    <xf numFmtId="164" fontId="11" fillId="7" borderId="6" xfId="3" applyFont="1" applyFill="1" applyBorder="1" applyAlignment="1">
      <alignment vertical="center" wrapText="1"/>
    </xf>
    <xf numFmtId="9" fontId="8" fillId="7" borderId="2" xfId="5" applyFont="1" applyFill="1" applyBorder="1" applyAlignment="1">
      <alignment horizontal="center" vertical="center" wrapText="1"/>
    </xf>
    <xf numFmtId="43" fontId="11" fillId="7" borderId="2" xfId="6" applyFont="1" applyFill="1" applyBorder="1" applyAlignment="1">
      <alignment horizontal="justify" vertical="center" wrapText="1"/>
    </xf>
    <xf numFmtId="41" fontId="11" fillId="0" borderId="2" xfId="6" applyNumberFormat="1" applyFont="1" applyBorder="1" applyAlignment="1">
      <alignment horizontal="center" vertical="center" wrapText="1"/>
    </xf>
    <xf numFmtId="3" fontId="11" fillId="7" borderId="2" xfId="3" applyNumberFormat="1" applyFont="1" applyFill="1" applyBorder="1" applyAlignment="1">
      <alignment horizontal="center" vertical="center"/>
    </xf>
    <xf numFmtId="164" fontId="11" fillId="7" borderId="1" xfId="3" applyFont="1" applyFill="1" applyBorder="1" applyAlignment="1">
      <alignment vertical="center" wrapText="1"/>
    </xf>
    <xf numFmtId="164" fontId="13" fillId="7" borderId="2" xfId="3" applyFont="1" applyFill="1" applyBorder="1" applyAlignment="1">
      <alignment horizontal="justify" vertical="center" wrapText="1"/>
    </xf>
    <xf numFmtId="164" fontId="11" fillId="7" borderId="1" xfId="3" applyFont="1" applyFill="1" applyBorder="1" applyAlignment="1">
      <alignment horizontal="justify" vertical="center" wrapText="1"/>
    </xf>
    <xf numFmtId="41" fontId="11" fillId="0" borderId="2" xfId="6" applyNumberFormat="1" applyFont="1" applyBorder="1" applyAlignment="1">
      <alignment horizontal="center" vertical="center"/>
    </xf>
    <xf numFmtId="164" fontId="13" fillId="7" borderId="9" xfId="3" applyFont="1" applyFill="1" applyBorder="1" applyAlignment="1">
      <alignment horizontal="justify" vertical="center" wrapText="1"/>
    </xf>
    <xf numFmtId="41" fontId="11" fillId="0" borderId="2" xfId="6" applyNumberFormat="1" applyFont="1" applyFill="1" applyBorder="1" applyAlignment="1">
      <alignment horizontal="center" vertical="center"/>
    </xf>
    <xf numFmtId="0" fontId="11" fillId="12" borderId="0" xfId="0" applyFont="1" applyFill="1" applyAlignment="1">
      <alignment vertical="center"/>
    </xf>
    <xf numFmtId="0" fontId="12" fillId="12" borderId="0" xfId="0" applyFont="1" applyFill="1" applyAlignment="1">
      <alignment horizontal="justify" vertical="center" wrapText="1"/>
    </xf>
    <xf numFmtId="0" fontId="12" fillId="12" borderId="0" xfId="0" applyFont="1" applyFill="1" applyAlignment="1">
      <alignment horizontal="justify" vertical="center"/>
    </xf>
    <xf numFmtId="0" fontId="12" fillId="12" borderId="0" xfId="0" applyFont="1" applyFill="1" applyAlignment="1">
      <alignment vertical="center"/>
    </xf>
    <xf numFmtId="169" fontId="11" fillId="12" borderId="0" xfId="0" applyNumberFormat="1" applyFont="1" applyFill="1" applyAlignment="1">
      <alignment horizontal="center" vertical="center"/>
    </xf>
    <xf numFmtId="43" fontId="12" fillId="12" borderId="0" xfId="6" applyFont="1" applyFill="1" applyAlignment="1">
      <alignment vertical="center"/>
    </xf>
    <xf numFmtId="41" fontId="12" fillId="12" borderId="0" xfId="6" applyNumberFormat="1" applyFont="1" applyFill="1" applyAlignment="1">
      <alignment horizontal="center" vertical="center"/>
    </xf>
    <xf numFmtId="166" fontId="12" fillId="12" borderId="0" xfId="0" applyNumberFormat="1" applyFont="1" applyFill="1" applyAlignment="1">
      <alignment horizontal="center" vertical="center"/>
    </xf>
    <xf numFmtId="167" fontId="12" fillId="12" borderId="35" xfId="0" applyNumberFormat="1" applyFont="1" applyFill="1" applyBorder="1" applyAlignment="1">
      <alignment horizontal="justify" vertical="center" wrapText="1"/>
    </xf>
    <xf numFmtId="0" fontId="11" fillId="0" borderId="8" xfId="0" applyFont="1" applyFill="1" applyBorder="1"/>
    <xf numFmtId="0" fontId="11" fillId="0" borderId="6" xfId="0" applyFont="1" applyFill="1" applyBorder="1"/>
    <xf numFmtId="1" fontId="8" fillId="0" borderId="2" xfId="16" applyNumberFormat="1" applyFont="1" applyFill="1" applyBorder="1" applyAlignment="1">
      <alignment horizontal="center" vertical="center" wrapText="1"/>
    </xf>
    <xf numFmtId="164" fontId="11" fillId="0" borderId="2" xfId="3" applyFont="1" applyFill="1" applyBorder="1" applyAlignment="1">
      <alignment horizontal="justify" vertical="center" wrapText="1"/>
    </xf>
    <xf numFmtId="1" fontId="11" fillId="0" borderId="2" xfId="3" applyNumberFormat="1" applyFont="1" applyFill="1" applyBorder="1" applyAlignment="1">
      <alignment horizontal="center" vertical="center"/>
    </xf>
    <xf numFmtId="164" fontId="11" fillId="0" borderId="1" xfId="3" applyFont="1" applyFill="1" applyBorder="1" applyAlignment="1">
      <alignment horizontal="justify" vertical="center" wrapText="1"/>
    </xf>
    <xf numFmtId="9" fontId="8" fillId="0" borderId="2" xfId="5" applyFont="1" applyFill="1" applyBorder="1" applyAlignment="1">
      <alignment horizontal="center" vertical="center" wrapText="1"/>
    </xf>
    <xf numFmtId="164" fontId="13" fillId="0" borderId="2" xfId="3" applyFont="1" applyFill="1" applyBorder="1" applyAlignment="1">
      <alignment horizontal="justify" vertical="center" wrapText="1"/>
    </xf>
    <xf numFmtId="41" fontId="11" fillId="0" borderId="2" xfId="6" applyNumberFormat="1" applyFont="1" applyFill="1" applyBorder="1" applyAlignment="1">
      <alignment horizontal="center" vertical="center" wrapText="1"/>
    </xf>
    <xf numFmtId="0" fontId="11" fillId="0" borderId="13" xfId="0" applyFont="1" applyFill="1" applyBorder="1"/>
    <xf numFmtId="0" fontId="11" fillId="0" borderId="1" xfId="0" applyFont="1" applyFill="1" applyBorder="1"/>
    <xf numFmtId="164" fontId="11" fillId="0" borderId="1" xfId="3" applyFont="1" applyFill="1" applyBorder="1" applyAlignment="1">
      <alignment vertical="center" wrapText="1"/>
    </xf>
    <xf numFmtId="0" fontId="11" fillId="0" borderId="7" xfId="0" applyFont="1" applyFill="1" applyBorder="1"/>
    <xf numFmtId="0" fontId="11" fillId="0" borderId="4" xfId="0" applyFont="1" applyFill="1" applyBorder="1"/>
    <xf numFmtId="41" fontId="11" fillId="0" borderId="2" xfId="6" applyNumberFormat="1" applyFont="1" applyFill="1" applyBorder="1" applyAlignment="1">
      <alignment vertical="center" wrapText="1"/>
    </xf>
    <xf numFmtId="0" fontId="11" fillId="11" borderId="0" xfId="0" applyFont="1" applyFill="1" applyAlignment="1">
      <alignment vertical="center"/>
    </xf>
    <xf numFmtId="0" fontId="12" fillId="11" borderId="0" xfId="0" applyFont="1" applyFill="1" applyAlignment="1">
      <alignment horizontal="justify" vertical="center" wrapText="1"/>
    </xf>
    <xf numFmtId="169" fontId="11" fillId="11" borderId="0" xfId="0" applyNumberFormat="1" applyFont="1" applyFill="1" applyAlignment="1">
      <alignment horizontal="center" vertical="center"/>
    </xf>
    <xf numFmtId="41" fontId="12" fillId="11" borderId="0" xfId="6" applyNumberFormat="1" applyFont="1" applyFill="1" applyAlignment="1">
      <alignment horizontal="center" vertical="center"/>
    </xf>
    <xf numFmtId="166" fontId="12" fillId="11" borderId="0" xfId="0" applyNumberFormat="1" applyFont="1" applyFill="1" applyAlignment="1">
      <alignment horizontal="center" vertical="center"/>
    </xf>
    <xf numFmtId="43" fontId="12" fillId="12" borderId="5" xfId="6" applyFont="1" applyFill="1" applyBorder="1" applyAlignment="1">
      <alignment vertical="center"/>
    </xf>
    <xf numFmtId="41" fontId="12" fillId="12" borderId="5" xfId="6" applyNumberFormat="1" applyFont="1" applyFill="1" applyBorder="1" applyAlignment="1">
      <alignment horizontal="center" vertical="center"/>
    </xf>
    <xf numFmtId="166" fontId="12" fillId="12" borderId="35" xfId="0" applyNumberFormat="1" applyFont="1" applyFill="1" applyBorder="1" applyAlignment="1">
      <alignment horizontal="justify" vertical="center" wrapText="1"/>
    </xf>
    <xf numFmtId="0" fontId="14" fillId="0" borderId="8" xfId="0" applyFont="1" applyFill="1" applyBorder="1"/>
    <xf numFmtId="0" fontId="14" fillId="0" borderId="6" xfId="0" applyFont="1" applyFill="1" applyBorder="1"/>
    <xf numFmtId="0" fontId="14" fillId="0" borderId="13" xfId="0" applyFont="1" applyFill="1" applyBorder="1"/>
    <xf numFmtId="0" fontId="14" fillId="0" borderId="1" xfId="0" applyFont="1" applyFill="1" applyBorder="1"/>
    <xf numFmtId="164" fontId="13" fillId="0" borderId="9" xfId="3" applyFont="1" applyFill="1" applyBorder="1" applyAlignment="1">
      <alignment horizontal="justify" vertical="center" wrapText="1"/>
    </xf>
    <xf numFmtId="0" fontId="14" fillId="0" borderId="7" xfId="0" applyFont="1" applyFill="1" applyBorder="1"/>
    <xf numFmtId="0" fontId="14" fillId="0" borderId="4" xfId="0" applyFont="1" applyFill="1" applyBorder="1"/>
    <xf numFmtId="1" fontId="12" fillId="0" borderId="11" xfId="0" applyNumberFormat="1" applyFont="1" applyFill="1" applyBorder="1" applyAlignment="1">
      <alignment horizontal="left" vertical="center" wrapText="1" indent="1"/>
    </xf>
    <xf numFmtId="0" fontId="12" fillId="0" borderId="11" xfId="0" applyFont="1" applyFill="1" applyBorder="1" applyAlignment="1">
      <alignment vertical="center"/>
    </xf>
    <xf numFmtId="0" fontId="11" fillId="0" borderId="0" xfId="0" applyFont="1" applyFill="1" applyAlignment="1">
      <alignment vertical="center"/>
    </xf>
    <xf numFmtId="0" fontId="12" fillId="0" borderId="0" xfId="0" applyFont="1" applyFill="1" applyAlignment="1">
      <alignment horizontal="justify" vertical="center" wrapText="1"/>
    </xf>
    <xf numFmtId="0" fontId="12" fillId="0" borderId="0" xfId="0" applyFont="1" applyFill="1" applyAlignment="1">
      <alignment horizontal="justify" vertical="center"/>
    </xf>
    <xf numFmtId="0" fontId="12" fillId="0" borderId="0" xfId="0" applyFont="1" applyFill="1" applyAlignment="1">
      <alignment vertical="center"/>
    </xf>
    <xf numFmtId="0" fontId="11" fillId="0" borderId="11" xfId="0" applyFont="1" applyFill="1" applyBorder="1" applyAlignment="1">
      <alignment horizontal="justify" vertical="center"/>
    </xf>
    <xf numFmtId="0" fontId="11" fillId="0" borderId="3" xfId="0" applyFont="1" applyFill="1" applyBorder="1" applyAlignment="1">
      <alignment vertical="center"/>
    </xf>
    <xf numFmtId="0" fontId="12" fillId="0" borderId="11" xfId="0" applyFont="1" applyFill="1" applyBorder="1" applyAlignment="1">
      <alignment horizontal="justify" vertical="center"/>
    </xf>
    <xf numFmtId="169" fontId="11" fillId="0" borderId="0" xfId="0" applyNumberFormat="1" applyFont="1" applyFill="1" applyAlignment="1">
      <alignment horizontal="center" vertical="center"/>
    </xf>
    <xf numFmtId="43" fontId="12" fillId="0" borderId="0" xfId="6" applyFont="1" applyFill="1" applyAlignment="1">
      <alignment vertical="center"/>
    </xf>
    <xf numFmtId="41" fontId="12" fillId="0" borderId="0" xfId="6" applyNumberFormat="1" applyFont="1" applyFill="1" applyAlignment="1">
      <alignment horizontal="center" vertical="center"/>
    </xf>
    <xf numFmtId="166" fontId="12" fillId="0" borderId="3"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166" fontId="12" fillId="0" borderId="35" xfId="0" applyNumberFormat="1" applyFont="1" applyFill="1" applyBorder="1" applyAlignment="1">
      <alignment horizontal="justify" vertical="center" wrapText="1"/>
    </xf>
    <xf numFmtId="41" fontId="11" fillId="0" borderId="2" xfId="6" applyNumberFormat="1" applyFont="1" applyFill="1" applyBorder="1" applyAlignment="1">
      <alignment horizontal="justify" vertical="center"/>
    </xf>
    <xf numFmtId="0" fontId="11" fillId="0" borderId="11" xfId="0" applyFont="1" applyFill="1" applyBorder="1" applyAlignment="1">
      <alignment vertical="center"/>
    </xf>
    <xf numFmtId="167" fontId="12" fillId="0" borderId="11" xfId="0" applyNumberFormat="1" applyFont="1" applyFill="1" applyBorder="1" applyAlignment="1">
      <alignment vertical="center"/>
    </xf>
    <xf numFmtId="167" fontId="12" fillId="0" borderId="11" xfId="0" applyNumberFormat="1" applyFont="1" applyFill="1" applyBorder="1" applyAlignment="1">
      <alignment horizontal="center" vertical="center"/>
    </xf>
    <xf numFmtId="167" fontId="12" fillId="0" borderId="35" xfId="0" applyNumberFormat="1" applyFont="1" applyFill="1" applyBorder="1" applyAlignment="1">
      <alignment horizontal="justify" vertical="center" wrapText="1"/>
    </xf>
    <xf numFmtId="0" fontId="12" fillId="12" borderId="35" xfId="0" applyFont="1" applyFill="1" applyBorder="1" applyAlignment="1">
      <alignment horizontal="justify" vertical="center" wrapText="1"/>
    </xf>
    <xf numFmtId="3" fontId="11" fillId="0" borderId="2" xfId="3" applyNumberFormat="1" applyFont="1" applyFill="1" applyBorder="1" applyAlignment="1">
      <alignment horizontal="center" vertical="center"/>
    </xf>
    <xf numFmtId="164" fontId="8" fillId="0" borderId="2" xfId="3" applyFont="1" applyFill="1" applyBorder="1" applyAlignment="1">
      <alignment horizontal="justify" vertical="center" wrapText="1"/>
    </xf>
    <xf numFmtId="9" fontId="11" fillId="0" borderId="2" xfId="5" applyFont="1" applyFill="1" applyBorder="1" applyAlignment="1">
      <alignment horizontal="center" vertical="center"/>
    </xf>
    <xf numFmtId="43" fontId="11" fillId="0" borderId="2" xfId="6" applyFont="1" applyFill="1" applyBorder="1" applyAlignment="1">
      <alignment vertical="center"/>
    </xf>
    <xf numFmtId="1" fontId="12" fillId="11" borderId="11" xfId="0" applyNumberFormat="1" applyFont="1" applyFill="1" applyBorder="1" applyAlignment="1">
      <alignment vertical="center"/>
    </xf>
    <xf numFmtId="1" fontId="12" fillId="11" borderId="5" xfId="0" applyNumberFormat="1" applyFont="1" applyFill="1" applyBorder="1" applyAlignment="1">
      <alignment vertical="center"/>
    </xf>
    <xf numFmtId="41" fontId="11" fillId="7" borderId="2" xfId="6" applyNumberFormat="1" applyFont="1" applyFill="1" applyBorder="1" applyAlignment="1">
      <alignment horizontal="center" vertical="center"/>
    </xf>
    <xf numFmtId="164" fontId="13" fillId="7" borderId="2" xfId="3" applyFont="1" applyFill="1" applyBorder="1" applyAlignment="1">
      <alignment horizontal="justify" vertical="center" wrapText="1" readingOrder="2"/>
    </xf>
    <xf numFmtId="0" fontId="11" fillId="10" borderId="0" xfId="0" applyFont="1" applyFill="1" applyAlignment="1">
      <alignment vertical="center"/>
    </xf>
    <xf numFmtId="0" fontId="12" fillId="10" borderId="0" xfId="0" applyFont="1" applyFill="1" applyAlignment="1">
      <alignment horizontal="justify" vertical="center" wrapText="1"/>
    </xf>
    <xf numFmtId="0" fontId="12" fillId="10" borderId="0" xfId="0" applyFont="1" applyFill="1" applyAlignment="1">
      <alignment horizontal="justify" vertical="center"/>
    </xf>
    <xf numFmtId="0" fontId="12" fillId="10" borderId="0" xfId="0" applyFont="1" applyFill="1" applyAlignment="1">
      <alignment vertical="center"/>
    </xf>
    <xf numFmtId="169" fontId="11" fillId="10" borderId="0" xfId="0" applyNumberFormat="1" applyFont="1" applyFill="1" applyAlignment="1">
      <alignment horizontal="center" vertical="center"/>
    </xf>
    <xf numFmtId="43" fontId="12" fillId="10" borderId="0" xfId="6" applyFont="1" applyFill="1" applyAlignment="1">
      <alignment vertical="center"/>
    </xf>
    <xf numFmtId="41" fontId="12" fillId="10" borderId="0" xfId="6" applyNumberFormat="1" applyFont="1" applyFill="1" applyAlignment="1">
      <alignment horizontal="center" vertical="center"/>
    </xf>
    <xf numFmtId="166" fontId="12" fillId="10" borderId="36" xfId="0" applyNumberFormat="1" applyFont="1" applyFill="1" applyBorder="1" applyAlignment="1">
      <alignment horizontal="justify" vertical="center" wrapText="1"/>
    </xf>
    <xf numFmtId="1" fontId="12" fillId="11" borderId="8" xfId="0" applyNumberFormat="1" applyFont="1" applyFill="1" applyBorder="1" applyAlignment="1">
      <alignment horizontal="center" vertical="center"/>
    </xf>
    <xf numFmtId="41" fontId="12" fillId="11" borderId="5" xfId="6" applyNumberFormat="1" applyFont="1" applyFill="1" applyBorder="1" applyAlignment="1">
      <alignment horizontal="center" vertical="center"/>
    </xf>
    <xf numFmtId="1" fontId="12" fillId="12" borderId="5" xfId="0" applyNumberFormat="1" applyFont="1" applyFill="1" applyBorder="1" applyAlignment="1">
      <alignment horizontal="left" vertical="center" wrapText="1" indent="1"/>
    </xf>
    <xf numFmtId="169" fontId="11" fillId="12" borderId="11" xfId="0" applyNumberFormat="1" applyFont="1" applyFill="1" applyBorder="1" applyAlignment="1">
      <alignment horizontal="center" vertical="center"/>
    </xf>
    <xf numFmtId="41" fontId="12" fillId="12" borderId="11" xfId="6" applyNumberFormat="1" applyFont="1" applyFill="1" applyBorder="1" applyAlignment="1">
      <alignment horizontal="center" vertical="center"/>
    </xf>
    <xf numFmtId="0" fontId="11" fillId="7" borderId="9" xfId="0" applyFont="1" applyFill="1" applyBorder="1"/>
    <xf numFmtId="0" fontId="14" fillId="7" borderId="5" xfId="0" applyFont="1" applyFill="1" applyBorder="1"/>
    <xf numFmtId="0" fontId="14" fillId="7" borderId="6" xfId="0" applyFont="1" applyFill="1" applyBorder="1"/>
    <xf numFmtId="164" fontId="11" fillId="0" borderId="15" xfId="3" applyFont="1" applyBorder="1" applyAlignment="1">
      <alignment horizontal="justify" vertical="center" wrapText="1"/>
    </xf>
    <xf numFmtId="41" fontId="11" fillId="7" borderId="15" xfId="6" applyNumberFormat="1" applyFont="1" applyFill="1" applyBorder="1" applyAlignment="1">
      <alignment horizontal="center" vertical="center"/>
    </xf>
    <xf numFmtId="0" fontId="14" fillId="7" borderId="14" xfId="0" applyFont="1" applyFill="1" applyBorder="1"/>
    <xf numFmtId="0" fontId="14" fillId="7" borderId="0" xfId="0" applyFont="1" applyFill="1"/>
    <xf numFmtId="0" fontId="14" fillId="7" borderId="1" xfId="0" applyFont="1" applyFill="1" applyBorder="1"/>
    <xf numFmtId="164" fontId="11" fillId="7" borderId="9" xfId="3" applyFont="1" applyFill="1" applyBorder="1" applyAlignment="1">
      <alignment horizontal="justify" vertical="center" wrapText="1"/>
    </xf>
    <xf numFmtId="41" fontId="11" fillId="7" borderId="9" xfId="6" applyNumberFormat="1" applyFont="1" applyFill="1" applyBorder="1" applyAlignment="1">
      <alignment horizontal="center" vertical="center"/>
    </xf>
    <xf numFmtId="0" fontId="11" fillId="7" borderId="20" xfId="0" applyFont="1" applyFill="1" applyBorder="1" applyAlignment="1">
      <alignment horizontal="justify" vertical="center" wrapText="1"/>
    </xf>
    <xf numFmtId="0" fontId="11" fillId="7" borderId="20" xfId="0" applyFont="1" applyFill="1" applyBorder="1" applyAlignment="1">
      <alignment vertical="center"/>
    </xf>
    <xf numFmtId="43" fontId="12" fillId="7" borderId="22" xfId="6" applyFont="1" applyFill="1" applyBorder="1" applyAlignment="1">
      <alignment vertical="center"/>
    </xf>
    <xf numFmtId="0" fontId="11" fillId="7" borderId="21" xfId="0" applyFont="1" applyFill="1" applyBorder="1" applyAlignment="1">
      <alignment horizontal="justify" vertical="center" wrapText="1"/>
    </xf>
    <xf numFmtId="184" fontId="12" fillId="0" borderId="22" xfId="6" applyNumberFormat="1" applyFont="1" applyBorder="1" applyAlignment="1">
      <alignment horizontal="center" vertical="center"/>
    </xf>
    <xf numFmtId="0" fontId="11" fillId="0" borderId="21" xfId="0" applyFont="1" applyBorder="1" applyAlignment="1">
      <alignment horizontal="justify" vertical="center" wrapText="1"/>
    </xf>
    <xf numFmtId="0" fontId="11" fillId="7" borderId="0" xfId="0" applyFont="1" applyFill="1" applyAlignment="1">
      <alignment horizontal="justify" vertical="center" wrapText="1"/>
    </xf>
    <xf numFmtId="0" fontId="11" fillId="7" borderId="0" xfId="0" applyFont="1" applyFill="1" applyAlignment="1">
      <alignment horizontal="left" vertical="center"/>
    </xf>
    <xf numFmtId="166" fontId="11" fillId="7" borderId="0" xfId="0" applyNumberFormat="1" applyFont="1" applyFill="1" applyAlignment="1">
      <alignment vertical="center"/>
    </xf>
    <xf numFmtId="41" fontId="11" fillId="7" borderId="0" xfId="0" applyNumberFormat="1" applyFont="1" applyFill="1" applyAlignment="1">
      <alignment horizontal="center" vertical="center"/>
    </xf>
    <xf numFmtId="0" fontId="19" fillId="0" borderId="0" xfId="0" applyFont="1" applyAlignment="1">
      <alignment wrapText="1"/>
    </xf>
    <xf numFmtId="1" fontId="20" fillId="21" borderId="10" xfId="0" applyNumberFormat="1" applyFont="1" applyFill="1" applyBorder="1" applyAlignment="1">
      <alignment horizontal="left" vertical="center" wrapText="1"/>
    </xf>
    <xf numFmtId="0" fontId="20" fillId="21" borderId="11" xfId="0" applyFont="1" applyFill="1" applyBorder="1" applyAlignment="1">
      <alignment vertical="center"/>
    </xf>
    <xf numFmtId="0" fontId="20" fillId="21" borderId="11" xfId="0" applyFont="1" applyFill="1" applyBorder="1" applyAlignment="1">
      <alignment horizontal="justify" vertical="center"/>
    </xf>
    <xf numFmtId="0" fontId="20" fillId="21" borderId="11" xfId="0" applyFont="1" applyFill="1" applyBorder="1" applyAlignment="1">
      <alignment horizontal="center" vertical="center"/>
    </xf>
    <xf numFmtId="169" fontId="20" fillId="21" borderId="11" xfId="0" applyNumberFormat="1" applyFont="1" applyFill="1" applyBorder="1" applyAlignment="1">
      <alignment horizontal="center" vertical="center"/>
    </xf>
    <xf numFmtId="166" fontId="20" fillId="21" borderId="11" xfId="0" applyNumberFormat="1" applyFont="1" applyFill="1" applyBorder="1" applyAlignment="1">
      <alignment vertical="center"/>
    </xf>
    <xf numFmtId="1" fontId="20" fillId="21" borderId="11" xfId="0" applyNumberFormat="1" applyFont="1" applyFill="1" applyBorder="1" applyAlignment="1">
      <alignment horizontal="center" vertical="center"/>
    </xf>
    <xf numFmtId="167" fontId="20" fillId="21" borderId="11" xfId="0" applyNumberFormat="1" applyFont="1" applyFill="1" applyBorder="1" applyAlignment="1">
      <alignment vertical="center"/>
    </xf>
    <xf numFmtId="0" fontId="20" fillId="21" borderId="12" xfId="0" applyFont="1" applyFill="1" applyBorder="1" applyAlignment="1">
      <alignment horizontal="justify" vertical="center"/>
    </xf>
    <xf numFmtId="0" fontId="19" fillId="0" borderId="0" xfId="0" applyFont="1" applyBorder="1"/>
    <xf numFmtId="0" fontId="19" fillId="7" borderId="8" xfId="0" applyFont="1" applyFill="1" applyBorder="1" applyAlignment="1">
      <alignment vertical="center" wrapText="1"/>
    </xf>
    <xf numFmtId="0" fontId="19" fillId="7" borderId="5" xfId="0" applyFont="1" applyFill="1" applyBorder="1" applyAlignment="1">
      <alignment vertical="center" wrapText="1"/>
    </xf>
    <xf numFmtId="0" fontId="19" fillId="7" borderId="6" xfId="0" applyFont="1" applyFill="1" applyBorder="1" applyAlignment="1">
      <alignment vertical="center" wrapText="1"/>
    </xf>
    <xf numFmtId="1" fontId="20" fillId="20" borderId="7" xfId="0" applyNumberFormat="1" applyFont="1" applyFill="1" applyBorder="1" applyAlignment="1">
      <alignment horizontal="center" vertical="center"/>
    </xf>
    <xf numFmtId="0" fontId="20" fillId="20" borderId="3" xfId="0" applyFont="1" applyFill="1" applyBorder="1" applyAlignment="1">
      <alignment vertical="center"/>
    </xf>
    <xf numFmtId="0" fontId="20" fillId="20" borderId="3" xfId="0" applyFont="1" applyFill="1" applyBorder="1" applyAlignment="1">
      <alignment horizontal="justify" vertical="center"/>
    </xf>
    <xf numFmtId="0" fontId="20" fillId="20" borderId="3" xfId="0" applyFont="1" applyFill="1" applyBorder="1" applyAlignment="1">
      <alignment horizontal="center" vertical="center"/>
    </xf>
    <xf numFmtId="169" fontId="20" fillId="20" borderId="3" xfId="0" applyNumberFormat="1" applyFont="1" applyFill="1" applyBorder="1" applyAlignment="1">
      <alignment horizontal="center" vertical="center"/>
    </xf>
    <xf numFmtId="166" fontId="20" fillId="20" borderId="3" xfId="0" applyNumberFormat="1" applyFont="1" applyFill="1" applyBorder="1" applyAlignment="1">
      <alignment vertical="center"/>
    </xf>
    <xf numFmtId="166" fontId="20" fillId="20" borderId="3" xfId="0" applyNumberFormat="1" applyFont="1" applyFill="1" applyBorder="1" applyAlignment="1">
      <alignment horizontal="center" vertical="center"/>
    </xf>
    <xf numFmtId="1" fontId="20" fillId="20" borderId="3" xfId="0" applyNumberFormat="1" applyFont="1" applyFill="1" applyBorder="1" applyAlignment="1">
      <alignment horizontal="center" vertical="center"/>
    </xf>
    <xf numFmtId="167" fontId="20" fillId="20" borderId="3" xfId="0" applyNumberFormat="1" applyFont="1" applyFill="1" applyBorder="1" applyAlignment="1">
      <alignment vertical="center"/>
    </xf>
    <xf numFmtId="0" fontId="20" fillId="20" borderId="4" xfId="0" applyFont="1" applyFill="1" applyBorder="1" applyAlignment="1">
      <alignment horizontal="justify" vertical="center"/>
    </xf>
    <xf numFmtId="0" fontId="19" fillId="7" borderId="13" xfId="0" applyFont="1" applyFill="1" applyBorder="1" applyAlignment="1">
      <alignment vertical="center" wrapText="1"/>
    </xf>
    <xf numFmtId="0" fontId="19" fillId="7" borderId="0" xfId="0" applyFont="1" applyFill="1" applyBorder="1" applyAlignment="1">
      <alignment vertical="center" wrapText="1"/>
    </xf>
    <xf numFmtId="0" fontId="19" fillId="7" borderId="1" xfId="0" applyFont="1" applyFill="1" applyBorder="1" applyAlignment="1">
      <alignment vertical="center" wrapText="1"/>
    </xf>
    <xf numFmtId="0" fontId="20" fillId="7" borderId="8" xfId="0" applyFont="1" applyFill="1" applyBorder="1" applyAlignment="1">
      <alignment horizontal="center" vertical="center" wrapText="1"/>
    </xf>
    <xf numFmtId="0" fontId="20" fillId="7" borderId="0" xfId="0" applyFont="1" applyFill="1" applyBorder="1" applyAlignment="1">
      <alignment horizontal="center" vertical="center" wrapText="1"/>
    </xf>
    <xf numFmtId="1" fontId="20" fillId="17" borderId="10" xfId="0" applyNumberFormat="1" applyFont="1" applyFill="1" applyBorder="1" applyAlignment="1">
      <alignment horizontal="left" vertical="center" wrapText="1" indent="1"/>
    </xf>
    <xf numFmtId="0" fontId="20" fillId="17" borderId="11" xfId="0" applyFont="1" applyFill="1" applyBorder="1" applyAlignment="1">
      <alignment vertical="center"/>
    </xf>
    <xf numFmtId="0" fontId="20" fillId="17" borderId="11" xfId="0" applyFont="1" applyFill="1" applyBorder="1" applyAlignment="1">
      <alignment horizontal="justify" vertical="center"/>
    </xf>
    <xf numFmtId="0" fontId="20" fillId="17" borderId="11" xfId="0" applyFont="1" applyFill="1" applyBorder="1" applyAlignment="1">
      <alignment horizontal="center" vertical="center"/>
    </xf>
    <xf numFmtId="169" fontId="20" fillId="17" borderId="11" xfId="0" applyNumberFormat="1" applyFont="1" applyFill="1" applyBorder="1" applyAlignment="1">
      <alignment horizontal="center" vertical="center"/>
    </xf>
    <xf numFmtId="166" fontId="20" fillId="17" borderId="11" xfId="0" applyNumberFormat="1" applyFont="1" applyFill="1" applyBorder="1" applyAlignment="1">
      <alignment vertical="center"/>
    </xf>
    <xf numFmtId="166" fontId="20" fillId="17" borderId="11" xfId="0" applyNumberFormat="1" applyFont="1" applyFill="1" applyBorder="1" applyAlignment="1">
      <alignment horizontal="center" vertical="center"/>
    </xf>
    <xf numFmtId="1" fontId="20" fillId="17" borderId="11" xfId="0" applyNumberFormat="1" applyFont="1" applyFill="1" applyBorder="1" applyAlignment="1">
      <alignment horizontal="center" vertical="center"/>
    </xf>
    <xf numFmtId="167" fontId="20" fillId="17" borderId="11" xfId="0" applyNumberFormat="1" applyFont="1" applyFill="1" applyBorder="1" applyAlignment="1">
      <alignment vertical="center"/>
    </xf>
    <xf numFmtId="0" fontId="20" fillId="17" borderId="12" xfId="0" applyFont="1" applyFill="1" applyBorder="1" applyAlignment="1">
      <alignment horizontal="justify" vertical="center"/>
    </xf>
    <xf numFmtId="0" fontId="19" fillId="7" borderId="13"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2" xfId="0" applyFont="1" applyFill="1" applyBorder="1" applyAlignment="1">
      <alignment horizontal="center" vertical="center" wrapText="1"/>
    </xf>
    <xf numFmtId="9" fontId="19" fillId="7" borderId="2" xfId="0" applyNumberFormat="1" applyFont="1" applyFill="1" applyBorder="1" applyAlignment="1">
      <alignment horizontal="center" vertical="center" wrapText="1"/>
    </xf>
    <xf numFmtId="166" fontId="19" fillId="7" borderId="15" xfId="0" applyNumberFormat="1" applyFont="1" applyFill="1" applyBorder="1" applyAlignment="1">
      <alignment horizontal="center" vertical="center" wrapText="1"/>
    </xf>
    <xf numFmtId="1" fontId="19" fillId="7" borderId="15" xfId="0" applyNumberFormat="1" applyFont="1" applyFill="1" applyBorder="1" applyAlignment="1">
      <alignment horizontal="center" vertical="center" wrapText="1"/>
    </xf>
    <xf numFmtId="0" fontId="19" fillId="7" borderId="15" xfId="0" applyFont="1" applyFill="1" applyBorder="1" applyAlignment="1">
      <alignment horizontal="center" vertical="center" wrapText="1"/>
    </xf>
    <xf numFmtId="166" fontId="19" fillId="7" borderId="2" xfId="0" applyNumberFormat="1" applyFont="1" applyFill="1" applyBorder="1" applyAlignment="1">
      <alignment horizontal="center" vertical="center" wrapText="1"/>
    </xf>
    <xf numFmtId="0" fontId="19" fillId="7" borderId="2" xfId="0" applyFont="1" applyFill="1" applyBorder="1" applyAlignment="1">
      <alignment horizontal="justify" vertical="center" wrapText="1"/>
    </xf>
    <xf numFmtId="0" fontId="19" fillId="7" borderId="7" xfId="0" applyFont="1" applyFill="1" applyBorder="1" applyAlignment="1">
      <alignment horizontal="justify" vertical="center" wrapText="1"/>
    </xf>
    <xf numFmtId="166" fontId="19" fillId="0" borderId="15" xfId="0" applyNumberFormat="1" applyFont="1" applyFill="1" applyBorder="1" applyAlignment="1">
      <alignment horizontal="center" vertical="center" wrapText="1"/>
    </xf>
    <xf numFmtId="0" fontId="19" fillId="17" borderId="11" xfId="0" applyFont="1" applyFill="1" applyBorder="1" applyAlignment="1">
      <alignment vertical="center"/>
    </xf>
    <xf numFmtId="0" fontId="19" fillId="17" borderId="12" xfId="0" applyFont="1" applyFill="1" applyBorder="1" applyAlignment="1">
      <alignment horizontal="justify" vertical="center"/>
    </xf>
    <xf numFmtId="1" fontId="19" fillId="7" borderId="2"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0" fontId="19" fillId="7" borderId="7" xfId="0" applyFont="1" applyFill="1" applyBorder="1" applyAlignment="1">
      <alignment vertical="center" wrapText="1"/>
    </xf>
    <xf numFmtId="0" fontId="19" fillId="7" borderId="3" xfId="0" applyFont="1" applyFill="1" applyBorder="1" applyAlignment="1">
      <alignment vertical="center" wrapText="1"/>
    </xf>
    <xf numFmtId="0" fontId="19" fillId="7" borderId="4" xfId="0" applyFont="1" applyFill="1" applyBorder="1" applyAlignment="1">
      <alignment vertical="center" wrapText="1"/>
    </xf>
    <xf numFmtId="0" fontId="19" fillId="7" borderId="7" xfId="0" applyFont="1" applyFill="1" applyBorder="1" applyAlignment="1">
      <alignment horizontal="center" vertical="center" wrapText="1"/>
    </xf>
    <xf numFmtId="1" fontId="19" fillId="0" borderId="0" xfId="0" applyNumberFormat="1" applyFont="1"/>
    <xf numFmtId="0" fontId="19" fillId="7" borderId="0" xfId="0" applyFont="1" applyFill="1" applyAlignment="1">
      <alignment horizontal="center"/>
    </xf>
    <xf numFmtId="169" fontId="19" fillId="7" borderId="0" xfId="0" applyNumberFormat="1" applyFont="1" applyFill="1" applyAlignment="1">
      <alignment horizontal="center" vertical="center"/>
    </xf>
    <xf numFmtId="166" fontId="19" fillId="7" borderId="0" xfId="0" applyNumberFormat="1" applyFont="1" applyFill="1" applyAlignment="1">
      <alignment vertical="center"/>
    </xf>
    <xf numFmtId="166" fontId="19" fillId="7" borderId="0" xfId="0" applyNumberFormat="1" applyFont="1" applyFill="1" applyAlignment="1">
      <alignment horizontal="center" vertical="center"/>
    </xf>
    <xf numFmtId="1" fontId="19" fillId="7" borderId="0" xfId="0" applyNumberFormat="1" applyFont="1" applyFill="1" applyAlignment="1">
      <alignment horizontal="center" vertical="center"/>
    </xf>
    <xf numFmtId="0" fontId="19" fillId="7" borderId="0" xfId="0" applyFont="1" applyFill="1" applyAlignment="1">
      <alignment horizontal="center" vertical="center"/>
    </xf>
    <xf numFmtId="167" fontId="19" fillId="0" borderId="0" xfId="0" applyNumberFormat="1" applyFont="1" applyFill="1" applyAlignment="1">
      <alignment horizontal="right" vertical="center"/>
    </xf>
    <xf numFmtId="167" fontId="19" fillId="0" borderId="0" xfId="0" applyNumberFormat="1" applyFont="1" applyAlignment="1">
      <alignment horizontal="center"/>
    </xf>
    <xf numFmtId="166" fontId="28" fillId="7" borderId="0" xfId="0" applyNumberFormat="1" applyFont="1" applyFill="1" applyAlignment="1">
      <alignment vertical="center"/>
    </xf>
    <xf numFmtId="166" fontId="29" fillId="7" borderId="0" xfId="0" applyNumberFormat="1" applyFont="1" applyFill="1" applyAlignment="1">
      <alignment vertical="center"/>
    </xf>
    <xf numFmtId="0" fontId="11" fillId="0" borderId="14" xfId="0" applyFont="1" applyBorder="1" applyAlignment="1">
      <alignment horizontal="center" vertical="center" wrapText="1"/>
    </xf>
    <xf numFmtId="43" fontId="11" fillId="7" borderId="2" xfId="6" applyFont="1" applyFill="1" applyBorder="1" applyAlignment="1">
      <alignment horizontal="center" vertical="center" wrapText="1"/>
    </xf>
    <xf numFmtId="43" fontId="11" fillId="7" borderId="2" xfId="6" applyFont="1" applyFill="1" applyBorder="1" applyAlignment="1">
      <alignment vertical="center"/>
    </xf>
    <xf numFmtId="9" fontId="11" fillId="7" borderId="9" xfId="5" applyFont="1" applyFill="1" applyBorder="1" applyAlignment="1">
      <alignment horizontal="center" vertical="center" wrapText="1"/>
    </xf>
    <xf numFmtId="9" fontId="11" fillId="7" borderId="15" xfId="5" applyFont="1" applyFill="1" applyBorder="1" applyAlignment="1">
      <alignment horizontal="center" vertical="center" wrapText="1"/>
    </xf>
    <xf numFmtId="9" fontId="11" fillId="7" borderId="2" xfId="5" applyFont="1" applyFill="1" applyBorder="1" applyAlignment="1">
      <alignment horizontal="center" vertical="center" wrapText="1"/>
    </xf>
    <xf numFmtId="0" fontId="11" fillId="0" borderId="0" xfId="0" applyFont="1" applyAlignment="1">
      <alignment horizontal="center" vertical="center" wrapText="1"/>
    </xf>
    <xf numFmtId="43" fontId="11" fillId="7" borderId="15" xfId="6" applyFont="1" applyFill="1" applyBorder="1" applyAlignment="1">
      <alignment horizontal="center" vertical="center" wrapText="1"/>
    </xf>
    <xf numFmtId="0" fontId="20" fillId="0" borderId="2" xfId="0" applyFont="1" applyFill="1" applyBorder="1" applyAlignment="1">
      <alignment vertical="center"/>
    </xf>
    <xf numFmtId="0" fontId="20" fillId="0" borderId="2" xfId="0" applyFont="1" applyFill="1" applyBorder="1" applyAlignment="1">
      <alignment horizontal="left" vertical="center"/>
    </xf>
    <xf numFmtId="0" fontId="20" fillId="0" borderId="2" xfId="0" applyFont="1" applyFill="1" applyBorder="1" applyAlignment="1">
      <alignment vertical="center" wrapText="1"/>
    </xf>
    <xf numFmtId="0" fontId="20" fillId="0" borderId="9" xfId="0" applyFont="1" applyFill="1" applyBorder="1" applyAlignment="1">
      <alignment vertical="center"/>
    </xf>
    <xf numFmtId="3" fontId="30" fillId="0" borderId="9" xfId="0" applyNumberFormat="1" applyFont="1" applyFill="1" applyBorder="1" applyAlignment="1">
      <alignment horizontal="left" vertical="center" wrapText="1"/>
    </xf>
    <xf numFmtId="0" fontId="7" fillId="10" borderId="9" xfId="0" applyFont="1" applyFill="1" applyBorder="1" applyAlignment="1">
      <alignment horizontal="center" vertical="center" wrapText="1"/>
    </xf>
    <xf numFmtId="0" fontId="7" fillId="10" borderId="5" xfId="0" applyFont="1" applyFill="1" applyBorder="1" applyAlignment="1">
      <alignment vertical="center" wrapText="1"/>
    </xf>
    <xf numFmtId="0" fontId="7" fillId="10" borderId="8" xfId="0" applyFont="1" applyFill="1" applyBorder="1" applyAlignment="1">
      <alignment vertical="center" wrapText="1"/>
    </xf>
    <xf numFmtId="14" fontId="7" fillId="10" borderId="5" xfId="0" applyNumberFormat="1" applyFont="1" applyFill="1" applyBorder="1" applyAlignment="1">
      <alignment vertical="center" wrapText="1"/>
    </xf>
    <xf numFmtId="0" fontId="7" fillId="10" borderId="6" xfId="0" applyFont="1" applyFill="1" applyBorder="1" applyAlignment="1">
      <alignment vertical="center" wrapText="1"/>
    </xf>
    <xf numFmtId="0" fontId="7" fillId="7" borderId="9" xfId="0" applyFont="1" applyFill="1" applyBorder="1" applyAlignment="1">
      <alignment horizontal="center" vertical="center" wrapText="1"/>
    </xf>
    <xf numFmtId="0" fontId="7" fillId="7" borderId="9" xfId="0" applyFont="1" applyFill="1" applyBorder="1" applyAlignment="1">
      <alignment vertical="center" wrapText="1"/>
    </xf>
    <xf numFmtId="0" fontId="7" fillId="7" borderId="5" xfId="0" applyFont="1" applyFill="1" applyBorder="1" applyAlignment="1">
      <alignment vertical="center" wrapText="1"/>
    </xf>
    <xf numFmtId="0" fontId="7" fillId="23" borderId="10" xfId="0" applyFont="1" applyFill="1" applyBorder="1" applyAlignment="1">
      <alignment horizontal="center" vertical="center" wrapText="1"/>
    </xf>
    <xf numFmtId="0" fontId="7" fillId="23" borderId="5" xfId="0" applyFont="1" applyFill="1" applyBorder="1" applyAlignment="1">
      <alignment vertical="center" wrapText="1"/>
    </xf>
    <xf numFmtId="0" fontId="7" fillId="23" borderId="6" xfId="0" applyFont="1" applyFill="1" applyBorder="1" applyAlignment="1">
      <alignment vertical="center" wrapText="1"/>
    </xf>
    <xf numFmtId="0" fontId="7" fillId="7" borderId="14" xfId="0" applyFont="1" applyFill="1" applyBorder="1" applyAlignment="1">
      <alignment horizontal="center" vertical="center" wrapText="1"/>
    </xf>
    <xf numFmtId="0" fontId="7" fillId="7" borderId="14" xfId="0" applyFont="1" applyFill="1" applyBorder="1" applyAlignment="1">
      <alignment vertical="center" wrapText="1"/>
    </xf>
    <xf numFmtId="0" fontId="7" fillId="12" borderId="7" xfId="0" applyFont="1" applyFill="1" applyBorder="1" applyAlignment="1">
      <alignment horizontal="center" vertical="center" wrapText="1"/>
    </xf>
    <xf numFmtId="0" fontId="7" fillId="12" borderId="10" xfId="0" applyFont="1" applyFill="1" applyBorder="1" applyAlignment="1">
      <alignment vertical="center"/>
    </xf>
    <xf numFmtId="0" fontId="7" fillId="12" borderId="11" xfId="0" applyFont="1" applyFill="1" applyBorder="1" applyAlignment="1">
      <alignment vertical="center"/>
    </xf>
    <xf numFmtId="0" fontId="7" fillId="12" borderId="11" xfId="0" applyFont="1" applyFill="1" applyBorder="1" applyAlignment="1">
      <alignment vertical="center" wrapText="1"/>
    </xf>
    <xf numFmtId="0" fontId="7" fillId="12" borderId="12" xfId="0" applyFont="1" applyFill="1" applyBorder="1" applyAlignment="1">
      <alignment vertical="center" wrapText="1"/>
    </xf>
    <xf numFmtId="49" fontId="8" fillId="7" borderId="14" xfId="0" applyNumberFormat="1" applyFont="1" applyFill="1" applyBorder="1" applyAlignment="1">
      <alignment vertical="center" wrapText="1"/>
    </xf>
    <xf numFmtId="0" fontId="8" fillId="7" borderId="14" xfId="0" applyFont="1" applyFill="1" applyBorder="1" applyAlignment="1">
      <alignment vertical="center" wrapText="1"/>
    </xf>
    <xf numFmtId="49" fontId="8" fillId="7" borderId="9" xfId="0" applyNumberFormat="1" applyFont="1" applyFill="1" applyBorder="1" applyAlignment="1">
      <alignment vertical="center" wrapText="1"/>
    </xf>
    <xf numFmtId="0" fontId="8" fillId="0" borderId="15" xfId="6" applyNumberFormat="1" applyFont="1" applyBorder="1" applyAlignment="1">
      <alignment horizontal="center" vertical="center" wrapText="1"/>
    </xf>
    <xf numFmtId="9" fontId="8" fillId="0" borderId="15" xfId="5" applyFont="1" applyBorder="1" applyAlignment="1">
      <alignment horizontal="center" vertical="center" wrapText="1"/>
    </xf>
    <xf numFmtId="43" fontId="8" fillId="0" borderId="15" xfId="6" applyFont="1" applyBorder="1" applyAlignment="1">
      <alignment horizontal="center" vertical="center" wrapText="1"/>
    </xf>
    <xf numFmtId="49" fontId="8" fillId="7" borderId="9" xfId="0" applyNumberFormat="1" applyFont="1" applyFill="1" applyBorder="1" applyAlignment="1">
      <alignment horizontal="center" vertical="center" wrapText="1"/>
    </xf>
    <xf numFmtId="185" fontId="8" fillId="0" borderId="15" xfId="0" applyNumberFormat="1" applyFont="1" applyBorder="1" applyAlignment="1">
      <alignment horizontal="center" vertical="center" wrapText="1"/>
    </xf>
    <xf numFmtId="41" fontId="8" fillId="0" borderId="15" xfId="15" applyFont="1" applyBorder="1" applyAlignment="1">
      <alignment horizontal="center" vertical="center" wrapText="1"/>
    </xf>
    <xf numFmtId="14" fontId="8" fillId="0" borderId="15" xfId="0" applyNumberFormat="1" applyFont="1" applyBorder="1" applyAlignment="1">
      <alignment horizontal="center" vertical="center" wrapText="1"/>
    </xf>
    <xf numFmtId="0" fontId="7" fillId="12" borderId="2" xfId="0" applyFont="1" applyFill="1" applyBorder="1" applyAlignment="1">
      <alignment horizontal="center" vertical="center" wrapText="1"/>
    </xf>
    <xf numFmtId="0" fontId="7" fillId="12" borderId="2" xfId="0" applyFont="1" applyFill="1" applyBorder="1" applyAlignment="1">
      <alignment horizontal="left" vertical="center" wrapText="1"/>
    </xf>
    <xf numFmtId="43" fontId="7" fillId="12" borderId="2" xfId="6" applyFont="1" applyFill="1" applyBorder="1" applyAlignment="1">
      <alignment horizontal="left" vertical="center" wrapText="1"/>
    </xf>
    <xf numFmtId="14" fontId="7" fillId="12" borderId="2" xfId="0" applyNumberFormat="1" applyFont="1" applyFill="1" applyBorder="1" applyAlignment="1">
      <alignment horizontal="left" vertical="center" wrapText="1"/>
    </xf>
    <xf numFmtId="49" fontId="8" fillId="7" borderId="14" xfId="0" applyNumberFormat="1" applyFont="1" applyFill="1" applyBorder="1" applyAlignment="1">
      <alignment horizontal="center" vertical="center" wrapText="1"/>
    </xf>
    <xf numFmtId="43" fontId="8" fillId="7" borderId="9" xfId="6" applyFont="1" applyFill="1" applyBorder="1" applyAlignment="1">
      <alignment horizontal="center" vertical="center" wrapText="1"/>
    </xf>
    <xf numFmtId="49" fontId="8" fillId="7" borderId="2" xfId="0" applyNumberFormat="1" applyFont="1" applyFill="1" applyBorder="1" applyAlignment="1">
      <alignment horizontal="center" vertical="center" wrapText="1"/>
    </xf>
    <xf numFmtId="185" fontId="8" fillId="7" borderId="2" xfId="0" applyNumberFormat="1" applyFont="1" applyFill="1" applyBorder="1" applyAlignment="1">
      <alignment horizontal="center" vertical="center" wrapText="1"/>
    </xf>
    <xf numFmtId="43" fontId="8" fillId="0" borderId="9" xfId="6" applyFont="1" applyBorder="1" applyAlignment="1">
      <alignment horizontal="center" vertical="center" wrapText="1"/>
    </xf>
    <xf numFmtId="185" fontId="8" fillId="7" borderId="9" xfId="0" applyNumberFormat="1" applyFont="1" applyFill="1" applyBorder="1" applyAlignment="1">
      <alignment horizontal="center" vertical="center" wrapText="1"/>
    </xf>
    <xf numFmtId="186" fontId="7" fillId="7" borderId="20" xfId="0" applyNumberFormat="1" applyFont="1" applyFill="1" applyBorder="1" applyAlignment="1">
      <alignment vertical="center" wrapText="1"/>
    </xf>
    <xf numFmtId="0" fontId="7" fillId="7" borderId="20" xfId="0" applyFont="1" applyFill="1" applyBorder="1" applyAlignment="1">
      <alignment vertical="center" wrapText="1"/>
    </xf>
    <xf numFmtId="0" fontId="7" fillId="7" borderId="21" xfId="0" applyFont="1" applyFill="1" applyBorder="1" applyAlignment="1">
      <alignment horizontal="justify" vertical="center" wrapText="1"/>
    </xf>
    <xf numFmtId="43" fontId="7" fillId="7" borderId="22" xfId="6" applyFont="1" applyFill="1" applyBorder="1" applyAlignment="1">
      <alignment horizontal="justify" vertical="center" wrapText="1"/>
    </xf>
    <xf numFmtId="187" fontId="7" fillId="7" borderId="19" xfId="0" applyNumberFormat="1" applyFont="1" applyFill="1" applyBorder="1" applyAlignment="1">
      <alignment horizontal="center" vertical="center" wrapText="1"/>
    </xf>
    <xf numFmtId="187" fontId="7" fillId="7" borderId="20" xfId="0" applyNumberFormat="1" applyFont="1" applyFill="1" applyBorder="1" applyAlignment="1">
      <alignment horizontal="center" vertical="center" wrapText="1"/>
    </xf>
    <xf numFmtId="187" fontId="7" fillId="7" borderId="21" xfId="0" applyNumberFormat="1" applyFont="1" applyFill="1" applyBorder="1" applyAlignment="1">
      <alignment horizontal="center" vertical="center" wrapText="1"/>
    </xf>
    <xf numFmtId="43" fontId="7" fillId="7" borderId="22" xfId="6" applyFont="1" applyFill="1" applyBorder="1" applyAlignment="1">
      <alignment horizontal="center" vertical="center" wrapText="1"/>
    </xf>
    <xf numFmtId="0" fontId="7" fillId="7" borderId="19" xfId="0" applyFont="1" applyFill="1" applyBorder="1" applyAlignment="1">
      <alignment vertical="center"/>
    </xf>
    <xf numFmtId="0" fontId="7" fillId="7" borderId="20" xfId="0" applyFont="1" applyFill="1" applyBorder="1" applyAlignment="1">
      <alignment vertical="center"/>
    </xf>
    <xf numFmtId="14" fontId="7" fillId="7" borderId="20" xfId="0" applyNumberFormat="1" applyFont="1" applyFill="1" applyBorder="1" applyAlignment="1">
      <alignment horizontal="left" vertical="center"/>
    </xf>
    <xf numFmtId="0" fontId="14" fillId="0" borderId="20" xfId="0" applyFont="1" applyBorder="1"/>
    <xf numFmtId="0" fontId="14" fillId="0" borderId="21" xfId="0" applyFont="1" applyBorder="1"/>
    <xf numFmtId="0" fontId="8" fillId="0" borderId="0" xfId="0" applyFont="1"/>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justify" vertical="center"/>
    </xf>
    <xf numFmtId="14" fontId="8" fillId="0" borderId="0" xfId="0" applyNumberFormat="1" applyFont="1" applyAlignment="1">
      <alignment horizontal="left"/>
    </xf>
    <xf numFmtId="0" fontId="34" fillId="0" borderId="0" xfId="0" applyFont="1"/>
    <xf numFmtId="0" fontId="35" fillId="0" borderId="0" xfId="0" applyFont="1"/>
    <xf numFmtId="0" fontId="36" fillId="0" borderId="0" xfId="0" applyFont="1"/>
    <xf numFmtId="0" fontId="8" fillId="7" borderId="9" xfId="0" applyFont="1" applyFill="1" applyBorder="1" applyAlignment="1">
      <alignment horizontal="justify" vertical="center" wrapText="1"/>
    </xf>
    <xf numFmtId="0" fontId="8" fillId="7" borderId="14" xfId="0" applyFont="1" applyFill="1" applyBorder="1" applyAlignment="1">
      <alignment horizontal="justify" vertical="center" wrapText="1"/>
    </xf>
    <xf numFmtId="43" fontId="8" fillId="0" borderId="9" xfId="6" applyFont="1" applyFill="1" applyBorder="1" applyAlignment="1">
      <alignment horizontal="center" vertical="center" wrapText="1"/>
    </xf>
    <xf numFmtId="0" fontId="8" fillId="0" borderId="9" xfId="0" applyFont="1" applyFill="1" applyBorder="1" applyAlignment="1">
      <alignment horizontal="justify" vertical="center" wrapText="1"/>
    </xf>
    <xf numFmtId="3" fontId="8" fillId="7" borderId="14" xfId="0" applyNumberFormat="1" applyFont="1" applyFill="1" applyBorder="1" applyAlignment="1">
      <alignment horizontal="center" vertical="center" wrapText="1"/>
    </xf>
    <xf numFmtId="0" fontId="12" fillId="0" borderId="42" xfId="0" applyFont="1" applyBorder="1"/>
    <xf numFmtId="0" fontId="12" fillId="0" borderId="26" xfId="0" applyFont="1" applyBorder="1" applyAlignment="1">
      <alignment horizontal="justify"/>
    </xf>
    <xf numFmtId="0" fontId="12" fillId="0" borderId="2" xfId="0" applyFont="1" applyBorder="1" applyAlignment="1">
      <alignment horizontal="left"/>
    </xf>
    <xf numFmtId="173" fontId="12" fillId="0" borderId="18" xfId="0" applyNumberFormat="1" applyFont="1" applyBorder="1" applyAlignment="1">
      <alignment horizontal="justify"/>
    </xf>
    <xf numFmtId="0" fontId="12" fillId="0" borderId="2" xfId="0" applyFont="1" applyBorder="1"/>
    <xf numFmtId="17" fontId="12" fillId="0" borderId="18" xfId="0" applyNumberFormat="1" applyFont="1" applyBorder="1" applyAlignment="1">
      <alignment horizontal="justify"/>
    </xf>
    <xf numFmtId="3" fontId="5" fillId="2" borderId="18" xfId="0" applyNumberFormat="1" applyFont="1" applyFill="1" applyBorder="1" applyAlignment="1">
      <alignment horizontal="justify" vertical="center" wrapText="1"/>
    </xf>
    <xf numFmtId="0" fontId="5" fillId="15" borderId="10" xfId="0" applyFont="1" applyFill="1" applyBorder="1" applyAlignment="1">
      <alignment horizontal="center" vertical="center" textRotation="90" wrapText="1"/>
    </xf>
    <xf numFmtId="0" fontId="12" fillId="10" borderId="34" xfId="19" applyFont="1" applyFill="1" applyBorder="1" applyAlignment="1">
      <alignment horizontal="center" vertical="center" wrapText="1"/>
    </xf>
    <xf numFmtId="0" fontId="12" fillId="10" borderId="11" xfId="19" applyFont="1" applyFill="1" applyBorder="1" applyAlignment="1">
      <alignment vertical="center"/>
    </xf>
    <xf numFmtId="0" fontId="12" fillId="10" borderId="11" xfId="19" applyFont="1" applyFill="1" applyBorder="1" applyAlignment="1">
      <alignment horizontal="justify" vertical="center"/>
    </xf>
    <xf numFmtId="0" fontId="12" fillId="10" borderId="11" xfId="19" applyFont="1" applyFill="1" applyBorder="1" applyAlignment="1">
      <alignment horizontal="center" vertical="center"/>
    </xf>
    <xf numFmtId="0" fontId="11" fillId="10" borderId="11" xfId="19" applyFont="1" applyFill="1" applyBorder="1" applyAlignment="1">
      <alignment vertical="center"/>
    </xf>
    <xf numFmtId="0" fontId="12" fillId="10" borderId="11" xfId="6" applyNumberFormat="1" applyFont="1" applyFill="1" applyBorder="1" applyAlignment="1">
      <alignment vertical="center"/>
    </xf>
    <xf numFmtId="0" fontId="12" fillId="10" borderId="11" xfId="6" applyNumberFormat="1" applyFont="1" applyFill="1" applyBorder="1" applyAlignment="1">
      <alignment horizontal="center" vertical="center"/>
    </xf>
    <xf numFmtId="0" fontId="12" fillId="10" borderId="35" xfId="19" applyFont="1" applyFill="1" applyBorder="1" applyAlignment="1">
      <alignment vertical="center"/>
    </xf>
    <xf numFmtId="0" fontId="11" fillId="0" borderId="0" xfId="19" applyFont="1"/>
    <xf numFmtId="0" fontId="12" fillId="11" borderId="5" xfId="19" applyFont="1" applyFill="1" applyBorder="1" applyAlignment="1">
      <alignment horizontal="center" vertical="center"/>
    </xf>
    <xf numFmtId="0" fontId="12" fillId="11" borderId="5" xfId="19" applyFont="1" applyFill="1" applyBorder="1" applyAlignment="1">
      <alignment vertical="center"/>
    </xf>
    <xf numFmtId="0" fontId="12" fillId="11" borderId="11" xfId="19" applyFont="1" applyFill="1" applyBorder="1" applyAlignment="1">
      <alignment vertical="center"/>
    </xf>
    <xf numFmtId="0" fontId="12" fillId="11" borderId="11" xfId="19" applyFont="1" applyFill="1" applyBorder="1" applyAlignment="1">
      <alignment horizontal="justify" vertical="center"/>
    </xf>
    <xf numFmtId="0" fontId="12" fillId="11" borderId="11" xfId="19" applyFont="1" applyFill="1" applyBorder="1" applyAlignment="1">
      <alignment horizontal="center" vertical="center"/>
    </xf>
    <xf numFmtId="0" fontId="11" fillId="11" borderId="11" xfId="19" applyFont="1" applyFill="1" applyBorder="1" applyAlignment="1">
      <alignment vertical="center"/>
    </xf>
    <xf numFmtId="0" fontId="12" fillId="11" borderId="11" xfId="6" applyNumberFormat="1" applyFont="1" applyFill="1" applyBorder="1" applyAlignment="1">
      <alignment vertical="center"/>
    </xf>
    <xf numFmtId="174" fontId="12" fillId="11" borderId="11" xfId="6" applyNumberFormat="1" applyFont="1" applyFill="1" applyBorder="1" applyAlignment="1">
      <alignment vertical="center"/>
    </xf>
    <xf numFmtId="0" fontId="12" fillId="11" borderId="11" xfId="6" applyNumberFormat="1" applyFont="1" applyFill="1" applyBorder="1" applyAlignment="1">
      <alignment horizontal="center" vertical="center"/>
    </xf>
    <xf numFmtId="0" fontId="12" fillId="11" borderId="35" xfId="19" applyFont="1" applyFill="1" applyBorder="1" applyAlignment="1">
      <alignment vertical="center"/>
    </xf>
    <xf numFmtId="0" fontId="12" fillId="0" borderId="27" xfId="19" applyFont="1" applyBorder="1" applyAlignment="1">
      <alignment vertical="center" wrapText="1"/>
    </xf>
    <xf numFmtId="0" fontId="12" fillId="0" borderId="0" xfId="19" applyFont="1" applyAlignment="1">
      <alignment vertical="center" wrapText="1"/>
    </xf>
    <xf numFmtId="0" fontId="12" fillId="0" borderId="1" xfId="19" applyFont="1" applyBorder="1" applyAlignment="1">
      <alignment vertical="center" wrapText="1"/>
    </xf>
    <xf numFmtId="0" fontId="12" fillId="0" borderId="5" xfId="19" applyFont="1" applyBorder="1" applyAlignment="1">
      <alignment vertical="center" wrapText="1"/>
    </xf>
    <xf numFmtId="0" fontId="12" fillId="0" borderId="6" xfId="19" applyFont="1" applyBorder="1" applyAlignment="1">
      <alignment vertical="center" wrapText="1"/>
    </xf>
    <xf numFmtId="0" fontId="12" fillId="24" borderId="11" xfId="19" applyFont="1" applyFill="1" applyBorder="1" applyAlignment="1">
      <alignment horizontal="center" vertical="center" wrapText="1"/>
    </xf>
    <xf numFmtId="0" fontId="12" fillId="24" borderId="11" xfId="19" applyFont="1" applyFill="1" applyBorder="1" applyAlignment="1">
      <alignment vertical="center"/>
    </xf>
    <xf numFmtId="0" fontId="12" fillId="24" borderId="11" xfId="19" applyFont="1" applyFill="1" applyBorder="1" applyAlignment="1">
      <alignment horizontal="justify" vertical="center"/>
    </xf>
    <xf numFmtId="0" fontId="12" fillId="24" borderId="11" xfId="19" applyFont="1" applyFill="1" applyBorder="1" applyAlignment="1">
      <alignment horizontal="center" vertical="center"/>
    </xf>
    <xf numFmtId="0" fontId="11" fillId="24" borderId="11" xfId="19" applyFont="1" applyFill="1" applyBorder="1" applyAlignment="1">
      <alignment vertical="center"/>
    </xf>
    <xf numFmtId="0" fontId="12" fillId="24" borderId="11" xfId="6" applyNumberFormat="1" applyFont="1" applyFill="1" applyBorder="1" applyAlignment="1">
      <alignment vertical="center"/>
    </xf>
    <xf numFmtId="174" fontId="12" fillId="24" borderId="11" xfId="6" applyNumberFormat="1" applyFont="1" applyFill="1" applyBorder="1" applyAlignment="1">
      <alignment vertical="center"/>
    </xf>
    <xf numFmtId="0" fontId="12" fillId="24" borderId="11" xfId="6" applyNumberFormat="1" applyFont="1" applyFill="1" applyBorder="1" applyAlignment="1">
      <alignment horizontal="center" vertical="center"/>
    </xf>
    <xf numFmtId="0" fontId="12" fillId="24" borderId="35" xfId="19" applyFont="1" applyFill="1" applyBorder="1" applyAlignment="1">
      <alignment vertical="center"/>
    </xf>
    <xf numFmtId="0" fontId="11" fillId="7" borderId="27" xfId="19" applyFont="1" applyFill="1" applyBorder="1" applyAlignment="1">
      <alignment vertical="center" wrapText="1"/>
    </xf>
    <xf numFmtId="0" fontId="11" fillId="7" borderId="0" xfId="19" applyFont="1" applyFill="1" applyAlignment="1">
      <alignment vertical="center" wrapText="1"/>
    </xf>
    <xf numFmtId="0" fontId="11" fillId="7" borderId="1" xfId="19" applyFont="1" applyFill="1" applyBorder="1" applyAlignment="1">
      <alignment vertical="center" wrapText="1"/>
    </xf>
    <xf numFmtId="0" fontId="11" fillId="7" borderId="8" xfId="19" applyFont="1" applyFill="1" applyBorder="1" applyAlignment="1">
      <alignment vertical="center" wrapText="1"/>
    </xf>
    <xf numFmtId="0" fontId="11" fillId="7" borderId="5" xfId="19" applyFont="1" applyFill="1" applyBorder="1" applyAlignment="1">
      <alignment vertical="center" wrapText="1"/>
    </xf>
    <xf numFmtId="0" fontId="11" fillId="7" borderId="6" xfId="19" applyFont="1" applyFill="1" applyBorder="1" applyAlignment="1">
      <alignment vertical="center" wrapText="1"/>
    </xf>
    <xf numFmtId="0" fontId="11" fillId="7" borderId="7" xfId="19" applyFont="1" applyFill="1" applyBorder="1" applyAlignment="1">
      <alignment horizontal="justify" vertical="center" wrapText="1"/>
    </xf>
    <xf numFmtId="0" fontId="11" fillId="7" borderId="0" xfId="19" applyFont="1" applyFill="1"/>
    <xf numFmtId="0" fontId="11" fillId="7" borderId="13" xfId="19" applyFont="1" applyFill="1" applyBorder="1" applyAlignment="1">
      <alignment vertical="center" wrapText="1"/>
    </xf>
    <xf numFmtId="49" fontId="11" fillId="7" borderId="2" xfId="20" applyNumberFormat="1" applyFont="1" applyFill="1" applyBorder="1" applyAlignment="1">
      <alignment horizontal="left" vertical="center" wrapText="1"/>
    </xf>
    <xf numFmtId="0" fontId="11" fillId="7" borderId="3" xfId="19" applyFont="1" applyFill="1" applyBorder="1" applyAlignment="1">
      <alignment vertical="center" wrapText="1"/>
    </xf>
    <xf numFmtId="0" fontId="11" fillId="7" borderId="4" xfId="19" applyFont="1" applyFill="1" applyBorder="1" applyAlignment="1">
      <alignment vertical="center" wrapText="1"/>
    </xf>
    <xf numFmtId="0" fontId="11" fillId="7" borderId="7" xfId="19" applyFont="1" applyFill="1" applyBorder="1" applyAlignment="1">
      <alignment vertical="center" wrapText="1"/>
    </xf>
    <xf numFmtId="0" fontId="11" fillId="0" borderId="1" xfId="19" applyFont="1" applyBorder="1"/>
    <xf numFmtId="0" fontId="12" fillId="11" borderId="11" xfId="19" applyFont="1" applyFill="1" applyBorder="1" applyAlignment="1">
      <alignment horizontal="justify" vertical="center" wrapText="1"/>
    </xf>
    <xf numFmtId="0" fontId="12" fillId="11" borderId="12" xfId="19" applyFont="1" applyFill="1" applyBorder="1" applyAlignment="1">
      <alignment vertical="center"/>
    </xf>
    <xf numFmtId="0" fontId="12" fillId="11" borderId="10" xfId="19" applyFont="1" applyFill="1" applyBorder="1" applyAlignment="1">
      <alignment vertical="center"/>
    </xf>
    <xf numFmtId="43" fontId="11" fillId="11" borderId="11" xfId="6" applyFont="1" applyFill="1" applyBorder="1" applyAlignment="1">
      <alignment vertical="center"/>
    </xf>
    <xf numFmtId="1" fontId="12" fillId="11" borderId="11" xfId="19" applyNumberFormat="1" applyFont="1" applyFill="1" applyBorder="1" applyAlignment="1">
      <alignment horizontal="center" vertical="center"/>
    </xf>
    <xf numFmtId="0" fontId="12" fillId="24" borderId="11" xfId="19" applyFont="1" applyFill="1" applyBorder="1" applyAlignment="1">
      <alignment horizontal="justify" vertical="center" wrapText="1"/>
    </xf>
    <xf numFmtId="43" fontId="12" fillId="24" borderId="11" xfId="6" applyFont="1" applyFill="1" applyBorder="1" applyAlignment="1">
      <alignment vertical="center"/>
    </xf>
    <xf numFmtId="43" fontId="11" fillId="24" borderId="11" xfId="6" applyFont="1" applyFill="1" applyBorder="1" applyAlignment="1">
      <alignment vertical="center"/>
    </xf>
    <xf numFmtId="1" fontId="12" fillId="24" borderId="11" xfId="19" applyNumberFormat="1" applyFont="1" applyFill="1" applyBorder="1" applyAlignment="1">
      <alignment horizontal="center" vertical="center"/>
    </xf>
    <xf numFmtId="49" fontId="11" fillId="7" borderId="2" xfId="20" applyNumberFormat="1" applyFont="1" applyFill="1" applyBorder="1" applyAlignment="1">
      <alignment horizontal="justify" vertical="center" wrapText="1"/>
    </xf>
    <xf numFmtId="0" fontId="12" fillId="7" borderId="27" xfId="19" applyFont="1" applyFill="1" applyBorder="1" applyAlignment="1">
      <alignment vertical="center" wrapText="1"/>
    </xf>
    <xf numFmtId="0" fontId="12" fillId="7" borderId="0" xfId="19" applyFont="1" applyFill="1" applyAlignment="1">
      <alignment vertical="center" wrapText="1"/>
    </xf>
    <xf numFmtId="0" fontId="12" fillId="7" borderId="1" xfId="19" applyFont="1" applyFill="1" applyBorder="1" applyAlignment="1">
      <alignment vertical="center" wrapText="1"/>
    </xf>
    <xf numFmtId="0" fontId="12" fillId="7" borderId="8" xfId="19" applyFont="1" applyFill="1" applyBorder="1" applyAlignment="1">
      <alignment vertical="center" wrapText="1"/>
    </xf>
    <xf numFmtId="0" fontId="12" fillId="7" borderId="5" xfId="19" applyFont="1" applyFill="1" applyBorder="1" applyAlignment="1">
      <alignment vertical="center" wrapText="1"/>
    </xf>
    <xf numFmtId="0" fontId="12" fillId="7" borderId="6" xfId="19" applyFont="1" applyFill="1" applyBorder="1" applyAlignment="1">
      <alignment vertical="center" wrapText="1"/>
    </xf>
    <xf numFmtId="0" fontId="12" fillId="7" borderId="13" xfId="19" applyFont="1" applyFill="1" applyBorder="1" applyAlignment="1">
      <alignment vertical="center" wrapText="1"/>
    </xf>
    <xf numFmtId="0" fontId="12" fillId="7" borderId="7" xfId="19" applyFont="1" applyFill="1" applyBorder="1" applyAlignment="1">
      <alignment vertical="center" wrapText="1"/>
    </xf>
    <xf numFmtId="0" fontId="12" fillId="7" borderId="3" xfId="19" applyFont="1" applyFill="1" applyBorder="1" applyAlignment="1">
      <alignment vertical="center" wrapText="1"/>
    </xf>
    <xf numFmtId="0" fontId="12" fillId="7" borderId="4" xfId="19" applyFont="1" applyFill="1" applyBorder="1" applyAlignment="1">
      <alignment vertical="center" wrapText="1"/>
    </xf>
    <xf numFmtId="0" fontId="11" fillId="7" borderId="2" xfId="19" applyFont="1" applyFill="1" applyBorder="1" applyAlignment="1">
      <alignment horizontal="justify" vertical="center" wrapText="1"/>
    </xf>
    <xf numFmtId="49" fontId="11" fillId="7" borderId="2" xfId="20" applyNumberFormat="1" applyFont="1" applyFill="1" applyBorder="1" applyAlignment="1">
      <alignment horizontal="justify" vertical="top" wrapText="1"/>
    </xf>
    <xf numFmtId="0" fontId="8" fillId="7" borderId="0" xfId="19" applyFont="1" applyFill="1"/>
    <xf numFmtId="0" fontId="8" fillId="25" borderId="0" xfId="19" applyFont="1" applyFill="1"/>
    <xf numFmtId="0" fontId="8" fillId="7" borderId="27" xfId="19" applyFont="1" applyFill="1" applyBorder="1" applyAlignment="1">
      <alignment vertical="center" wrapText="1"/>
    </xf>
    <xf numFmtId="0" fontId="8" fillId="7" borderId="0" xfId="19" applyFont="1" applyFill="1" applyAlignment="1">
      <alignment vertical="center" wrapText="1"/>
    </xf>
    <xf numFmtId="0" fontId="8" fillId="7" borderId="1" xfId="19" applyFont="1" applyFill="1" applyBorder="1" applyAlignment="1">
      <alignment vertical="center" wrapText="1"/>
    </xf>
    <xf numFmtId="0" fontId="8" fillId="7" borderId="8" xfId="19" applyFont="1" applyFill="1" applyBorder="1" applyAlignment="1">
      <alignment vertical="center" wrapText="1"/>
    </xf>
    <xf numFmtId="0" fontId="8" fillId="7" borderId="5" xfId="19" applyFont="1" applyFill="1" applyBorder="1" applyAlignment="1">
      <alignment vertical="center" wrapText="1"/>
    </xf>
    <xf numFmtId="0" fontId="8" fillId="7" borderId="6" xfId="19" applyFont="1" applyFill="1" applyBorder="1" applyAlignment="1">
      <alignment vertical="center" wrapText="1"/>
    </xf>
    <xf numFmtId="0" fontId="8" fillId="7" borderId="13" xfId="19" applyFont="1" applyFill="1" applyBorder="1" applyAlignment="1">
      <alignment vertical="center" wrapText="1"/>
    </xf>
    <xf numFmtId="0" fontId="8" fillId="7" borderId="7" xfId="19" applyFont="1" applyFill="1" applyBorder="1" applyAlignment="1">
      <alignment vertical="center" wrapText="1"/>
    </xf>
    <xf numFmtId="0" fontId="8" fillId="7" borderId="3" xfId="19" applyFont="1" applyFill="1" applyBorder="1" applyAlignment="1">
      <alignment vertical="center" wrapText="1"/>
    </xf>
    <xf numFmtId="0" fontId="8" fillId="7" borderId="4" xfId="19" applyFont="1" applyFill="1" applyBorder="1" applyAlignment="1">
      <alignment vertical="center" wrapText="1"/>
    </xf>
    <xf numFmtId="0" fontId="11" fillId="7" borderId="15" xfId="19" applyFont="1" applyFill="1" applyBorder="1" applyAlignment="1">
      <alignment horizontal="justify" vertical="center" wrapText="1"/>
    </xf>
    <xf numFmtId="0" fontId="11" fillId="0" borderId="27" xfId="19" applyFont="1" applyBorder="1" applyAlignment="1">
      <alignment vertical="center" wrapText="1"/>
    </xf>
    <xf numFmtId="0" fontId="11" fillId="0" borderId="0" xfId="19" applyFont="1" applyAlignment="1">
      <alignment vertical="center" wrapText="1"/>
    </xf>
    <xf numFmtId="0" fontId="11" fillId="0" borderId="1" xfId="19" applyFont="1" applyBorder="1" applyAlignment="1">
      <alignment vertical="center" wrapText="1"/>
    </xf>
    <xf numFmtId="0" fontId="11" fillId="0" borderId="13" xfId="19" applyFont="1" applyBorder="1" applyAlignment="1">
      <alignment vertical="center" wrapText="1"/>
    </xf>
    <xf numFmtId="0" fontId="11" fillId="0" borderId="9" xfId="19" applyFont="1" applyBorder="1" applyAlignment="1">
      <alignment horizontal="center" vertical="center" wrapText="1"/>
    </xf>
    <xf numFmtId="1" fontId="11" fillId="0" borderId="9" xfId="19" applyNumberFormat="1" applyFont="1" applyBorder="1" applyAlignment="1">
      <alignment horizontal="center" vertical="center" wrapText="1"/>
    </xf>
    <xf numFmtId="0" fontId="11" fillId="0" borderId="14" xfId="19" applyFont="1" applyBorder="1" applyAlignment="1">
      <alignment horizontal="center" vertical="center" wrapText="1"/>
    </xf>
    <xf numFmtId="1" fontId="11" fillId="0" borderId="14" xfId="19" applyNumberFormat="1" applyFont="1" applyBorder="1" applyAlignment="1">
      <alignment horizontal="center" vertical="center" wrapText="1"/>
    </xf>
    <xf numFmtId="49" fontId="11" fillId="7" borderId="15" xfId="20" applyNumberFormat="1" applyFont="1" applyFill="1" applyBorder="1" applyAlignment="1">
      <alignment horizontal="justify" vertical="center" wrapText="1"/>
    </xf>
    <xf numFmtId="0" fontId="11" fillId="0" borderId="15" xfId="19" applyFont="1" applyBorder="1" applyAlignment="1">
      <alignment horizontal="center" vertical="center" wrapText="1"/>
    </xf>
    <xf numFmtId="0" fontId="11" fillId="0" borderId="7" xfId="19" applyFont="1" applyBorder="1" applyAlignment="1">
      <alignment vertical="center" wrapText="1"/>
    </xf>
    <xf numFmtId="0" fontId="11" fillId="0" borderId="3" xfId="19" applyFont="1" applyBorder="1" applyAlignment="1">
      <alignment vertical="center" wrapText="1"/>
    </xf>
    <xf numFmtId="0" fontId="11" fillId="0" borderId="4" xfId="19" applyFont="1" applyBorder="1" applyAlignment="1">
      <alignment vertical="center" wrapText="1"/>
    </xf>
    <xf numFmtId="1" fontId="11" fillId="0" borderId="15" xfId="19" applyNumberFormat="1" applyFont="1" applyBorder="1" applyAlignment="1">
      <alignment horizontal="center" vertical="center" wrapText="1"/>
    </xf>
    <xf numFmtId="0" fontId="11" fillId="7" borderId="9" xfId="19" applyFont="1" applyFill="1" applyBorder="1" applyAlignment="1">
      <alignment horizontal="center" vertical="center" wrapText="1"/>
    </xf>
    <xf numFmtId="1" fontId="11" fillId="7" borderId="9" xfId="19" applyNumberFormat="1" applyFont="1" applyFill="1" applyBorder="1" applyAlignment="1">
      <alignment vertical="center" wrapText="1"/>
    </xf>
    <xf numFmtId="0" fontId="11" fillId="7" borderId="14" xfId="19" applyFont="1" applyFill="1" applyBorder="1" applyAlignment="1">
      <alignment horizontal="center" vertical="center" wrapText="1"/>
    </xf>
    <xf numFmtId="1" fontId="11" fillId="7" borderId="14" xfId="19" applyNumberFormat="1" applyFont="1" applyFill="1" applyBorder="1" applyAlignment="1">
      <alignment vertical="center" wrapText="1"/>
    </xf>
    <xf numFmtId="1" fontId="11" fillId="7" borderId="14" xfId="19" applyNumberFormat="1" applyFont="1" applyFill="1" applyBorder="1" applyAlignment="1">
      <alignment horizontal="center" vertical="center" wrapText="1"/>
    </xf>
    <xf numFmtId="0" fontId="11" fillId="7" borderId="14" xfId="19" applyFont="1" applyFill="1" applyBorder="1" applyAlignment="1">
      <alignment horizontal="center" wrapText="1"/>
    </xf>
    <xf numFmtId="0" fontId="11" fillId="7" borderId="0" xfId="19" applyFont="1" applyFill="1" applyAlignment="1">
      <alignment horizontal="center"/>
    </xf>
    <xf numFmtId="0" fontId="11" fillId="7" borderId="14" xfId="19" applyFont="1" applyFill="1" applyBorder="1" applyAlignment="1">
      <alignment horizontal="center" vertical="top" wrapText="1"/>
    </xf>
    <xf numFmtId="0" fontId="11" fillId="7" borderId="15" xfId="19" applyFont="1" applyFill="1" applyBorder="1" applyAlignment="1">
      <alignment horizontal="center" vertical="center" wrapText="1"/>
    </xf>
    <xf numFmtId="1" fontId="11" fillId="7" borderId="15" xfId="19" applyNumberFormat="1" applyFont="1" applyFill="1" applyBorder="1" applyAlignment="1">
      <alignment vertical="center" wrapText="1"/>
    </xf>
    <xf numFmtId="1" fontId="11" fillId="7" borderId="9" xfId="19" applyNumberFormat="1" applyFont="1" applyFill="1" applyBorder="1" applyAlignment="1">
      <alignment horizontal="center" vertical="center" wrapText="1"/>
    </xf>
    <xf numFmtId="1" fontId="11" fillId="7" borderId="15" xfId="19" applyNumberFormat="1" applyFont="1" applyFill="1" applyBorder="1" applyAlignment="1">
      <alignment horizontal="center" vertical="center" wrapText="1"/>
    </xf>
    <xf numFmtId="43" fontId="12" fillId="24" borderId="11" xfId="6" applyFont="1" applyFill="1" applyBorder="1" applyAlignment="1">
      <alignment horizontal="justify" vertical="center"/>
    </xf>
    <xf numFmtId="0" fontId="11" fillId="7" borderId="2" xfId="19" applyFont="1" applyFill="1" applyBorder="1" applyAlignment="1">
      <alignment horizontal="center" vertical="center" wrapText="1"/>
    </xf>
    <xf numFmtId="0" fontId="11" fillId="7" borderId="2" xfId="19" applyFont="1" applyFill="1" applyBorder="1" applyAlignment="1">
      <alignment horizontal="left" vertical="center" wrapText="1"/>
    </xf>
    <xf numFmtId="49" fontId="11" fillId="0" borderId="2" xfId="20" applyNumberFormat="1" applyFont="1" applyBorder="1" applyAlignment="1">
      <alignment horizontal="justify" vertical="center" wrapText="1"/>
    </xf>
    <xf numFmtId="0" fontId="11" fillId="25" borderId="0" xfId="19" applyFont="1" applyFill="1"/>
    <xf numFmtId="0" fontId="12" fillId="11" borderId="0" xfId="19" applyFont="1" applyFill="1" applyAlignment="1">
      <alignment horizontal="justify" vertical="center" wrapText="1"/>
    </xf>
    <xf numFmtId="0" fontId="12" fillId="11" borderId="0" xfId="19" applyFont="1" applyFill="1" applyAlignment="1">
      <alignment vertical="center"/>
    </xf>
    <xf numFmtId="0" fontId="12" fillId="11" borderId="3" xfId="19" applyFont="1" applyFill="1" applyBorder="1" applyAlignment="1">
      <alignment vertical="center"/>
    </xf>
    <xf numFmtId="0" fontId="12" fillId="11" borderId="3" xfId="19" applyFont="1" applyFill="1" applyBorder="1" applyAlignment="1">
      <alignment horizontal="justify" vertical="center"/>
    </xf>
    <xf numFmtId="0" fontId="12" fillId="11" borderId="3" xfId="19" applyFont="1" applyFill="1" applyBorder="1" applyAlignment="1">
      <alignment horizontal="center" vertical="center"/>
    </xf>
    <xf numFmtId="1" fontId="12" fillId="11" borderId="3" xfId="19" applyNumberFormat="1" applyFont="1" applyFill="1" applyBorder="1" applyAlignment="1">
      <alignment horizontal="center" vertical="center"/>
    </xf>
    <xf numFmtId="0" fontId="12" fillId="11" borderId="30" xfId="19" applyFont="1" applyFill="1" applyBorder="1" applyAlignment="1">
      <alignment vertical="center"/>
    </xf>
    <xf numFmtId="0" fontId="11" fillId="7" borderId="2" xfId="19" quotePrefix="1" applyFont="1" applyFill="1" applyBorder="1" applyAlignment="1">
      <alignment horizontal="justify" vertical="center" wrapText="1"/>
    </xf>
    <xf numFmtId="43" fontId="8" fillId="0" borderId="2" xfId="6" applyFont="1" applyBorder="1" applyAlignment="1">
      <alignment horizontal="center" vertical="center" wrapText="1"/>
    </xf>
    <xf numFmtId="0" fontId="12" fillId="24" borderId="2" xfId="19" applyFont="1" applyFill="1" applyBorder="1" applyAlignment="1">
      <alignment vertical="center"/>
    </xf>
    <xf numFmtId="0" fontId="11" fillId="7" borderId="8" xfId="19" applyFont="1" applyFill="1" applyBorder="1" applyAlignment="1">
      <alignment horizontal="center" vertical="center" wrapText="1"/>
    </xf>
    <xf numFmtId="10" fontId="11" fillId="7" borderId="2" xfId="5" applyNumberFormat="1" applyFont="1" applyFill="1" applyBorder="1" applyAlignment="1">
      <alignment horizontal="center" vertical="center" wrapText="1"/>
    </xf>
    <xf numFmtId="1" fontId="11" fillId="7" borderId="9" xfId="19" quotePrefix="1" applyNumberFormat="1" applyFont="1" applyFill="1" applyBorder="1" applyAlignment="1">
      <alignment horizontal="center" vertical="center" wrapText="1"/>
    </xf>
    <xf numFmtId="0" fontId="11" fillId="7" borderId="12" xfId="19" quotePrefix="1" applyFont="1" applyFill="1" applyBorder="1" applyAlignment="1">
      <alignment horizontal="justify" vertical="center" wrapText="1"/>
    </xf>
    <xf numFmtId="43" fontId="8" fillId="0" borderId="10" xfId="6" applyFont="1" applyBorder="1" applyAlignment="1">
      <alignment horizontal="center" vertical="center" wrapText="1"/>
    </xf>
    <xf numFmtId="0" fontId="11" fillId="7" borderId="11" xfId="19" applyFont="1" applyFill="1" applyBorder="1" applyAlignment="1">
      <alignment horizontal="justify" vertical="center" wrapText="1"/>
    </xf>
    <xf numFmtId="3" fontId="12" fillId="11" borderId="5" xfId="19" applyNumberFormat="1" applyFont="1" applyFill="1" applyBorder="1" applyAlignment="1">
      <alignment horizontal="justify" vertical="center" wrapText="1"/>
    </xf>
    <xf numFmtId="0" fontId="12" fillId="24" borderId="5" xfId="19" applyFont="1" applyFill="1" applyBorder="1" applyAlignment="1">
      <alignment horizontal="justify" vertical="center" wrapText="1"/>
    </xf>
    <xf numFmtId="0" fontId="12" fillId="24" borderId="5" xfId="19" applyFont="1" applyFill="1" applyBorder="1" applyAlignment="1">
      <alignment vertical="center"/>
    </xf>
    <xf numFmtId="0" fontId="12" fillId="24" borderId="5" xfId="19" applyFont="1" applyFill="1" applyBorder="1" applyAlignment="1">
      <alignment horizontal="justify" vertical="center"/>
    </xf>
    <xf numFmtId="0" fontId="12" fillId="24" borderId="5" xfId="19" applyFont="1" applyFill="1" applyBorder="1" applyAlignment="1">
      <alignment horizontal="center" vertical="center"/>
    </xf>
    <xf numFmtId="43" fontId="12" fillId="24" borderId="5" xfId="6" applyFont="1" applyFill="1" applyBorder="1" applyAlignment="1">
      <alignment vertical="center"/>
    </xf>
    <xf numFmtId="43" fontId="11" fillId="24" borderId="5" xfId="6" applyFont="1" applyFill="1" applyBorder="1" applyAlignment="1">
      <alignment vertical="center"/>
    </xf>
    <xf numFmtId="1" fontId="12" fillId="24" borderId="5" xfId="19" applyNumberFormat="1" applyFont="1" applyFill="1" applyBorder="1" applyAlignment="1">
      <alignment horizontal="center" vertical="center"/>
    </xf>
    <xf numFmtId="0" fontId="12" fillId="24" borderId="36" xfId="19" applyFont="1" applyFill="1" applyBorder="1" applyAlignment="1">
      <alignment vertical="center"/>
    </xf>
    <xf numFmtId="0" fontId="11" fillId="7" borderId="9" xfId="19" applyFont="1" applyFill="1" applyBorder="1" applyAlignment="1">
      <alignment horizontal="justify" vertical="center" wrapText="1"/>
    </xf>
    <xf numFmtId="0" fontId="11" fillId="0" borderId="9" xfId="19" applyFont="1" applyBorder="1" applyAlignment="1">
      <alignment horizontal="center" vertical="center"/>
    </xf>
    <xf numFmtId="0" fontId="11" fillId="7" borderId="2" xfId="19" quotePrefix="1" applyFont="1" applyFill="1" applyBorder="1" applyAlignment="1">
      <alignment horizontal="left" vertical="center" wrapText="1"/>
    </xf>
    <xf numFmtId="0" fontId="11" fillId="0" borderId="2" xfId="19" applyFont="1" applyBorder="1" applyAlignment="1">
      <alignment horizontal="center"/>
    </xf>
    <xf numFmtId="0" fontId="11" fillId="7" borderId="2" xfId="19" applyFont="1" applyFill="1" applyBorder="1" applyAlignment="1">
      <alignment vertical="center" wrapText="1"/>
    </xf>
    <xf numFmtId="0" fontId="11" fillId="7" borderId="2" xfId="19" quotePrefix="1" applyFont="1" applyFill="1" applyBorder="1" applyAlignment="1">
      <alignment vertical="center" wrapText="1"/>
    </xf>
    <xf numFmtId="43" fontId="8" fillId="7" borderId="2" xfId="6" applyFont="1" applyFill="1" applyBorder="1" applyAlignment="1">
      <alignment vertical="center" wrapText="1"/>
    </xf>
    <xf numFmtId="1" fontId="11" fillId="7" borderId="14" xfId="19" quotePrefix="1" applyNumberFormat="1" applyFont="1" applyFill="1" applyBorder="1" applyAlignment="1">
      <alignment horizontal="center" vertical="center" wrapText="1"/>
    </xf>
    <xf numFmtId="0" fontId="11" fillId="0" borderId="0" xfId="19" applyFont="1" applyAlignment="1">
      <alignment horizontal="center"/>
    </xf>
    <xf numFmtId="0" fontId="12" fillId="0" borderId="3" xfId="19" applyFont="1" applyBorder="1" applyAlignment="1">
      <alignment vertical="center" wrapText="1"/>
    </xf>
    <xf numFmtId="0" fontId="12" fillId="0" borderId="4" xfId="19" applyFont="1" applyBorder="1" applyAlignment="1">
      <alignment vertical="center" wrapText="1"/>
    </xf>
    <xf numFmtId="0" fontId="12" fillId="24" borderId="0" xfId="19" applyFont="1" applyFill="1" applyAlignment="1">
      <alignment horizontal="justify" vertical="center" wrapText="1"/>
    </xf>
    <xf numFmtId="0" fontId="12" fillId="24" borderId="0" xfId="19" applyFont="1" applyFill="1" applyAlignment="1">
      <alignment vertical="center"/>
    </xf>
    <xf numFmtId="0" fontId="12" fillId="24" borderId="3" xfId="19" applyFont="1" applyFill="1" applyBorder="1" applyAlignment="1">
      <alignment vertical="center"/>
    </xf>
    <xf numFmtId="0" fontId="12" fillId="24" borderId="3" xfId="19" applyFont="1" applyFill="1" applyBorder="1" applyAlignment="1">
      <alignment horizontal="justify" vertical="center"/>
    </xf>
    <xf numFmtId="0" fontId="12" fillId="24" borderId="11" xfId="6" applyNumberFormat="1" applyFont="1" applyFill="1" applyBorder="1" applyAlignment="1">
      <alignment horizontal="center" vertical="center" textRotation="180" wrapText="1"/>
    </xf>
    <xf numFmtId="0" fontId="11" fillId="7" borderId="27" xfId="19" applyFont="1" applyFill="1" applyBorder="1" applyAlignment="1">
      <alignment horizontal="center" vertical="center" wrapText="1"/>
    </xf>
    <xf numFmtId="0" fontId="11" fillId="7" borderId="0" xfId="19" applyFont="1" applyFill="1" applyAlignment="1">
      <alignment horizontal="center" vertical="center" wrapText="1"/>
    </xf>
    <xf numFmtId="0" fontId="11" fillId="7" borderId="1" xfId="19" applyFont="1" applyFill="1" applyBorder="1" applyAlignment="1">
      <alignment horizontal="center" vertical="center" wrapText="1"/>
    </xf>
    <xf numFmtId="0" fontId="11" fillId="7" borderId="5" xfId="19" applyFont="1" applyFill="1" applyBorder="1" applyAlignment="1">
      <alignment horizontal="center" vertical="center" wrapText="1"/>
    </xf>
    <xf numFmtId="0" fontId="11" fillId="7" borderId="6" xfId="19" applyFont="1" applyFill="1" applyBorder="1" applyAlignment="1">
      <alignment horizontal="center" vertical="center" wrapText="1"/>
    </xf>
    <xf numFmtId="0" fontId="12" fillId="24" borderId="0" xfId="6" applyNumberFormat="1" applyFont="1" applyFill="1" applyAlignment="1">
      <alignment horizontal="center" vertical="center" textRotation="180" wrapText="1"/>
    </xf>
    <xf numFmtId="0" fontId="8" fillId="7" borderId="2" xfId="20" quotePrefix="1" applyFont="1" applyFill="1" applyBorder="1" applyAlignment="1">
      <alignment horizontal="justify" vertical="center" wrapText="1"/>
    </xf>
    <xf numFmtId="43" fontId="8" fillId="7" borderId="2" xfId="6" quotePrefix="1" applyFont="1" applyFill="1" applyBorder="1" applyAlignment="1">
      <alignment vertical="center" wrapText="1"/>
    </xf>
    <xf numFmtId="0" fontId="11" fillId="7" borderId="14" xfId="19" applyFont="1" applyFill="1" applyBorder="1" applyAlignment="1">
      <alignment horizontal="justify" vertical="center" wrapText="1"/>
    </xf>
    <xf numFmtId="0" fontId="11" fillId="7" borderId="9" xfId="19" applyFont="1" applyFill="1" applyBorder="1" applyAlignment="1">
      <alignment vertical="center" wrapText="1"/>
    </xf>
    <xf numFmtId="49" fontId="11" fillId="7" borderId="2" xfId="20" quotePrefix="1" applyNumberFormat="1" applyFont="1" applyFill="1" applyBorder="1" applyAlignment="1">
      <alignment horizontal="justify" vertical="center" wrapText="1"/>
    </xf>
    <xf numFmtId="0" fontId="11" fillId="7" borderId="14" xfId="19" applyFont="1" applyFill="1" applyBorder="1" applyAlignment="1">
      <alignment vertical="center" wrapText="1"/>
    </xf>
    <xf numFmtId="49" fontId="8" fillId="7" borderId="9" xfId="20" quotePrefix="1" applyNumberFormat="1" applyFont="1" applyFill="1" applyBorder="1" applyAlignment="1">
      <alignment horizontal="justify" vertical="center" wrapText="1"/>
    </xf>
    <xf numFmtId="0" fontId="11" fillId="7" borderId="15" xfId="19" applyFont="1" applyFill="1" applyBorder="1" applyAlignment="1">
      <alignment vertical="center" wrapText="1"/>
    </xf>
    <xf numFmtId="0" fontId="12" fillId="24" borderId="11" xfId="6" applyNumberFormat="1" applyFont="1" applyFill="1" applyBorder="1" applyAlignment="1">
      <alignment vertical="center" textRotation="180" wrapText="1"/>
    </xf>
    <xf numFmtId="174" fontId="12" fillId="24" borderId="11" xfId="6" applyNumberFormat="1" applyFont="1" applyFill="1" applyBorder="1" applyAlignment="1">
      <alignment vertical="center" textRotation="180" wrapText="1"/>
    </xf>
    <xf numFmtId="49" fontId="8" fillId="0" borderId="2" xfId="20" applyNumberFormat="1" applyFont="1" applyBorder="1" applyAlignment="1">
      <alignment horizontal="justify" vertical="center" wrapText="1"/>
    </xf>
    <xf numFmtId="0" fontId="11" fillId="7" borderId="3" xfId="19" applyFont="1" applyFill="1" applyBorder="1" applyAlignment="1">
      <alignment horizontal="center" vertical="center" wrapText="1"/>
    </xf>
    <xf numFmtId="0" fontId="11" fillId="7" borderId="4" xfId="19" applyFont="1" applyFill="1" applyBorder="1" applyAlignment="1">
      <alignment horizontal="center" vertical="center" wrapText="1"/>
    </xf>
    <xf numFmtId="43" fontId="8" fillId="7" borderId="2" xfId="6" quotePrefix="1" applyFont="1" applyFill="1" applyBorder="1" applyAlignment="1">
      <alignment horizontal="center" vertical="center"/>
    </xf>
    <xf numFmtId="0" fontId="11" fillId="0" borderId="2" xfId="19" applyFont="1" applyBorder="1" applyAlignment="1">
      <alignment horizontal="center" vertical="center" wrapText="1"/>
    </xf>
    <xf numFmtId="0" fontId="11" fillId="0" borderId="2" xfId="19" applyFont="1" applyBorder="1" applyAlignment="1">
      <alignment horizontal="justify" vertical="center" wrapText="1"/>
    </xf>
    <xf numFmtId="0" fontId="11" fillId="0" borderId="9" xfId="19" applyFont="1" applyBorder="1" applyAlignment="1">
      <alignment vertical="center" wrapText="1"/>
    </xf>
    <xf numFmtId="0" fontId="12" fillId="11" borderId="11" xfId="6" applyNumberFormat="1" applyFont="1" applyFill="1" applyBorder="1" applyAlignment="1">
      <alignment vertical="center" textRotation="180" wrapText="1"/>
    </xf>
    <xf numFmtId="174" fontId="12" fillId="11" borderId="11" xfId="6" applyNumberFormat="1" applyFont="1" applyFill="1" applyBorder="1" applyAlignment="1">
      <alignment vertical="center" textRotation="180" wrapText="1"/>
    </xf>
    <xf numFmtId="0" fontId="12" fillId="11" borderId="11" xfId="6" applyNumberFormat="1" applyFont="1" applyFill="1" applyBorder="1" applyAlignment="1">
      <alignment horizontal="center" vertical="center" textRotation="180" wrapText="1"/>
    </xf>
    <xf numFmtId="0" fontId="12" fillId="24" borderId="3" xfId="19" applyFont="1" applyFill="1" applyBorder="1" applyAlignment="1">
      <alignment horizontal="center" vertical="center"/>
    </xf>
    <xf numFmtId="0" fontId="12" fillId="24" borderId="3" xfId="6" applyNumberFormat="1" applyFont="1" applyFill="1" applyBorder="1" applyAlignment="1">
      <alignment vertical="center" textRotation="180" wrapText="1"/>
    </xf>
    <xf numFmtId="174" fontId="12" fillId="24" borderId="3" xfId="6" applyNumberFormat="1" applyFont="1" applyFill="1" applyBorder="1" applyAlignment="1">
      <alignment vertical="center" textRotation="180" wrapText="1"/>
    </xf>
    <xf numFmtId="0" fontId="12" fillId="24" borderId="3" xfId="6" applyNumberFormat="1" applyFont="1" applyFill="1" applyBorder="1" applyAlignment="1">
      <alignment horizontal="center" vertical="center" textRotation="180" wrapText="1"/>
    </xf>
    <xf numFmtId="49" fontId="8" fillId="7" borderId="2" xfId="20" applyNumberFormat="1" applyFont="1" applyFill="1" applyBorder="1" applyAlignment="1">
      <alignment horizontal="justify" vertical="center" wrapText="1"/>
    </xf>
    <xf numFmtId="0" fontId="8" fillId="7" borderId="2" xfId="20" applyFont="1" applyFill="1" applyBorder="1" applyAlignment="1">
      <alignment horizontal="justify" vertical="center" wrapText="1"/>
    </xf>
    <xf numFmtId="0" fontId="8" fillId="7" borderId="9" xfId="20" applyFont="1" applyFill="1" applyBorder="1" applyAlignment="1">
      <alignment horizontal="justify" vertical="center" wrapText="1"/>
    </xf>
    <xf numFmtId="43" fontId="8" fillId="7" borderId="8" xfId="6" applyFont="1" applyFill="1" applyBorder="1" applyAlignment="1">
      <alignment horizontal="center" vertical="center" wrapText="1"/>
    </xf>
    <xf numFmtId="0" fontId="11" fillId="0" borderId="2" xfId="19" applyFont="1" applyBorder="1"/>
    <xf numFmtId="0" fontId="11" fillId="7" borderId="19" xfId="19" applyFont="1" applyFill="1" applyBorder="1"/>
    <xf numFmtId="0" fontId="11" fillId="7" borderId="20" xfId="19" applyFont="1" applyFill="1" applyBorder="1" applyAlignment="1">
      <alignment horizontal="justify"/>
    </xf>
    <xf numFmtId="0" fontId="11" fillId="7" borderId="21" xfId="19" applyFont="1" applyFill="1" applyBorder="1" applyAlignment="1">
      <alignment horizontal="right" vertical="center"/>
    </xf>
    <xf numFmtId="0" fontId="11" fillId="7" borderId="19" xfId="19" applyFont="1" applyFill="1" applyBorder="1" applyAlignment="1">
      <alignment horizontal="center" vertical="center"/>
    </xf>
    <xf numFmtId="0" fontId="11" fillId="7" borderId="20" xfId="19" applyFont="1" applyFill="1" applyBorder="1" applyAlignment="1">
      <alignment horizontal="center" vertical="center"/>
    </xf>
    <xf numFmtId="0" fontId="11" fillId="0" borderId="20" xfId="6" applyNumberFormat="1" applyFont="1" applyBorder="1"/>
    <xf numFmtId="0" fontId="11" fillId="0" borderId="20" xfId="6" applyNumberFormat="1" applyFont="1" applyBorder="1" applyAlignment="1">
      <alignment horizontal="center" vertical="center"/>
    </xf>
    <xf numFmtId="0" fontId="11" fillId="0" borderId="20" xfId="19" applyFont="1" applyBorder="1"/>
    <xf numFmtId="0" fontId="11" fillId="0" borderId="21" xfId="19" applyFont="1" applyBorder="1"/>
    <xf numFmtId="0" fontId="11" fillId="7" borderId="0" xfId="19" applyFont="1" applyFill="1" applyAlignment="1">
      <alignment horizontal="justify"/>
    </xf>
    <xf numFmtId="0" fontId="11" fillId="7" borderId="0" xfId="19" applyFont="1" applyFill="1" applyAlignment="1">
      <alignment horizontal="center" vertical="center"/>
    </xf>
    <xf numFmtId="0" fontId="11" fillId="7" borderId="0" xfId="19" applyFont="1" applyFill="1" applyAlignment="1">
      <alignment horizontal="justify" vertical="center"/>
    </xf>
    <xf numFmtId="174" fontId="11" fillId="7" borderId="0" xfId="19" applyNumberFormat="1" applyFont="1" applyFill="1" applyAlignment="1">
      <alignment horizontal="justify" vertical="center"/>
    </xf>
    <xf numFmtId="0" fontId="11" fillId="0" borderId="0" xfId="6" applyNumberFormat="1" applyFont="1"/>
    <xf numFmtId="0" fontId="11" fillId="0" borderId="0" xfId="6" applyNumberFormat="1" applyFont="1" applyAlignment="1">
      <alignment horizontal="center" vertical="center"/>
    </xf>
    <xf numFmtId="0" fontId="12" fillId="7" borderId="5" xfId="19" applyFont="1" applyFill="1" applyBorder="1" applyAlignment="1">
      <alignment horizontal="justify"/>
    </xf>
    <xf numFmtId="0" fontId="12" fillId="0" borderId="2"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0" xfId="0" applyFont="1" applyAlignment="1">
      <alignment horizontal="justify" vertical="center" wrapText="1"/>
    </xf>
    <xf numFmtId="0" fontId="11" fillId="0" borderId="7" xfId="0" applyFont="1" applyBorder="1" applyAlignment="1">
      <alignment horizontal="justify" vertical="center" wrapText="1"/>
    </xf>
    <xf numFmtId="0" fontId="11" fillId="0" borderId="10" xfId="0" applyFont="1" applyBorder="1" applyAlignment="1">
      <alignment horizontal="justify" vertical="center" wrapText="1"/>
    </xf>
    <xf numFmtId="0" fontId="12" fillId="0" borderId="0" xfId="0" applyFont="1" applyAlignment="1">
      <alignment horizontal="center" vertical="center"/>
    </xf>
    <xf numFmtId="0" fontId="12" fillId="7" borderId="5" xfId="0" applyFont="1" applyFill="1" applyBorder="1" applyAlignment="1">
      <alignment horizontal="center" vertical="center" wrapText="1"/>
    </xf>
    <xf numFmtId="0" fontId="12" fillId="7" borderId="0" xfId="0" applyFont="1" applyFill="1" applyAlignment="1">
      <alignment horizontal="center" vertical="center" wrapText="1"/>
    </xf>
    <xf numFmtId="0" fontId="11" fillId="7" borderId="0" xfId="0" applyFont="1" applyFill="1" applyAlignment="1">
      <alignment horizontal="center" vertical="center" wrapText="1"/>
    </xf>
    <xf numFmtId="0" fontId="11" fillId="7" borderId="1" xfId="0" applyFont="1" applyFill="1" applyBorder="1" applyAlignment="1">
      <alignment horizontal="center" vertical="center" wrapText="1"/>
    </xf>
    <xf numFmtId="0" fontId="11" fillId="7" borderId="10" xfId="0" applyFont="1" applyFill="1" applyBorder="1" applyAlignment="1">
      <alignment horizontal="justify" vertical="center" wrapText="1"/>
    </xf>
    <xf numFmtId="0" fontId="11" fillId="7" borderId="14" xfId="0" applyFont="1" applyFill="1" applyBorder="1" applyAlignment="1">
      <alignment horizontal="center" vertical="center" wrapText="1"/>
    </xf>
    <xf numFmtId="0" fontId="11" fillId="7" borderId="9" xfId="0" applyFont="1" applyFill="1" applyBorder="1" applyAlignment="1">
      <alignment horizontal="center" vertical="center" wrapText="1"/>
    </xf>
    <xf numFmtId="3" fontId="11" fillId="7" borderId="9" xfId="0" applyNumberFormat="1" applyFont="1" applyFill="1" applyBorder="1" applyAlignment="1">
      <alignment horizontal="center" vertical="center" wrapText="1"/>
    </xf>
    <xf numFmtId="3" fontId="11" fillId="7" borderId="14" xfId="0" applyNumberFormat="1" applyFont="1" applyFill="1" applyBorder="1" applyAlignment="1">
      <alignment horizontal="center" vertical="center" wrapText="1"/>
    </xf>
    <xf numFmtId="3" fontId="11" fillId="7" borderId="15" xfId="0" applyNumberFormat="1" applyFont="1" applyFill="1" applyBorder="1" applyAlignment="1">
      <alignment horizontal="center" vertical="center" wrapText="1"/>
    </xf>
    <xf numFmtId="0" fontId="11" fillId="7" borderId="8" xfId="0" applyFont="1" applyFill="1" applyBorder="1" applyAlignment="1">
      <alignment horizontal="justify" vertical="center" wrapText="1"/>
    </xf>
    <xf numFmtId="0" fontId="11" fillId="7" borderId="7" xfId="0" applyFont="1" applyFill="1" applyBorder="1" applyAlignment="1">
      <alignment horizontal="justify" vertical="center" wrapText="1"/>
    </xf>
    <xf numFmtId="0" fontId="11" fillId="7" borderId="13" xfId="0" applyFont="1" applyFill="1" applyBorder="1" applyAlignment="1">
      <alignment horizontal="justify" vertical="center" wrapText="1"/>
    </xf>
    <xf numFmtId="0" fontId="11" fillId="7" borderId="15" xfId="0" applyFont="1" applyFill="1" applyBorder="1" applyAlignment="1">
      <alignment horizontal="justify" vertical="center" wrapText="1"/>
    </xf>
    <xf numFmtId="0" fontId="11" fillId="7" borderId="0" xfId="0" applyFont="1" applyFill="1" applyAlignment="1">
      <alignment horizontal="center"/>
    </xf>
    <xf numFmtId="1" fontId="11" fillId="7" borderId="9" xfId="0" applyNumberFormat="1" applyFont="1" applyFill="1" applyBorder="1" applyAlignment="1">
      <alignment horizontal="center" vertical="center" wrapText="1"/>
    </xf>
    <xf numFmtId="1" fontId="11" fillId="7" borderId="14" xfId="0" applyNumberFormat="1" applyFont="1" applyFill="1" applyBorder="1" applyAlignment="1">
      <alignment horizontal="center" vertical="center" wrapText="1"/>
    </xf>
    <xf numFmtId="0" fontId="8" fillId="7" borderId="9" xfId="0" applyFont="1" applyFill="1" applyBorder="1" applyAlignment="1">
      <alignment horizontal="justify" vertical="center" wrapText="1"/>
    </xf>
    <xf numFmtId="0" fontId="11" fillId="0" borderId="0" xfId="0" applyFont="1" applyAlignment="1">
      <alignment horizontal="center" vertical="center" wrapText="1"/>
    </xf>
    <xf numFmtId="0" fontId="7" fillId="0" borderId="42" xfId="0" applyFont="1" applyFill="1" applyBorder="1" applyAlignment="1">
      <alignment vertical="center"/>
    </xf>
    <xf numFmtId="0" fontId="7" fillId="0" borderId="26" xfId="0" applyFont="1" applyFill="1" applyBorder="1" applyAlignment="1">
      <alignment vertical="center"/>
    </xf>
    <xf numFmtId="0" fontId="8" fillId="7" borderId="0" xfId="0" applyFont="1" applyFill="1"/>
    <xf numFmtId="0" fontId="7" fillId="0" borderId="2" xfId="0" applyFont="1" applyFill="1" applyBorder="1" applyAlignment="1">
      <alignment horizontal="left" vertical="center"/>
    </xf>
    <xf numFmtId="0" fontId="7" fillId="0" borderId="18" xfId="0" applyFont="1" applyFill="1" applyBorder="1" applyAlignment="1">
      <alignment vertical="center"/>
    </xf>
    <xf numFmtId="0" fontId="7" fillId="0" borderId="2" xfId="0" applyFont="1" applyFill="1" applyBorder="1" applyAlignment="1">
      <alignment vertical="center"/>
    </xf>
    <xf numFmtId="0" fontId="7" fillId="0" borderId="18" xfId="0" applyFont="1" applyFill="1" applyBorder="1" applyAlignment="1">
      <alignment vertical="center" wrapText="1"/>
    </xf>
    <xf numFmtId="0" fontId="7" fillId="0" borderId="9" xfId="0" applyFont="1" applyFill="1" applyBorder="1" applyAlignment="1">
      <alignment vertical="center"/>
    </xf>
    <xf numFmtId="3" fontId="7" fillId="0" borderId="16" xfId="0" applyNumberFormat="1" applyFont="1" applyFill="1" applyBorder="1" applyAlignment="1">
      <alignment horizontal="left" vertical="center" wrapText="1"/>
    </xf>
    <xf numFmtId="0" fontId="7" fillId="0" borderId="7" xfId="0" applyFont="1" applyBorder="1" applyAlignment="1">
      <alignment vertical="center"/>
    </xf>
    <xf numFmtId="0" fontId="7" fillId="0" borderId="3" xfId="0" applyFont="1" applyBorder="1" applyAlignment="1">
      <alignment horizontal="center" vertical="center"/>
    </xf>
    <xf numFmtId="0" fontId="7" fillId="0" borderId="3" xfId="0" applyFont="1" applyBorder="1" applyAlignment="1">
      <alignment vertical="center"/>
    </xf>
    <xf numFmtId="43" fontId="7" fillId="0" borderId="3" xfId="6" applyFont="1" applyBorder="1" applyAlignment="1">
      <alignment horizontal="center" vertical="center"/>
    </xf>
    <xf numFmtId="0" fontId="7" fillId="0" borderId="3" xfId="0" applyFont="1" applyBorder="1" applyAlignment="1">
      <alignment horizontal="justify" vertical="center"/>
    </xf>
    <xf numFmtId="0" fontId="7" fillId="0" borderId="30" xfId="0" applyFont="1" applyBorder="1" applyAlignment="1">
      <alignment vertical="center"/>
    </xf>
    <xf numFmtId="1" fontId="7" fillId="8" borderId="9" xfId="0" applyNumberFormat="1" applyFont="1" applyFill="1" applyBorder="1" applyAlignment="1">
      <alignment horizontal="center" vertical="center" wrapText="1"/>
    </xf>
    <xf numFmtId="1" fontId="7" fillId="8" borderId="14" xfId="0" applyNumberFormat="1" applyFont="1" applyFill="1" applyBorder="1" applyAlignment="1">
      <alignment horizontal="center" vertical="center" wrapText="1"/>
    </xf>
    <xf numFmtId="0" fontId="7" fillId="8" borderId="9" xfId="0" applyFont="1" applyFill="1" applyBorder="1" applyAlignment="1">
      <alignment horizontal="center" vertical="center" textRotation="90" wrapText="1"/>
    </xf>
    <xf numFmtId="49" fontId="7" fillId="8" borderId="9" xfId="0" applyNumberFormat="1" applyFont="1" applyFill="1" applyBorder="1" applyAlignment="1">
      <alignment horizontal="center" vertical="center" textRotation="90" wrapText="1"/>
    </xf>
    <xf numFmtId="0" fontId="7" fillId="8" borderId="8" xfId="0" applyFont="1" applyFill="1" applyBorder="1" applyAlignment="1">
      <alignment horizontal="center" vertical="center" textRotation="90" wrapText="1"/>
    </xf>
    <xf numFmtId="1" fontId="7" fillId="10" borderId="29" xfId="0" applyNumberFormat="1" applyFont="1" applyFill="1" applyBorder="1" applyAlignment="1">
      <alignment horizontal="center" vertical="center" wrapText="1"/>
    </xf>
    <xf numFmtId="0" fontId="7" fillId="10" borderId="5" xfId="0" applyFont="1" applyFill="1" applyBorder="1" applyAlignment="1">
      <alignment vertical="center"/>
    </xf>
    <xf numFmtId="0" fontId="7" fillId="10" borderId="11" xfId="0" applyFont="1" applyFill="1" applyBorder="1" applyAlignment="1">
      <alignment vertical="center"/>
    </xf>
    <xf numFmtId="0" fontId="8" fillId="10" borderId="11" xfId="0" applyFont="1" applyFill="1" applyBorder="1" applyAlignment="1">
      <alignment horizontal="center" vertical="center"/>
    </xf>
    <xf numFmtId="0" fontId="7" fillId="10" borderId="11" xfId="0" applyFont="1" applyFill="1" applyBorder="1" applyAlignment="1">
      <alignment horizontal="justify" vertical="center"/>
    </xf>
    <xf numFmtId="0" fontId="7" fillId="10" borderId="11" xfId="0" applyFont="1" applyFill="1" applyBorder="1" applyAlignment="1">
      <alignment horizontal="center" vertical="center"/>
    </xf>
    <xf numFmtId="169" fontId="7" fillId="10" borderId="11" xfId="0" applyNumberFormat="1" applyFont="1" applyFill="1" applyBorder="1" applyAlignment="1">
      <alignment horizontal="center" vertical="center"/>
    </xf>
    <xf numFmtId="166" fontId="7" fillId="10" borderId="11" xfId="0" applyNumberFormat="1" applyFont="1" applyFill="1" applyBorder="1" applyAlignment="1">
      <alignment vertical="center"/>
    </xf>
    <xf numFmtId="43" fontId="7" fillId="10" borderId="11" xfId="6" applyFont="1" applyFill="1" applyBorder="1" applyAlignment="1">
      <alignment horizontal="center" vertical="center"/>
    </xf>
    <xf numFmtId="1" fontId="7" fillId="10" borderId="11" xfId="0" applyNumberFormat="1" applyFont="1" applyFill="1" applyBorder="1" applyAlignment="1">
      <alignment horizontal="center" vertical="center"/>
    </xf>
    <xf numFmtId="167" fontId="7" fillId="10" borderId="11" xfId="0" applyNumberFormat="1" applyFont="1" applyFill="1" applyBorder="1" applyAlignment="1">
      <alignment vertical="center"/>
    </xf>
    <xf numFmtId="0" fontId="7" fillId="10" borderId="35" xfId="0" applyFont="1" applyFill="1" applyBorder="1" applyAlignment="1">
      <alignment horizontal="justify" vertical="center"/>
    </xf>
    <xf numFmtId="0" fontId="8" fillId="0" borderId="0" xfId="0" applyFont="1" applyBorder="1"/>
    <xf numFmtId="1" fontId="7" fillId="7" borderId="29" xfId="0" applyNumberFormat="1"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1" fontId="7" fillId="11" borderId="0" xfId="0" applyNumberFormat="1" applyFont="1" applyFill="1" applyBorder="1" applyAlignment="1">
      <alignment horizontal="center" vertical="center"/>
    </xf>
    <xf numFmtId="0" fontId="7" fillId="11" borderId="0" xfId="0" applyFont="1" applyFill="1" applyBorder="1" applyAlignment="1">
      <alignment vertical="center"/>
    </xf>
    <xf numFmtId="0" fontId="7" fillId="11" borderId="3" xfId="0" applyFont="1" applyFill="1" applyBorder="1" applyAlignment="1">
      <alignment vertical="center"/>
    </xf>
    <xf numFmtId="0" fontId="8" fillId="11" borderId="3" xfId="0" applyFont="1" applyFill="1" applyBorder="1" applyAlignment="1">
      <alignment horizontal="center" vertical="center"/>
    </xf>
    <xf numFmtId="0" fontId="7" fillId="11" borderId="3" xfId="0" applyFont="1" applyFill="1" applyBorder="1" applyAlignment="1">
      <alignment horizontal="justify" vertical="center"/>
    </xf>
    <xf numFmtId="0" fontId="7" fillId="11" borderId="3" xfId="0" applyFont="1" applyFill="1" applyBorder="1" applyAlignment="1">
      <alignment horizontal="center" vertical="center"/>
    </xf>
    <xf numFmtId="169" fontId="7" fillId="11" borderId="3" xfId="0" applyNumberFormat="1" applyFont="1" applyFill="1" applyBorder="1" applyAlignment="1">
      <alignment horizontal="center" vertical="center"/>
    </xf>
    <xf numFmtId="166" fontId="7" fillId="11" borderId="3" xfId="0" applyNumberFormat="1" applyFont="1" applyFill="1" applyBorder="1" applyAlignment="1">
      <alignment vertical="center"/>
    </xf>
    <xf numFmtId="43" fontId="7" fillId="11" borderId="3" xfId="6" applyFont="1" applyFill="1" applyBorder="1" applyAlignment="1">
      <alignment horizontal="center" vertical="center"/>
    </xf>
    <xf numFmtId="1" fontId="7" fillId="11" borderId="3" xfId="0" applyNumberFormat="1" applyFont="1" applyFill="1" applyBorder="1" applyAlignment="1">
      <alignment horizontal="center" vertical="center"/>
    </xf>
    <xf numFmtId="167" fontId="7" fillId="11" borderId="3" xfId="0" applyNumberFormat="1" applyFont="1" applyFill="1" applyBorder="1" applyAlignment="1">
      <alignment vertical="center"/>
    </xf>
    <xf numFmtId="0" fontId="7" fillId="11" borderId="30" xfId="0" applyFont="1" applyFill="1" applyBorder="1" applyAlignment="1">
      <alignment horizontal="justify" vertical="center"/>
    </xf>
    <xf numFmtId="1" fontId="7" fillId="7" borderId="27" xfId="0" applyNumberFormat="1"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5" xfId="0" applyFont="1" applyFill="1" applyBorder="1"/>
    <xf numFmtId="1" fontId="7" fillId="12" borderId="5" xfId="0" applyNumberFormat="1" applyFont="1" applyFill="1" applyBorder="1" applyAlignment="1">
      <alignment horizontal="center" vertical="center" wrapText="1"/>
    </xf>
    <xf numFmtId="0" fontId="7" fillId="12" borderId="5" xfId="0" applyFont="1" applyFill="1" applyBorder="1" applyAlignment="1">
      <alignment vertical="center"/>
    </xf>
    <xf numFmtId="0" fontId="8" fillId="12" borderId="11" xfId="0" applyFont="1" applyFill="1" applyBorder="1" applyAlignment="1">
      <alignment horizontal="center" vertical="center"/>
    </xf>
    <xf numFmtId="169" fontId="7" fillId="12" borderId="11" xfId="0" applyNumberFormat="1" applyFont="1" applyFill="1" applyBorder="1" applyAlignment="1">
      <alignment horizontal="center" vertical="center"/>
    </xf>
    <xf numFmtId="166" fontId="7" fillId="12" borderId="11" xfId="0" applyNumberFormat="1" applyFont="1" applyFill="1" applyBorder="1" applyAlignment="1">
      <alignment vertical="center"/>
    </xf>
    <xf numFmtId="1" fontId="7" fillId="12" borderId="5" xfId="0" applyNumberFormat="1" applyFont="1" applyFill="1" applyBorder="1" applyAlignment="1">
      <alignment horizontal="center" vertical="center"/>
    </xf>
    <xf numFmtId="167" fontId="7" fillId="12" borderId="11" xfId="0" applyNumberFormat="1" applyFont="1" applyFill="1" applyBorder="1" applyAlignment="1">
      <alignment vertical="center"/>
    </xf>
    <xf numFmtId="0" fontId="7" fillId="12" borderId="35" xfId="0" applyFont="1" applyFill="1" applyBorder="1" applyAlignment="1">
      <alignment horizontal="justify" vertical="center"/>
    </xf>
    <xf numFmtId="1" fontId="8" fillId="7" borderId="27" xfId="0" applyNumberFormat="1"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3" xfId="0" applyFont="1" applyFill="1" applyBorder="1" applyAlignment="1">
      <alignment horizontal="justify" vertical="center" wrapText="1"/>
    </xf>
    <xf numFmtId="0" fontId="8" fillId="7" borderId="0" xfId="0" applyFont="1" applyFill="1" applyBorder="1" applyAlignment="1">
      <alignment horizontal="justify" vertical="center" wrapText="1"/>
    </xf>
    <xf numFmtId="0" fontId="8" fillId="7" borderId="8" xfId="0" applyFont="1" applyFill="1" applyBorder="1" applyAlignment="1">
      <alignment horizontal="justify" vertical="center" wrapText="1"/>
    </xf>
    <xf numFmtId="0" fontId="8" fillId="0" borderId="9" xfId="0" applyFont="1" applyFill="1" applyBorder="1" applyAlignment="1">
      <alignment vertical="center" wrapText="1"/>
    </xf>
    <xf numFmtId="1" fontId="8" fillId="0" borderId="8" xfId="0" applyNumberFormat="1" applyFont="1" applyFill="1" applyBorder="1" applyAlignment="1">
      <alignment vertical="center" wrapText="1"/>
    </xf>
    <xf numFmtId="1" fontId="8" fillId="0" borderId="13" xfId="0" applyNumberFormat="1" applyFont="1" applyFill="1" applyBorder="1" applyAlignment="1">
      <alignment horizontal="center" vertical="center" wrapText="1"/>
    </xf>
    <xf numFmtId="0" fontId="8" fillId="7" borderId="1" xfId="0" applyFont="1" applyFill="1" applyBorder="1" applyAlignment="1">
      <alignment horizontal="justify" vertical="center" wrapText="1"/>
    </xf>
    <xf numFmtId="1" fontId="8" fillId="0" borderId="13" xfId="0" applyNumberFormat="1" applyFont="1" applyFill="1" applyBorder="1" applyAlignment="1">
      <alignment vertical="center" wrapText="1"/>
    </xf>
    <xf numFmtId="49" fontId="8" fillId="0" borderId="13" xfId="0" applyNumberFormat="1"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14" xfId="0" applyFont="1" applyFill="1" applyBorder="1" applyAlignment="1">
      <alignment vertical="center" wrapText="1"/>
    </xf>
    <xf numFmtId="49" fontId="8" fillId="0" borderId="7" xfId="0" applyNumberFormat="1" applyFont="1" applyFill="1" applyBorder="1" applyAlignment="1">
      <alignment horizontal="center" vertical="center" wrapText="1"/>
    </xf>
    <xf numFmtId="0" fontId="8" fillId="0" borderId="15" xfId="0" applyFont="1" applyFill="1" applyBorder="1" applyAlignment="1">
      <alignment vertical="center" wrapText="1"/>
    </xf>
    <xf numFmtId="166" fontId="8" fillId="7" borderId="0" xfId="0" applyNumberFormat="1" applyFont="1" applyFill="1" applyAlignment="1">
      <alignment horizontal="center" vertical="center"/>
    </xf>
    <xf numFmtId="1" fontId="8" fillId="7" borderId="28" xfId="0" applyNumberFormat="1" applyFont="1" applyFill="1" applyBorder="1" applyAlignment="1">
      <alignment horizontal="center" vertical="center" wrapText="1"/>
    </xf>
    <xf numFmtId="0" fontId="8" fillId="7" borderId="7" xfId="0" applyFont="1" applyFill="1" applyBorder="1" applyAlignment="1">
      <alignment horizontal="justify" vertical="center" wrapText="1"/>
    </xf>
    <xf numFmtId="0" fontId="7" fillId="10" borderId="27" xfId="0" applyFont="1" applyFill="1" applyBorder="1" applyAlignment="1">
      <alignment vertical="center"/>
    </xf>
    <xf numFmtId="0" fontId="7" fillId="10" borderId="0" xfId="0" applyFont="1" applyFill="1" applyBorder="1" applyAlignment="1">
      <alignment vertical="center"/>
    </xf>
    <xf numFmtId="0" fontId="7" fillId="10" borderId="0" xfId="0" applyFont="1" applyFill="1" applyBorder="1" applyAlignment="1">
      <alignment horizontal="justify" vertical="center"/>
    </xf>
    <xf numFmtId="0" fontId="7" fillId="10" borderId="3" xfId="0" applyFont="1" applyFill="1" applyBorder="1" applyAlignment="1">
      <alignment horizontal="justify" vertical="center"/>
    </xf>
    <xf numFmtId="0" fontId="8" fillId="10" borderId="3" xfId="0" applyFont="1" applyFill="1" applyBorder="1" applyAlignment="1">
      <alignment horizontal="center" vertical="center"/>
    </xf>
    <xf numFmtId="0" fontId="7" fillId="10" borderId="3" xfId="0" applyFont="1" applyFill="1" applyBorder="1" applyAlignment="1">
      <alignment horizontal="center" vertical="center"/>
    </xf>
    <xf numFmtId="43" fontId="7" fillId="10" borderId="3" xfId="6" applyFont="1" applyFill="1" applyBorder="1" applyAlignment="1">
      <alignment horizontal="justify" vertical="center"/>
    </xf>
    <xf numFmtId="43" fontId="7" fillId="10" borderId="3" xfId="6" applyFont="1" applyFill="1" applyBorder="1" applyAlignment="1">
      <alignment horizontal="center" vertical="center"/>
    </xf>
    <xf numFmtId="3" fontId="7" fillId="10" borderId="3" xfId="0" applyNumberFormat="1" applyFont="1" applyFill="1" applyBorder="1" applyAlignment="1">
      <alignment horizontal="center" vertical="center"/>
    </xf>
    <xf numFmtId="1" fontId="8" fillId="10" borderId="3" xfId="0" applyNumberFormat="1" applyFont="1" applyFill="1" applyBorder="1" applyAlignment="1">
      <alignment horizontal="center" vertical="center"/>
    </xf>
    <xf numFmtId="0" fontId="8" fillId="10" borderId="3" xfId="0" applyFont="1" applyFill="1" applyBorder="1" applyAlignment="1">
      <alignment horizontal="left" vertical="center"/>
    </xf>
    <xf numFmtId="0" fontId="7" fillId="10" borderId="3" xfId="0" applyFont="1" applyFill="1" applyBorder="1" applyAlignment="1">
      <alignment vertical="center"/>
    </xf>
    <xf numFmtId="167" fontId="7" fillId="10" borderId="3" xfId="0" applyNumberFormat="1" applyFont="1" applyFill="1" applyBorder="1" applyAlignment="1">
      <alignment vertical="center"/>
    </xf>
    <xf numFmtId="0" fontId="8" fillId="10" borderId="0" xfId="0" applyFont="1" applyFill="1" applyBorder="1" applyAlignment="1">
      <alignment vertical="center"/>
    </xf>
    <xf numFmtId="0" fontId="8" fillId="10" borderId="3" xfId="0" applyFont="1" applyFill="1" applyBorder="1" applyAlignment="1">
      <alignment vertical="center"/>
    </xf>
    <xf numFmtId="0" fontId="8" fillId="10" borderId="30" xfId="0" applyFont="1" applyFill="1" applyBorder="1" applyAlignment="1">
      <alignment horizontal="justify" vertical="center"/>
    </xf>
    <xf numFmtId="0" fontId="7" fillId="11" borderId="11" xfId="0" applyFont="1" applyFill="1" applyBorder="1" applyAlignment="1">
      <alignment horizontal="justify" vertical="center"/>
    </xf>
    <xf numFmtId="43" fontId="7" fillId="11" borderId="3" xfId="6" applyFont="1" applyFill="1" applyBorder="1" applyAlignment="1">
      <alignment horizontal="justify" vertical="center"/>
    </xf>
    <xf numFmtId="3" fontId="7" fillId="11" borderId="3" xfId="0" applyNumberFormat="1" applyFont="1" applyFill="1" applyBorder="1" applyAlignment="1">
      <alignment horizontal="center" vertical="center"/>
    </xf>
    <xf numFmtId="1" fontId="8" fillId="11" borderId="3" xfId="0" applyNumberFormat="1" applyFont="1" applyFill="1" applyBorder="1" applyAlignment="1">
      <alignment horizontal="center" vertical="center"/>
    </xf>
    <xf numFmtId="0" fontId="8" fillId="11" borderId="3" xfId="0" applyFont="1" applyFill="1" applyBorder="1" applyAlignment="1">
      <alignment horizontal="left" vertical="center"/>
    </xf>
    <xf numFmtId="0" fontId="8" fillId="11" borderId="5" xfId="0" applyFont="1" applyFill="1" applyBorder="1" applyAlignment="1">
      <alignment vertical="center"/>
    </xf>
    <xf numFmtId="0" fontId="8" fillId="11" borderId="11" xfId="0" applyFont="1" applyFill="1" applyBorder="1" applyAlignment="1">
      <alignment vertical="center"/>
    </xf>
    <xf numFmtId="0" fontId="8" fillId="11" borderId="35" xfId="0" applyFont="1" applyFill="1" applyBorder="1" applyAlignment="1">
      <alignment horizontal="justify" vertical="center"/>
    </xf>
    <xf numFmtId="0" fontId="7" fillId="12" borderId="10" xfId="0" applyFont="1" applyFill="1" applyBorder="1" applyAlignment="1">
      <alignment horizontal="justify" vertical="center"/>
    </xf>
    <xf numFmtId="43" fontId="7" fillId="12" borderId="11" xfId="6" applyFont="1" applyFill="1" applyBorder="1" applyAlignment="1">
      <alignment horizontal="justify" vertical="center"/>
    </xf>
    <xf numFmtId="43" fontId="7" fillId="12" borderId="5" xfId="6" applyFont="1" applyFill="1" applyBorder="1" applyAlignment="1">
      <alignment horizontal="center" vertical="center"/>
    </xf>
    <xf numFmtId="3" fontId="7" fillId="12" borderId="5" xfId="0" applyNumberFormat="1" applyFont="1" applyFill="1" applyBorder="1" applyAlignment="1">
      <alignment horizontal="center" vertical="center"/>
    </xf>
    <xf numFmtId="1" fontId="8" fillId="12" borderId="5" xfId="0" applyNumberFormat="1" applyFont="1" applyFill="1" applyBorder="1" applyAlignment="1">
      <alignment horizontal="center" vertical="center"/>
    </xf>
    <xf numFmtId="0" fontId="8" fillId="12" borderId="5" xfId="0" applyFont="1" applyFill="1" applyBorder="1" applyAlignment="1">
      <alignment horizontal="left" vertical="center"/>
    </xf>
    <xf numFmtId="0" fontId="8" fillId="12" borderId="5" xfId="0" applyFont="1" applyFill="1" applyBorder="1" applyAlignment="1">
      <alignment vertical="center"/>
    </xf>
    <xf numFmtId="0" fontId="8" fillId="12" borderId="11" xfId="0" applyFont="1" applyFill="1" applyBorder="1" applyAlignment="1">
      <alignment vertical="center"/>
    </xf>
    <xf numFmtId="0" fontId="8" fillId="12" borderId="35" xfId="0" applyFont="1" applyFill="1" applyBorder="1" applyAlignment="1">
      <alignment horizontal="justify" vertical="center"/>
    </xf>
    <xf numFmtId="0" fontId="8" fillId="0" borderId="53" xfId="0" applyFont="1" applyFill="1" applyBorder="1" applyAlignment="1">
      <alignment horizontal="left" vertical="center" wrapText="1"/>
    </xf>
    <xf numFmtId="43" fontId="8" fillId="0" borderId="26" xfId="6" applyFont="1" applyFill="1" applyBorder="1" applyAlignment="1">
      <alignment horizontal="center" vertical="center" wrapText="1"/>
    </xf>
    <xf numFmtId="0" fontId="8" fillId="0" borderId="43" xfId="0" applyFont="1" applyFill="1" applyBorder="1" applyAlignment="1">
      <alignment horizontal="left" vertical="center" wrapText="1"/>
    </xf>
    <xf numFmtId="43" fontId="8" fillId="0" borderId="18" xfId="6" applyFont="1" applyFill="1" applyBorder="1" applyAlignment="1">
      <alignment horizontal="center" vertical="center" wrapText="1"/>
    </xf>
    <xf numFmtId="0" fontId="8" fillId="0" borderId="54" xfId="0" applyFont="1" applyFill="1" applyBorder="1" applyAlignment="1">
      <alignment horizontal="left" vertical="center" wrapText="1"/>
    </xf>
    <xf numFmtId="43" fontId="8" fillId="0" borderId="55" xfId="6" applyFont="1" applyFill="1" applyBorder="1" applyAlignment="1">
      <alignment horizontal="center" vertical="center" wrapText="1"/>
    </xf>
    <xf numFmtId="0" fontId="8" fillId="7" borderId="54" xfId="0" applyFont="1" applyFill="1" applyBorder="1" applyAlignment="1">
      <alignment horizontal="left" vertical="center"/>
    </xf>
    <xf numFmtId="43" fontId="8" fillId="0" borderId="55" xfId="6" applyFont="1" applyFill="1" applyBorder="1" applyAlignment="1">
      <alignment horizontal="center" vertical="center"/>
    </xf>
    <xf numFmtId="43" fontId="8" fillId="7" borderId="55" xfId="6" applyFont="1" applyFill="1" applyBorder="1" applyAlignment="1">
      <alignment horizontal="center" vertical="center" wrapText="1"/>
    </xf>
    <xf numFmtId="0" fontId="8" fillId="7" borderId="27" xfId="0" applyFont="1" applyFill="1" applyBorder="1" applyAlignment="1">
      <alignment vertical="center" wrapText="1"/>
    </xf>
    <xf numFmtId="0" fontId="8" fillId="7" borderId="5" xfId="0" applyFont="1" applyFill="1" applyBorder="1" applyAlignment="1">
      <alignment vertical="center" wrapText="1"/>
    </xf>
    <xf numFmtId="0" fontId="8" fillId="7" borderId="6" xfId="0" applyFont="1" applyFill="1" applyBorder="1" applyAlignment="1">
      <alignment vertical="center" wrapText="1"/>
    </xf>
    <xf numFmtId="0" fontId="7" fillId="12" borderId="2" xfId="0" applyFont="1" applyFill="1" applyBorder="1" applyAlignment="1">
      <alignment horizontal="justify" vertical="center"/>
    </xf>
    <xf numFmtId="0" fontId="7" fillId="12" borderId="0" xfId="0" applyFont="1" applyFill="1" applyBorder="1" applyAlignment="1">
      <alignment horizontal="justify" vertical="center"/>
    </xf>
    <xf numFmtId="43" fontId="7" fillId="12" borderId="0" xfId="6" applyFont="1" applyFill="1" applyBorder="1" applyAlignment="1">
      <alignment horizontal="center" vertical="center"/>
    </xf>
    <xf numFmtId="0" fontId="7" fillId="12" borderId="0" xfId="0" applyFont="1" applyFill="1" applyBorder="1" applyAlignment="1">
      <alignment vertical="center"/>
    </xf>
    <xf numFmtId="0" fontId="8" fillId="12" borderId="0" xfId="0" applyFont="1" applyFill="1" applyBorder="1" applyAlignment="1">
      <alignment horizontal="center" vertical="center"/>
    </xf>
    <xf numFmtId="0" fontId="8" fillId="12" borderId="36" xfId="0" applyFont="1" applyFill="1" applyBorder="1" applyAlignment="1">
      <alignment horizontal="justify" vertical="center"/>
    </xf>
    <xf numFmtId="0" fontId="8" fillId="7" borderId="0" xfId="0" applyFont="1" applyFill="1" applyBorder="1" applyAlignment="1">
      <alignment vertical="center" wrapText="1"/>
    </xf>
    <xf numFmtId="0" fontId="8" fillId="7" borderId="1" xfId="0" applyFont="1" applyFill="1" applyBorder="1" applyAlignment="1">
      <alignment vertical="center" wrapText="1"/>
    </xf>
    <xf numFmtId="0" fontId="8" fillId="0" borderId="53" xfId="0" applyFont="1" applyFill="1" applyBorder="1" applyAlignment="1">
      <alignment horizontal="justify" vertical="center" wrapText="1"/>
    </xf>
    <xf numFmtId="49" fontId="8" fillId="7" borderId="5" xfId="0" applyNumberFormat="1" applyFont="1" applyFill="1" applyBorder="1" applyAlignment="1">
      <alignment vertical="center" wrapText="1"/>
    </xf>
    <xf numFmtId="3" fontId="8" fillId="7" borderId="8" xfId="0" applyNumberFormat="1" applyFont="1" applyFill="1" applyBorder="1" applyAlignment="1">
      <alignment horizontal="center" vertical="center" wrapText="1"/>
    </xf>
    <xf numFmtId="0" fontId="8" fillId="0" borderId="43" xfId="0" applyFont="1" applyFill="1" applyBorder="1" applyAlignment="1">
      <alignment horizontal="justify" vertical="center" wrapText="1"/>
    </xf>
    <xf numFmtId="49" fontId="8" fillId="7" borderId="0" xfId="0" applyNumberFormat="1" applyFont="1" applyFill="1" applyBorder="1" applyAlignment="1">
      <alignment vertical="center" wrapText="1"/>
    </xf>
    <xf numFmtId="3" fontId="8" fillId="7" borderId="13" xfId="0" applyNumberFormat="1" applyFont="1" applyFill="1" applyBorder="1" applyAlignment="1">
      <alignment horizontal="center" vertical="center" wrapText="1"/>
    </xf>
    <xf numFmtId="0" fontId="8" fillId="0" borderId="54" xfId="0" applyFont="1" applyFill="1" applyBorder="1" applyAlignment="1">
      <alignment horizontal="justify" vertical="center" wrapText="1"/>
    </xf>
    <xf numFmtId="3" fontId="8" fillId="7" borderId="0" xfId="0" applyNumberFormat="1" applyFont="1" applyFill="1" applyBorder="1" applyAlignment="1">
      <alignment vertical="center" wrapText="1"/>
    </xf>
    <xf numFmtId="0" fontId="8" fillId="7" borderId="9" xfId="0" applyFont="1" applyFill="1" applyBorder="1" applyAlignment="1">
      <alignment vertical="center" wrapText="1"/>
    </xf>
    <xf numFmtId="3" fontId="8" fillId="7" borderId="0" xfId="0" applyNumberFormat="1" applyFont="1" applyFill="1" applyBorder="1" applyAlignment="1">
      <alignment horizontal="center" vertical="center" wrapText="1"/>
    </xf>
    <xf numFmtId="0" fontId="8" fillId="7" borderId="15" xfId="0" applyFont="1" applyFill="1" applyBorder="1" applyAlignment="1">
      <alignment vertical="center" wrapText="1"/>
    </xf>
    <xf numFmtId="0" fontId="8" fillId="0" borderId="34" xfId="0" applyFont="1" applyFill="1" applyBorder="1" applyAlignment="1">
      <alignment horizontal="justify" vertical="center" wrapText="1"/>
    </xf>
    <xf numFmtId="43" fontId="8" fillId="0" borderId="18" xfId="6" applyFont="1" applyFill="1" applyBorder="1" applyAlignment="1">
      <alignment vertical="center" wrapText="1"/>
    </xf>
    <xf numFmtId="0" fontId="8" fillId="0" borderId="57" xfId="0" applyFont="1" applyFill="1" applyBorder="1" applyAlignment="1">
      <alignment horizontal="justify" vertical="center" wrapText="1"/>
    </xf>
    <xf numFmtId="43" fontId="8" fillId="0" borderId="55" xfId="6" applyFont="1" applyFill="1" applyBorder="1" applyAlignment="1">
      <alignment vertical="center"/>
    </xf>
    <xf numFmtId="0" fontId="8" fillId="0" borderId="53" xfId="0" applyFont="1" applyFill="1" applyBorder="1" applyAlignment="1">
      <alignment vertical="center" wrapText="1"/>
    </xf>
    <xf numFmtId="43" fontId="8" fillId="0" borderId="56" xfId="6" applyFont="1" applyFill="1" applyBorder="1" applyAlignment="1">
      <alignment vertical="center" wrapText="1"/>
    </xf>
    <xf numFmtId="0" fontId="8" fillId="0" borderId="58" xfId="0" applyFont="1" applyFill="1" applyBorder="1" applyAlignment="1">
      <alignment horizontal="justify" vertical="center" wrapText="1"/>
    </xf>
    <xf numFmtId="43" fontId="8" fillId="0" borderId="16" xfId="6" applyFont="1" applyFill="1" applyBorder="1" applyAlignment="1">
      <alignment horizontal="center" vertical="center" wrapText="1"/>
    </xf>
    <xf numFmtId="0" fontId="8" fillId="0" borderId="23" xfId="0" applyFont="1" applyBorder="1" applyAlignment="1">
      <alignment vertical="center"/>
    </xf>
    <xf numFmtId="43" fontId="8" fillId="0" borderId="2" xfId="6" applyFont="1" applyBorder="1" applyAlignment="1">
      <alignment vertical="center"/>
    </xf>
    <xf numFmtId="0" fontId="8" fillId="0" borderId="29" xfId="0" applyFont="1" applyFill="1" applyBorder="1" applyAlignment="1">
      <alignment horizontal="justify" vertical="center" wrapText="1"/>
    </xf>
    <xf numFmtId="3" fontId="8" fillId="0" borderId="0" xfId="0" applyNumberFormat="1" applyFont="1" applyFill="1" applyBorder="1" applyAlignment="1">
      <alignment vertical="center" wrapText="1"/>
    </xf>
    <xf numFmtId="3" fontId="8" fillId="0" borderId="13" xfId="0" applyNumberFormat="1" applyFont="1" applyFill="1" applyBorder="1" applyAlignment="1">
      <alignment horizontal="center" vertical="center" wrapText="1"/>
    </xf>
    <xf numFmtId="3" fontId="8" fillId="7" borderId="4" xfId="0" applyNumberFormat="1" applyFont="1" applyFill="1" applyBorder="1" applyAlignment="1">
      <alignment vertical="center" wrapText="1"/>
    </xf>
    <xf numFmtId="3" fontId="8" fillId="7" borderId="15" xfId="0" applyNumberFormat="1" applyFont="1" applyFill="1" applyBorder="1" applyAlignment="1">
      <alignment horizontal="center" vertical="center" wrapText="1"/>
    </xf>
    <xf numFmtId="1" fontId="7" fillId="10" borderId="27" xfId="0" applyNumberFormat="1" applyFont="1" applyFill="1" applyBorder="1" applyAlignment="1">
      <alignment horizontal="center" vertical="center" wrapText="1"/>
    </xf>
    <xf numFmtId="0" fontId="8" fillId="10" borderId="0" xfId="0" applyFont="1" applyFill="1" applyBorder="1" applyAlignment="1">
      <alignment horizontal="center" vertical="center"/>
    </xf>
    <xf numFmtId="0" fontId="7" fillId="10" borderId="0" xfId="0" applyFont="1" applyFill="1" applyBorder="1" applyAlignment="1">
      <alignment horizontal="center" vertical="center"/>
    </xf>
    <xf numFmtId="169" fontId="7" fillId="10" borderId="0" xfId="0" applyNumberFormat="1" applyFont="1" applyFill="1" applyBorder="1" applyAlignment="1">
      <alignment horizontal="center" vertical="center"/>
    </xf>
    <xf numFmtId="166" fontId="7" fillId="10" borderId="0" xfId="0" applyNumberFormat="1" applyFont="1" applyFill="1" applyBorder="1" applyAlignment="1">
      <alignment vertical="center"/>
    </xf>
    <xf numFmtId="43" fontId="7" fillId="10" borderId="0" xfId="6" applyFont="1" applyFill="1" applyBorder="1" applyAlignment="1">
      <alignment horizontal="center" vertical="center"/>
    </xf>
    <xf numFmtId="1" fontId="7" fillId="10" borderId="0" xfId="0" applyNumberFormat="1" applyFont="1" applyFill="1" applyBorder="1" applyAlignment="1">
      <alignment horizontal="center" vertical="center"/>
    </xf>
    <xf numFmtId="167" fontId="7" fillId="10" borderId="0" xfId="0" applyNumberFormat="1" applyFont="1" applyFill="1" applyBorder="1" applyAlignment="1">
      <alignment vertical="center"/>
    </xf>
    <xf numFmtId="0" fontId="7" fillId="10" borderId="44" xfId="0" applyFont="1" applyFill="1" applyBorder="1" applyAlignment="1">
      <alignment horizontal="justify" vertical="center"/>
    </xf>
    <xf numFmtId="0" fontId="7" fillId="11" borderId="2" xfId="0" applyFont="1" applyFill="1" applyBorder="1" applyAlignment="1">
      <alignment horizontal="justify" vertical="center"/>
    </xf>
    <xf numFmtId="0" fontId="7" fillId="11" borderId="11" xfId="0" applyFont="1" applyFill="1" applyBorder="1" applyAlignment="1">
      <alignment horizontal="center" vertical="center"/>
    </xf>
    <xf numFmtId="43" fontId="7" fillId="11" borderId="11" xfId="6" applyFont="1" applyFill="1" applyBorder="1" applyAlignment="1">
      <alignment horizontal="justify" vertical="center"/>
    </xf>
    <xf numFmtId="0" fontId="7" fillId="11" borderId="35" xfId="0" applyFont="1" applyFill="1" applyBorder="1" applyAlignment="1">
      <alignment horizontal="justify" vertical="center"/>
    </xf>
    <xf numFmtId="0" fontId="7" fillId="12" borderId="2" xfId="0" applyFont="1" applyFill="1" applyBorder="1" applyAlignment="1">
      <alignment vertical="center"/>
    </xf>
    <xf numFmtId="0" fontId="7" fillId="12" borderId="9" xfId="0" applyFont="1" applyFill="1" applyBorder="1" applyAlignment="1">
      <alignment vertical="center"/>
    </xf>
    <xf numFmtId="0" fontId="8" fillId="0" borderId="2" xfId="0" applyFont="1" applyFill="1" applyBorder="1" applyAlignment="1">
      <alignment horizontal="justify" vertical="center" wrapText="1"/>
    </xf>
    <xf numFmtId="43" fontId="8" fillId="0" borderId="12" xfId="6" applyFont="1" applyFill="1" applyBorder="1" applyAlignment="1">
      <alignment vertical="center"/>
    </xf>
    <xf numFmtId="43" fontId="8" fillId="0" borderId="6" xfId="6" applyFont="1" applyFill="1" applyBorder="1" applyAlignment="1">
      <alignment vertical="center"/>
    </xf>
    <xf numFmtId="0" fontId="8" fillId="0" borderId="0" xfId="0" applyFont="1" applyFill="1"/>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0" xfId="0" applyFont="1" applyFill="1" applyBorder="1" applyAlignment="1">
      <alignment vertical="center" wrapText="1"/>
    </xf>
    <xf numFmtId="0" fontId="7" fillId="0" borderId="20" xfId="0" applyFont="1" applyFill="1" applyBorder="1" applyAlignment="1">
      <alignment horizontal="justify" vertical="center"/>
    </xf>
    <xf numFmtId="0" fontId="7" fillId="0" borderId="20" xfId="0" applyFont="1" applyFill="1" applyBorder="1" applyAlignment="1">
      <alignment horizontal="center" vertical="center"/>
    </xf>
    <xf numFmtId="0" fontId="7" fillId="0" borderId="21" xfId="0" applyFont="1" applyFill="1" applyBorder="1" applyAlignment="1">
      <alignment horizontal="justify" vertical="center"/>
    </xf>
    <xf numFmtId="43" fontId="7" fillId="0" borderId="22" xfId="6" applyFont="1" applyFill="1" applyBorder="1" applyAlignment="1">
      <alignment horizontal="center" vertical="center"/>
    </xf>
    <xf numFmtId="0" fontId="7" fillId="0" borderId="19" xfId="0" applyFont="1" applyFill="1" applyBorder="1" applyAlignment="1">
      <alignment horizontal="justify" vertical="center"/>
    </xf>
    <xf numFmtId="172" fontId="7" fillId="0" borderId="19" xfId="0" applyNumberFormat="1" applyFont="1" applyFill="1" applyBorder="1" applyAlignment="1">
      <alignment horizontal="center" vertical="center"/>
    </xf>
    <xf numFmtId="172" fontId="7" fillId="0" borderId="20" xfId="0" applyNumberFormat="1" applyFont="1" applyFill="1" applyBorder="1" applyAlignment="1">
      <alignment horizontal="center" vertical="center"/>
    </xf>
    <xf numFmtId="0" fontId="7" fillId="0" borderId="20" xfId="0" applyFont="1" applyFill="1" applyBorder="1" applyAlignment="1">
      <alignment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7" fillId="0" borderId="0" xfId="0" applyFont="1" applyFill="1" applyBorder="1" applyAlignment="1">
      <alignment horizontal="justify" vertical="center"/>
    </xf>
    <xf numFmtId="0" fontId="7" fillId="0" borderId="0" xfId="0" applyFont="1" applyFill="1" applyBorder="1" applyAlignment="1">
      <alignment horizontal="center" vertical="center"/>
    </xf>
    <xf numFmtId="166" fontId="8" fillId="0" borderId="0" xfId="7" applyNumberFormat="1" applyFont="1" applyFill="1" applyBorder="1" applyAlignment="1">
      <alignment horizontal="center" vertical="center"/>
    </xf>
    <xf numFmtId="43" fontId="7" fillId="0" borderId="0" xfId="6" applyFont="1" applyFill="1" applyBorder="1" applyAlignment="1">
      <alignment horizontal="center" vertical="center"/>
    </xf>
    <xf numFmtId="172"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1" fontId="8" fillId="0" borderId="0" xfId="0" applyNumberFormat="1" applyFont="1"/>
    <xf numFmtId="0" fontId="7" fillId="7" borderId="0" xfId="0" applyFont="1" applyFill="1"/>
    <xf numFmtId="0" fontId="8" fillId="7" borderId="5" xfId="0" applyFont="1" applyFill="1" applyBorder="1"/>
    <xf numFmtId="166" fontId="8" fillId="7" borderId="0" xfId="0" applyNumberFormat="1" applyFont="1" applyFill="1" applyAlignment="1">
      <alignment vertical="center"/>
    </xf>
    <xf numFmtId="166" fontId="8" fillId="7" borderId="0" xfId="0" applyNumberFormat="1" applyFont="1" applyFill="1" applyBorder="1" applyAlignment="1">
      <alignment vertical="center"/>
    </xf>
    <xf numFmtId="0" fontId="8" fillId="7" borderId="0" xfId="0" applyFont="1" applyFill="1" applyBorder="1" applyAlignment="1">
      <alignment horizontal="justify" vertical="center"/>
    </xf>
    <xf numFmtId="43" fontId="8" fillId="7" borderId="0" xfId="6" applyFont="1" applyFill="1" applyBorder="1" applyAlignment="1">
      <alignment horizontal="center" vertical="center"/>
    </xf>
    <xf numFmtId="166" fontId="8" fillId="7" borderId="0" xfId="0" applyNumberFormat="1" applyFont="1" applyFill="1" applyAlignment="1">
      <alignment horizontal="justify" vertical="center"/>
    </xf>
    <xf numFmtId="43" fontId="8" fillId="7" borderId="0" xfId="6" applyFont="1" applyFill="1" applyAlignment="1">
      <alignment horizontal="center" vertical="center"/>
    </xf>
    <xf numFmtId="0" fontId="8" fillId="7" borderId="0" xfId="0" applyFont="1" applyFill="1" applyAlignment="1">
      <alignment horizontal="justify" vertical="center"/>
    </xf>
    <xf numFmtId="0" fontId="8" fillId="7" borderId="0" xfId="0" applyFont="1" applyFill="1" applyAlignment="1">
      <alignment horizontal="center"/>
    </xf>
    <xf numFmtId="169" fontId="8" fillId="7" borderId="0" xfId="0" applyNumberFormat="1" applyFont="1" applyFill="1" applyAlignment="1">
      <alignment horizontal="center" vertical="center"/>
    </xf>
    <xf numFmtId="1" fontId="8" fillId="7" borderId="0" xfId="0" applyNumberFormat="1" applyFont="1" applyFill="1" applyAlignment="1">
      <alignment horizontal="center" vertical="center"/>
    </xf>
    <xf numFmtId="167" fontId="8" fillId="0" borderId="0" xfId="0" applyNumberFormat="1" applyFont="1" applyFill="1" applyAlignment="1">
      <alignment horizontal="right" vertical="center"/>
    </xf>
    <xf numFmtId="167" fontId="8" fillId="0" borderId="0" xfId="0" applyNumberFormat="1" applyFont="1" applyAlignment="1">
      <alignment horizontal="center"/>
    </xf>
    <xf numFmtId="173" fontId="10" fillId="0" borderId="18" xfId="0" applyNumberFormat="1" applyFont="1" applyBorder="1" applyAlignment="1">
      <alignment horizontal="left" vertical="center"/>
    </xf>
    <xf numFmtId="17" fontId="10" fillId="0" borderId="18" xfId="0" applyNumberFormat="1" applyFont="1" applyBorder="1" applyAlignment="1">
      <alignment horizontal="left" vertical="center"/>
    </xf>
    <xf numFmtId="3" fontId="7" fillId="15" borderId="2" xfId="0" applyNumberFormat="1" applyFont="1" applyFill="1" applyBorder="1" applyAlignment="1">
      <alignment horizontal="center" vertical="center" textRotation="90" wrapText="1"/>
    </xf>
    <xf numFmtId="3" fontId="7" fillId="15" borderId="11" xfId="0" applyNumberFormat="1" applyFont="1" applyFill="1" applyBorder="1" applyAlignment="1">
      <alignment horizontal="center" vertical="center" textRotation="90" wrapText="1"/>
    </xf>
    <xf numFmtId="0" fontId="7" fillId="15" borderId="10" xfId="0" applyFont="1" applyFill="1" applyBorder="1" applyAlignment="1">
      <alignment horizontal="center" vertical="center" textRotation="90" wrapText="1"/>
    </xf>
    <xf numFmtId="0" fontId="7" fillId="15" borderId="10" xfId="0" applyFont="1" applyFill="1" applyBorder="1" applyAlignment="1">
      <alignment horizontal="center" vertical="center" textRotation="90"/>
    </xf>
    <xf numFmtId="0" fontId="7" fillId="15" borderId="2" xfId="0" applyFont="1" applyFill="1" applyBorder="1" applyAlignment="1">
      <alignment horizontal="center" vertical="center" textRotation="90"/>
    </xf>
    <xf numFmtId="0" fontId="12" fillId="10" borderId="31" xfId="0" applyFont="1" applyFill="1" applyBorder="1" applyAlignment="1">
      <alignment horizontal="center" vertical="center" wrapText="1"/>
    </xf>
    <xf numFmtId="0" fontId="12" fillId="10" borderId="10" xfId="0" applyFont="1" applyFill="1" applyBorder="1" applyAlignment="1">
      <alignment vertical="center"/>
    </xf>
    <xf numFmtId="0" fontId="12" fillId="10" borderId="11" xfId="0" applyFont="1" applyFill="1" applyBorder="1" applyAlignment="1">
      <alignment vertical="center" wrapText="1"/>
    </xf>
    <xf numFmtId="2" fontId="12" fillId="10" borderId="11" xfId="0" applyNumberFormat="1" applyFont="1" applyFill="1" applyBorder="1" applyAlignment="1">
      <alignment horizontal="right" vertical="center" wrapText="1"/>
    </xf>
    <xf numFmtId="41" fontId="12" fillId="10" borderId="11" xfId="21" applyFont="1" applyFill="1" applyBorder="1" applyAlignment="1">
      <alignment horizontal="right" vertical="center" wrapText="1"/>
    </xf>
    <xf numFmtId="1" fontId="12" fillId="10" borderId="11" xfId="0" applyNumberFormat="1" applyFont="1" applyFill="1" applyBorder="1" applyAlignment="1">
      <alignment horizontal="center" vertical="center" wrapText="1"/>
    </xf>
    <xf numFmtId="0" fontId="12" fillId="7" borderId="31" xfId="0" applyFont="1" applyFill="1" applyBorder="1" applyAlignment="1">
      <alignment horizontal="center" vertical="center" wrapText="1"/>
    </xf>
    <xf numFmtId="0" fontId="12" fillId="7" borderId="6" xfId="0" applyFont="1" applyFill="1" applyBorder="1"/>
    <xf numFmtId="0" fontId="12" fillId="23" borderId="6" xfId="0" applyFont="1" applyFill="1" applyBorder="1" applyAlignment="1">
      <alignment horizontal="center" vertical="center" wrapText="1"/>
    </xf>
    <xf numFmtId="0" fontId="12" fillId="23" borderId="11" xfId="0" applyFont="1" applyFill="1" applyBorder="1" applyAlignment="1">
      <alignment horizontal="justify" vertical="center" wrapText="1"/>
    </xf>
    <xf numFmtId="0" fontId="12" fillId="23" borderId="11" xfId="0" applyFont="1" applyFill="1" applyBorder="1" applyAlignment="1">
      <alignment vertical="center" wrapText="1"/>
    </xf>
    <xf numFmtId="2" fontId="12" fillId="23" borderId="11" xfId="0" applyNumberFormat="1" applyFont="1" applyFill="1" applyBorder="1" applyAlignment="1">
      <alignment horizontal="right" vertical="center" wrapText="1"/>
    </xf>
    <xf numFmtId="41" fontId="12" fillId="23" borderId="11" xfId="21" applyFont="1" applyFill="1" applyBorder="1" applyAlignment="1">
      <alignment horizontal="right" vertical="center" wrapText="1"/>
    </xf>
    <xf numFmtId="1" fontId="12" fillId="23" borderId="11" xfId="0" applyNumberFormat="1" applyFont="1" applyFill="1" applyBorder="1" applyAlignment="1">
      <alignment horizontal="center" vertical="center" wrapText="1"/>
    </xf>
    <xf numFmtId="0" fontId="12" fillId="23" borderId="11"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12" borderId="11" xfId="0" applyFont="1" applyFill="1" applyBorder="1" applyAlignment="1">
      <alignment horizontal="justify" vertical="center" wrapText="1"/>
    </xf>
    <xf numFmtId="0" fontId="11" fillId="12" borderId="11" xfId="0" applyFont="1" applyFill="1" applyBorder="1" applyAlignment="1">
      <alignment vertical="center" wrapText="1"/>
    </xf>
    <xf numFmtId="2" fontId="11" fillId="12" borderId="11" xfId="0" applyNumberFormat="1" applyFont="1" applyFill="1" applyBorder="1" applyAlignment="1">
      <alignment horizontal="right" vertical="center" wrapText="1"/>
    </xf>
    <xf numFmtId="41" fontId="11" fillId="12" borderId="11" xfId="21" applyFont="1" applyFill="1" applyBorder="1" applyAlignment="1">
      <alignment horizontal="right" vertical="center" wrapText="1"/>
    </xf>
    <xf numFmtId="1" fontId="11" fillId="12" borderId="11" xfId="0" applyNumberFormat="1"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7" borderId="32" xfId="0" applyFont="1" applyFill="1" applyBorder="1" applyAlignment="1">
      <alignment vertical="center" wrapText="1"/>
    </xf>
    <xf numFmtId="0" fontId="11" fillId="7" borderId="0" xfId="0" applyFont="1" applyFill="1" applyAlignment="1">
      <alignment vertical="center" textRotation="90" wrapText="1"/>
    </xf>
    <xf numFmtId="0" fontId="11" fillId="7" borderId="1" xfId="0" applyFont="1" applyFill="1" applyBorder="1" applyAlignment="1">
      <alignment vertical="center" textRotation="90" wrapText="1"/>
    </xf>
    <xf numFmtId="1" fontId="11" fillId="7" borderId="14" xfId="0" applyNumberFormat="1" applyFont="1" applyFill="1" applyBorder="1" applyAlignment="1">
      <alignment vertical="center" wrapText="1"/>
    </xf>
    <xf numFmtId="43" fontId="11" fillId="7" borderId="2" xfId="6" applyFont="1" applyFill="1" applyBorder="1" applyAlignment="1">
      <alignment horizontal="right" vertical="center" wrapText="1"/>
    </xf>
    <xf numFmtId="1" fontId="11" fillId="7" borderId="15" xfId="0" applyNumberFormat="1" applyFont="1" applyFill="1" applyBorder="1" applyAlignment="1">
      <alignment vertical="center" wrapText="1"/>
    </xf>
    <xf numFmtId="0" fontId="11" fillId="7" borderId="15" xfId="0" applyFont="1" applyFill="1" applyBorder="1" applyAlignment="1">
      <alignment vertical="center" wrapText="1"/>
    </xf>
    <xf numFmtId="0" fontId="8" fillId="12" borderId="11" xfId="0" applyFont="1" applyFill="1" applyBorder="1" applyAlignment="1">
      <alignment vertical="center" wrapText="1"/>
    </xf>
    <xf numFmtId="43" fontId="11" fillId="12" borderId="11" xfId="6" applyFont="1" applyFill="1" applyBorder="1" applyAlignment="1">
      <alignment vertical="center" wrapText="1"/>
    </xf>
    <xf numFmtId="43" fontId="11" fillId="12" borderId="2" xfId="6" applyFont="1" applyFill="1" applyBorder="1" applyAlignment="1">
      <alignment horizontal="right" vertical="center" wrapText="1"/>
    </xf>
    <xf numFmtId="0" fontId="11" fillId="12" borderId="35" xfId="0" applyFont="1" applyFill="1" applyBorder="1" applyAlignment="1">
      <alignment vertical="center" wrapText="1"/>
    </xf>
    <xf numFmtId="43" fontId="8" fillId="7" borderId="10" xfId="6" applyFont="1" applyFill="1" applyBorder="1" applyAlignment="1">
      <alignment horizontal="right" vertical="center" wrapText="1"/>
    </xf>
    <xf numFmtId="43" fontId="8" fillId="7" borderId="7" xfId="6" applyFont="1" applyFill="1" applyBorder="1" applyAlignment="1">
      <alignment horizontal="right" vertical="center" wrapText="1"/>
    </xf>
    <xf numFmtId="0" fontId="7" fillId="23" borderId="11" xfId="0" applyFont="1" applyFill="1" applyBorder="1" applyAlignment="1">
      <alignment vertical="center" wrapText="1"/>
    </xf>
    <xf numFmtId="43" fontId="12" fillId="23" borderId="11" xfId="6" applyFont="1" applyFill="1" applyBorder="1" applyAlignment="1">
      <alignment vertical="center" wrapText="1"/>
    </xf>
    <xf numFmtId="43" fontId="12" fillId="23" borderId="2" xfId="6" applyFont="1" applyFill="1" applyBorder="1" applyAlignment="1">
      <alignment horizontal="right" vertical="center" wrapText="1"/>
    </xf>
    <xf numFmtId="0" fontId="12" fillId="23" borderId="35" xfId="0" applyFont="1" applyFill="1" applyBorder="1" applyAlignment="1">
      <alignment vertical="center" wrapText="1"/>
    </xf>
    <xf numFmtId="0" fontId="12" fillId="7" borderId="32"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5" xfId="0" applyFont="1" applyFill="1" applyBorder="1"/>
    <xf numFmtId="43" fontId="12" fillId="12" borderId="11" xfId="6" applyFont="1" applyFill="1" applyBorder="1" applyAlignment="1">
      <alignment vertical="center" wrapText="1"/>
    </xf>
    <xf numFmtId="43" fontId="12" fillId="12" borderId="2" xfId="6" applyFont="1" applyFill="1" applyBorder="1" applyAlignment="1">
      <alignment horizontal="right" vertical="center" wrapText="1"/>
    </xf>
    <xf numFmtId="0" fontId="12" fillId="12" borderId="35" xfId="0" applyFont="1" applyFill="1" applyBorder="1" applyAlignment="1">
      <alignment vertical="center" wrapText="1"/>
    </xf>
    <xf numFmtId="43" fontId="8" fillId="0" borderId="8" xfId="6" applyFont="1" applyFill="1" applyBorder="1" applyAlignment="1">
      <alignment horizontal="right" vertical="center" wrapText="1"/>
    </xf>
    <xf numFmtId="43" fontId="8" fillId="7" borderId="8" xfId="6" applyFont="1" applyFill="1" applyBorder="1" applyAlignment="1">
      <alignment horizontal="right" vertical="center" wrapText="1"/>
    </xf>
    <xf numFmtId="43" fontId="8" fillId="0" borderId="10" xfId="6" applyFont="1" applyFill="1" applyBorder="1" applyAlignment="1">
      <alignment horizontal="right" vertical="center" wrapText="1"/>
    </xf>
    <xf numFmtId="43" fontId="8" fillId="0" borderId="7" xfId="6" applyFont="1" applyFill="1" applyBorder="1" applyAlignment="1">
      <alignment horizontal="right" vertical="center" wrapText="1"/>
    </xf>
    <xf numFmtId="43" fontId="8" fillId="0" borderId="13" xfId="6" applyFont="1" applyFill="1" applyBorder="1" applyAlignment="1">
      <alignment horizontal="right"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188" fontId="11" fillId="0" borderId="20" xfId="0" applyNumberFormat="1" applyFont="1" applyBorder="1" applyAlignment="1">
      <alignment horizontal="center" vertical="center" wrapText="1"/>
    </xf>
    <xf numFmtId="0" fontId="11" fillId="0" borderId="20" xfId="0" applyFont="1" applyBorder="1" applyAlignment="1">
      <alignment horizontal="justify" vertical="center" wrapText="1"/>
    </xf>
    <xf numFmtId="0" fontId="12" fillId="0" borderId="20" xfId="0" applyFont="1" applyBorder="1" applyAlignment="1">
      <alignment horizontal="justify" vertical="center" wrapText="1"/>
    </xf>
    <xf numFmtId="10" fontId="11" fillId="0" borderId="20" xfId="0" applyNumberFormat="1" applyFont="1" applyBorder="1" applyAlignment="1">
      <alignment horizontal="center" vertical="center" wrapText="1"/>
    </xf>
    <xf numFmtId="43" fontId="12" fillId="0" borderId="22" xfId="6" applyFont="1" applyBorder="1" applyAlignment="1">
      <alignment horizontal="right" vertical="center" wrapText="1"/>
    </xf>
    <xf numFmtId="0" fontId="11" fillId="0" borderId="19" xfId="0" applyFont="1" applyBorder="1" applyAlignment="1">
      <alignment horizontal="justify" vertical="center" wrapText="1"/>
    </xf>
    <xf numFmtId="43" fontId="12" fillId="0" borderId="46" xfId="6" applyFont="1" applyBorder="1" applyAlignment="1">
      <alignment horizontal="right" vertical="center" wrapText="1"/>
    </xf>
    <xf numFmtId="1" fontId="11" fillId="0" borderId="20" xfId="0" applyNumberFormat="1" applyFont="1" applyBorder="1" applyAlignment="1">
      <alignment horizontal="center" vertical="center" wrapText="1"/>
    </xf>
    <xf numFmtId="0" fontId="11" fillId="0" borderId="20" xfId="0" applyFont="1" applyBorder="1" applyAlignment="1">
      <alignment horizontal="center" vertical="center" textRotation="180" wrapText="1"/>
    </xf>
    <xf numFmtId="49" fontId="11" fillId="0" borderId="20" xfId="0" applyNumberFormat="1" applyFont="1" applyBorder="1" applyAlignment="1">
      <alignment horizontal="center" vertical="center" textRotation="180" wrapText="1"/>
    </xf>
    <xf numFmtId="2" fontId="11" fillId="7" borderId="0" xfId="0" applyNumberFormat="1" applyFont="1" applyFill="1" applyAlignment="1">
      <alignment horizontal="right"/>
    </xf>
    <xf numFmtId="189" fontId="11" fillId="7" borderId="0" xfId="0" applyNumberFormat="1" applyFont="1" applyFill="1" applyAlignment="1">
      <alignment horizontal="right" vertical="center"/>
    </xf>
    <xf numFmtId="0" fontId="16" fillId="7" borderId="0" xfId="0" applyFont="1" applyFill="1" applyAlignment="1">
      <alignment vertical="center"/>
    </xf>
    <xf numFmtId="2" fontId="11" fillId="7" borderId="0" xfId="0" applyNumberFormat="1" applyFont="1" applyFill="1" applyAlignment="1">
      <alignment horizontal="right" vertical="center"/>
    </xf>
    <xf numFmtId="166" fontId="11" fillId="7" borderId="0" xfId="0" applyNumberFormat="1" applyFont="1" applyFill="1" applyAlignment="1">
      <alignment horizontal="justify" vertical="center" wrapText="1"/>
    </xf>
    <xf numFmtId="166" fontId="16" fillId="7" borderId="0" xfId="0" applyNumberFormat="1" applyFont="1" applyFill="1" applyAlignment="1">
      <alignment horizontal="center" vertical="center" wrapText="1"/>
    </xf>
    <xf numFmtId="166" fontId="16" fillId="7" borderId="0" xfId="0" applyNumberFormat="1" applyFont="1" applyFill="1" applyAlignment="1">
      <alignment horizontal="center" vertical="center"/>
    </xf>
    <xf numFmtId="3" fontId="11" fillId="7" borderId="0" xfId="0" applyNumberFormat="1" applyFont="1" applyFill="1" applyAlignment="1">
      <alignment horizontal="center" vertical="center"/>
    </xf>
    <xf numFmtId="0" fontId="11" fillId="0" borderId="0" xfId="0" applyFont="1" applyAlignment="1">
      <alignment horizontal="right" vertical="center"/>
    </xf>
    <xf numFmtId="0" fontId="16" fillId="0" borderId="0" xfId="0" applyFont="1" applyAlignment="1">
      <alignment horizontal="right" vertical="center"/>
    </xf>
    <xf numFmtId="165" fontId="11" fillId="0" borderId="0" xfId="0" applyNumberFormat="1" applyFont="1" applyAlignment="1">
      <alignment horizontal="center"/>
    </xf>
    <xf numFmtId="165" fontId="16" fillId="0" borderId="0" xfId="0" applyNumberFormat="1" applyFont="1" applyAlignment="1">
      <alignment horizontal="center"/>
    </xf>
    <xf numFmtId="189" fontId="5" fillId="0" borderId="0" xfId="0" applyNumberFormat="1" applyFont="1" applyAlignment="1">
      <alignment horizontal="right" vertical="center"/>
    </xf>
    <xf numFmtId="190" fontId="8" fillId="0" borderId="0" xfId="23" applyFont="1" applyAlignment="1">
      <alignment horizontal="justify" vertical="center"/>
    </xf>
    <xf numFmtId="2" fontId="11" fillId="0" borderId="0" xfId="0" applyNumberFormat="1" applyFont="1" applyAlignment="1">
      <alignment horizontal="right"/>
    </xf>
    <xf numFmtId="189" fontId="11" fillId="0" borderId="0" xfId="0" applyNumberFormat="1" applyFont="1" applyAlignment="1">
      <alignment horizontal="right"/>
    </xf>
    <xf numFmtId="168" fontId="12" fillId="8" borderId="2" xfId="4" applyNumberFormat="1" applyFont="1" applyFill="1" applyBorder="1" applyAlignment="1">
      <alignment horizontal="justify" vertical="center" wrapText="1"/>
    </xf>
    <xf numFmtId="0" fontId="7" fillId="7" borderId="20" xfId="0" applyFont="1" applyFill="1" applyBorder="1" applyAlignment="1">
      <alignment horizontal="center" vertical="center"/>
    </xf>
    <xf numFmtId="0" fontId="20" fillId="8" borderId="9" xfId="0" applyFont="1" applyFill="1" applyBorder="1" applyAlignment="1">
      <alignment horizontal="center" vertical="center" textRotation="90" wrapText="1"/>
    </xf>
    <xf numFmtId="49" fontId="20" fillId="8" borderId="9" xfId="0" applyNumberFormat="1" applyFont="1" applyFill="1" applyBorder="1" applyAlignment="1">
      <alignment horizontal="center" vertical="center" textRotation="90" wrapText="1"/>
    </xf>
    <xf numFmtId="0" fontId="20" fillId="8" borderId="8" xfId="0" applyFont="1" applyFill="1" applyBorder="1" applyAlignment="1">
      <alignment horizontal="center" vertical="center" textRotation="90" wrapText="1"/>
    </xf>
    <xf numFmtId="0" fontId="7" fillId="10" borderId="5" xfId="0" applyFont="1" applyFill="1" applyBorder="1" applyAlignment="1">
      <alignment horizontal="center" vertical="center" wrapText="1"/>
    </xf>
    <xf numFmtId="14" fontId="7" fillId="10" borderId="5" xfId="0" applyNumberFormat="1" applyFont="1" applyFill="1" applyBorder="1" applyAlignment="1">
      <alignment horizontal="center" vertical="center" wrapText="1"/>
    </xf>
    <xf numFmtId="0" fontId="7" fillId="23" borderId="5" xfId="0" applyFont="1" applyFill="1" applyBorder="1" applyAlignment="1">
      <alignment horizontal="center" vertical="center" wrapText="1"/>
    </xf>
    <xf numFmtId="0" fontId="7" fillId="12" borderId="11" xfId="0" applyFont="1" applyFill="1" applyBorder="1" applyAlignment="1">
      <alignment horizontal="center" vertical="center" wrapText="1"/>
    </xf>
    <xf numFmtId="14" fontId="7" fillId="7" borderId="20" xfId="0" applyNumberFormat="1" applyFont="1" applyFill="1" applyBorder="1" applyAlignment="1">
      <alignment horizontal="center" vertical="center"/>
    </xf>
    <xf numFmtId="14" fontId="8" fillId="0" borderId="0" xfId="0" applyNumberFormat="1" applyFont="1" applyAlignment="1">
      <alignment horizontal="center" vertical="center"/>
    </xf>
    <xf numFmtId="173" fontId="10" fillId="0" borderId="2" xfId="0" applyNumberFormat="1" applyFont="1" applyBorder="1" applyAlignment="1">
      <alignment horizontal="left" vertical="center"/>
    </xf>
    <xf numFmtId="17" fontId="10" fillId="0" borderId="2" xfId="0" applyNumberFormat="1" applyFont="1" applyBorder="1" applyAlignment="1">
      <alignment horizontal="left" vertical="center"/>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1" fillId="0" borderId="0" xfId="0" applyFont="1" applyAlignment="1">
      <alignment horizontal="center"/>
    </xf>
    <xf numFmtId="0" fontId="11" fillId="7" borderId="9"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0" borderId="20" xfId="0" applyFont="1" applyBorder="1" applyAlignment="1">
      <alignment horizontal="center"/>
    </xf>
    <xf numFmtId="0" fontId="12" fillId="0" borderId="5" xfId="0" applyFont="1" applyBorder="1" applyAlignment="1">
      <alignment horizontal="center"/>
    </xf>
    <xf numFmtId="0" fontId="12" fillId="0" borderId="0" xfId="0" applyFont="1" applyAlignment="1">
      <alignment horizontal="center"/>
    </xf>
    <xf numFmtId="0" fontId="5" fillId="3" borderId="9"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1" fontId="5" fillId="3" borderId="6"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4" borderId="8" xfId="0" applyFont="1" applyFill="1" applyBorder="1" applyAlignment="1">
      <alignment horizontal="center" vertical="center" textRotation="90" wrapText="1"/>
    </xf>
    <xf numFmtId="0" fontId="7" fillId="4" borderId="7" xfId="0" applyFont="1" applyFill="1" applyBorder="1" applyAlignment="1">
      <alignment horizontal="center" vertical="center" textRotation="90" wrapText="1"/>
    </xf>
    <xf numFmtId="165" fontId="5" fillId="3" borderId="8" xfId="0" applyNumberFormat="1" applyFont="1" applyFill="1" applyBorder="1" applyAlignment="1">
      <alignment horizontal="center" vertical="center" wrapText="1"/>
    </xf>
    <xf numFmtId="165" fontId="5" fillId="3" borderId="7" xfId="0" applyNumberFormat="1" applyFont="1" applyFill="1" applyBorder="1" applyAlignment="1">
      <alignment horizontal="center" vertical="center" wrapText="1"/>
    </xf>
    <xf numFmtId="3" fontId="5" fillId="3" borderId="9" xfId="0" applyNumberFormat="1" applyFont="1" applyFill="1" applyBorder="1" applyAlignment="1">
      <alignment horizontal="center" vertical="center" wrapText="1"/>
    </xf>
    <xf numFmtId="3" fontId="5" fillId="3" borderId="14" xfId="0" applyNumberFormat="1" applyFont="1" applyFill="1" applyBorder="1" applyAlignment="1">
      <alignment horizontal="center" vertical="center" wrapText="1"/>
    </xf>
    <xf numFmtId="3" fontId="7" fillId="4" borderId="10" xfId="0" applyNumberFormat="1" applyFont="1" applyFill="1" applyBorder="1" applyAlignment="1">
      <alignment horizontal="center" vertical="center" wrapText="1"/>
    </xf>
    <xf numFmtId="3" fontId="7" fillId="4" borderId="11" xfId="0" applyNumberFormat="1"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10" fontId="7" fillId="3" borderId="9" xfId="2" applyNumberFormat="1" applyFont="1" applyFill="1" applyBorder="1" applyAlignment="1">
      <alignment horizontal="center" vertical="center" wrapText="1"/>
    </xf>
    <xf numFmtId="10" fontId="7" fillId="3" borderId="14" xfId="2" applyNumberFormat="1" applyFont="1" applyFill="1" applyBorder="1" applyAlignment="1">
      <alignment horizontal="center" vertical="center" wrapText="1"/>
    </xf>
    <xf numFmtId="43" fontId="5" fillId="3" borderId="9" xfId="1" applyFont="1" applyFill="1" applyBorder="1" applyAlignment="1">
      <alignment horizontal="center" vertical="center" wrapText="1"/>
    </xf>
    <xf numFmtId="43" fontId="5" fillId="3" borderId="14" xfId="1" applyFont="1" applyFill="1" applyBorder="1" applyAlignment="1">
      <alignment horizontal="center" vertical="center" wrapText="1"/>
    </xf>
    <xf numFmtId="1" fontId="5" fillId="2" borderId="8" xfId="0" applyNumberFormat="1"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 fontId="5" fillId="2" borderId="13" xfId="0" applyNumberFormat="1" applyFont="1" applyFill="1" applyBorder="1" applyAlignment="1">
      <alignment horizontal="center" vertical="center" wrapText="1"/>
    </xf>
    <xf numFmtId="1" fontId="5" fillId="2" borderId="0" xfId="0" applyNumberFormat="1" applyFont="1" applyFill="1" applyAlignment="1">
      <alignment horizontal="center" vertical="center" wrapText="1"/>
    </xf>
    <xf numFmtId="1" fontId="5" fillId="2" borderId="1"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15" xfId="0" applyFont="1" applyBorder="1" applyAlignment="1">
      <alignment horizontal="justify" vertical="center" wrapText="1"/>
    </xf>
    <xf numFmtId="3" fontId="4" fillId="0" borderId="9" xfId="0" applyNumberFormat="1" applyFont="1" applyBorder="1" applyAlignment="1">
      <alignment horizontal="justify" vertical="center" wrapText="1"/>
    </xf>
    <xf numFmtId="3" fontId="4" fillId="0" borderId="15" xfId="0" applyNumberFormat="1" applyFont="1" applyBorder="1" applyAlignment="1">
      <alignment horizontal="justify" vertical="center" wrapText="1"/>
    </xf>
    <xf numFmtId="10" fontId="8" fillId="0" borderId="2" xfId="2" applyNumberFormat="1" applyFont="1" applyBorder="1" applyAlignment="1">
      <alignment horizontal="center" vertical="center" wrapText="1"/>
    </xf>
    <xf numFmtId="43" fontId="4" fillId="0" borderId="2" xfId="1" applyFont="1" applyBorder="1" applyAlignment="1">
      <alignment horizontal="center" vertical="center" wrapText="1"/>
    </xf>
    <xf numFmtId="0" fontId="4" fillId="0" borderId="2" xfId="0" applyFont="1" applyBorder="1" applyAlignment="1">
      <alignment horizontal="justify" vertical="center" wrapText="1"/>
    </xf>
    <xf numFmtId="1" fontId="4" fillId="0" borderId="9" xfId="0" applyNumberFormat="1" applyFont="1" applyBorder="1" applyAlignment="1">
      <alignment horizontal="center" vertical="center" wrapText="1"/>
    </xf>
    <xf numFmtId="1" fontId="4" fillId="0" borderId="15" xfId="0" applyNumberFormat="1" applyFont="1" applyBorder="1" applyAlignment="1">
      <alignment horizontal="center" vertical="center" wrapText="1"/>
    </xf>
    <xf numFmtId="3" fontId="4" fillId="0" borderId="9" xfId="0" applyNumberFormat="1" applyFont="1" applyBorder="1" applyAlignment="1">
      <alignment horizontal="center" vertical="center"/>
    </xf>
    <xf numFmtId="3" fontId="4" fillId="0" borderId="15" xfId="0" applyNumberFormat="1" applyFont="1" applyBorder="1" applyAlignment="1">
      <alignment horizontal="center" vertical="center"/>
    </xf>
    <xf numFmtId="0" fontId="8" fillId="0" borderId="9" xfId="0" applyFont="1" applyBorder="1" applyAlignment="1">
      <alignment horizontal="justify" vertical="center" wrapText="1"/>
    </xf>
    <xf numFmtId="0" fontId="8" fillId="0" borderId="15" xfId="0" applyFont="1" applyBorder="1" applyAlignment="1">
      <alignment horizontal="justify" vertical="center" wrapText="1"/>
    </xf>
    <xf numFmtId="9" fontId="8" fillId="0" borderId="9" xfId="2" applyFont="1" applyBorder="1" applyAlignment="1">
      <alignment horizontal="center" vertical="center" wrapText="1"/>
    </xf>
    <xf numFmtId="9" fontId="8" fillId="0" borderId="15" xfId="2" applyFont="1" applyBorder="1" applyAlignment="1">
      <alignment horizontal="center" vertical="center" wrapText="1"/>
    </xf>
    <xf numFmtId="165" fontId="4" fillId="2" borderId="9" xfId="0" applyNumberFormat="1" applyFont="1" applyFill="1" applyBorder="1" applyAlignment="1">
      <alignment horizontal="center" vertical="center" wrapText="1"/>
    </xf>
    <xf numFmtId="165" fontId="4" fillId="2" borderId="15" xfId="0" applyNumberFormat="1" applyFont="1" applyFill="1" applyBorder="1" applyAlignment="1">
      <alignment horizontal="center" vertical="center" wrapText="1"/>
    </xf>
    <xf numFmtId="3" fontId="4" fillId="2" borderId="16" xfId="0" applyNumberFormat="1" applyFont="1" applyFill="1" applyBorder="1" applyAlignment="1">
      <alignment horizontal="center" vertical="center" wrapText="1"/>
    </xf>
    <xf numFmtId="3" fontId="4" fillId="2" borderId="17"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43" fontId="4" fillId="0" borderId="9" xfId="1" applyFont="1" applyBorder="1" applyAlignment="1">
      <alignment horizontal="center" vertical="center" wrapText="1"/>
    </xf>
    <xf numFmtId="43" fontId="4" fillId="0" borderId="15" xfId="1" applyFont="1" applyBorder="1" applyAlignment="1">
      <alignment horizontal="center" vertical="center" wrapText="1"/>
    </xf>
    <xf numFmtId="3" fontId="4" fillId="0" borderId="2" xfId="0" applyNumberFormat="1" applyFont="1" applyBorder="1" applyAlignment="1">
      <alignment horizontal="center" vertical="center"/>
    </xf>
    <xf numFmtId="9" fontId="8" fillId="0" borderId="2" xfId="2" applyFont="1" applyBorder="1" applyAlignment="1">
      <alignment horizontal="center" vertical="center" wrapText="1"/>
    </xf>
    <xf numFmtId="165" fontId="4" fillId="0" borderId="2"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3" fontId="4" fillId="0" borderId="12" xfId="0" applyNumberFormat="1"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justify" vertical="center" wrapText="1"/>
    </xf>
    <xf numFmtId="3" fontId="4" fillId="0" borderId="6" xfId="0" applyNumberFormat="1" applyFont="1" applyBorder="1" applyAlignment="1">
      <alignment horizontal="center" vertical="center"/>
    </xf>
    <xf numFmtId="0" fontId="4" fillId="2" borderId="12"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4" fillId="2" borderId="9" xfId="0" applyFont="1" applyFill="1" applyBorder="1" applyAlignment="1">
      <alignment horizontal="justify" vertical="center" wrapText="1"/>
    </xf>
    <xf numFmtId="43" fontId="4" fillId="2" borderId="2" xfId="1" applyFont="1" applyFill="1" applyBorder="1" applyAlignment="1">
      <alignment horizontal="center" vertical="center" wrapText="1"/>
    </xf>
    <xf numFmtId="43" fontId="4" fillId="2" borderId="9" xfId="1" applyFont="1" applyFill="1" applyBorder="1" applyAlignment="1">
      <alignment horizontal="center" vertical="center" wrapText="1"/>
    </xf>
    <xf numFmtId="165" fontId="4" fillId="2" borderId="14"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10" fontId="8" fillId="2" borderId="9" xfId="2" applyNumberFormat="1" applyFont="1" applyFill="1" applyBorder="1" applyAlignment="1">
      <alignment horizontal="center" vertical="center" wrapText="1"/>
    </xf>
    <xf numFmtId="10" fontId="8" fillId="2" borderId="15" xfId="2" applyNumberFormat="1" applyFont="1" applyFill="1" applyBorder="1" applyAlignment="1">
      <alignment horizontal="center" vertical="center" wrapText="1"/>
    </xf>
    <xf numFmtId="0" fontId="11" fillId="0" borderId="2" xfId="0" applyFont="1" applyBorder="1" applyAlignment="1">
      <alignment horizontal="justify" vertical="center" wrapText="1"/>
    </xf>
    <xf numFmtId="0" fontId="11" fillId="0" borderId="9" xfId="0" applyFont="1" applyBorder="1" applyAlignment="1">
      <alignment horizontal="justify" vertical="center" wrapText="1"/>
    </xf>
    <xf numFmtId="1" fontId="11" fillId="0" borderId="2" xfId="0" applyNumberFormat="1" applyFont="1" applyBorder="1" applyAlignment="1">
      <alignment horizontal="center" vertical="center"/>
    </xf>
    <xf numFmtId="1" fontId="11" fillId="0" borderId="9" xfId="0" applyNumberFormat="1" applyFont="1" applyBorder="1" applyAlignment="1">
      <alignment horizontal="center" vertical="center"/>
    </xf>
    <xf numFmtId="1" fontId="11" fillId="0" borderId="14" xfId="0" applyNumberFormat="1" applyFont="1" applyBorder="1" applyAlignment="1">
      <alignment horizontal="center" vertical="center"/>
    </xf>
    <xf numFmtId="1" fontId="11" fillId="0" borderId="41" xfId="0" applyNumberFormat="1" applyFont="1" applyBorder="1" applyAlignment="1">
      <alignment horizontal="center" vertical="center"/>
    </xf>
    <xf numFmtId="182" fontId="11" fillId="0" borderId="2" xfId="0" applyNumberFormat="1" applyFont="1" applyBorder="1" applyAlignment="1">
      <alignment horizontal="center" vertical="center"/>
    </xf>
    <xf numFmtId="182" fontId="11" fillId="0" borderId="9" xfId="0" applyNumberFormat="1" applyFont="1" applyBorder="1" applyAlignment="1">
      <alignment horizontal="center" vertical="center"/>
    </xf>
    <xf numFmtId="1" fontId="11" fillId="0" borderId="2" xfId="0" applyNumberFormat="1" applyFont="1" applyBorder="1" applyAlignment="1">
      <alignment horizontal="center" vertical="center" wrapText="1"/>
    </xf>
    <xf numFmtId="1" fontId="11" fillId="0" borderId="9" xfId="0" applyNumberFormat="1" applyFont="1" applyBorder="1" applyAlignment="1">
      <alignment horizontal="center" vertical="center" wrapText="1"/>
    </xf>
    <xf numFmtId="2" fontId="11" fillId="0" borderId="2" xfId="0" applyNumberFormat="1" applyFont="1" applyBorder="1" applyAlignment="1">
      <alignment vertical="center" wrapText="1"/>
    </xf>
    <xf numFmtId="2" fontId="11" fillId="0" borderId="9" xfId="0" applyNumberFormat="1" applyFont="1" applyBorder="1" applyAlignment="1">
      <alignment vertical="center" wrapText="1"/>
    </xf>
    <xf numFmtId="0" fontId="11" fillId="0" borderId="2" xfId="0" applyFont="1" applyBorder="1" applyAlignment="1">
      <alignment horizontal="justify" vertical="center"/>
    </xf>
    <xf numFmtId="0" fontId="11" fillId="0" borderId="9" xfId="0" applyFont="1" applyBorder="1" applyAlignment="1">
      <alignment horizontal="justify" vertical="center"/>
    </xf>
    <xf numFmtId="3" fontId="11" fillId="0" borderId="2" xfId="0" applyNumberFormat="1" applyFont="1" applyBorder="1" applyAlignment="1">
      <alignment horizontal="right" vertical="center"/>
    </xf>
    <xf numFmtId="3" fontId="11" fillId="0" borderId="9" xfId="0" applyNumberFormat="1" applyFont="1" applyBorder="1" applyAlignment="1">
      <alignment horizontal="right" vertical="center"/>
    </xf>
    <xf numFmtId="174" fontId="11" fillId="0" borderId="2" xfId="6" applyNumberFormat="1" applyFont="1" applyBorder="1" applyAlignment="1">
      <alignment horizontal="center" vertical="center"/>
    </xf>
    <xf numFmtId="9" fontId="11" fillId="0" borderId="2" xfId="5" applyFont="1" applyBorder="1" applyAlignment="1">
      <alignment horizontal="center" vertical="center"/>
    </xf>
    <xf numFmtId="166" fontId="11" fillId="0" borderId="15" xfId="0" applyNumberFormat="1" applyFont="1" applyBorder="1" applyAlignment="1">
      <alignment horizontal="right" vertical="center"/>
    </xf>
    <xf numFmtId="166" fontId="11" fillId="0" borderId="2" xfId="0" applyNumberFormat="1" applyFont="1" applyBorder="1" applyAlignment="1">
      <alignment horizontal="right" vertical="center"/>
    </xf>
    <xf numFmtId="1" fontId="11" fillId="0" borderId="2" xfId="0" applyNumberFormat="1" applyFont="1" applyBorder="1" applyAlignment="1">
      <alignment horizontal="justify" vertical="center" wrapText="1"/>
    </xf>
    <xf numFmtId="0" fontId="11" fillId="0" borderId="2" xfId="6" applyNumberFormat="1" applyFont="1" applyBorder="1" applyAlignment="1">
      <alignment horizontal="center" vertical="center"/>
    </xf>
    <xf numFmtId="0" fontId="11" fillId="0" borderId="2" xfId="6" applyNumberFormat="1" applyFont="1" applyBorder="1" applyAlignment="1">
      <alignment horizontal="center" vertical="center" wrapText="1"/>
    </xf>
    <xf numFmtId="0" fontId="11" fillId="0" borderId="12" xfId="0" applyFont="1" applyBorder="1" applyAlignment="1">
      <alignment horizontal="justify" vertical="center"/>
    </xf>
    <xf numFmtId="9" fontId="11" fillId="0" borderId="10" xfId="5" applyFont="1" applyBorder="1" applyAlignment="1">
      <alignment horizontal="center" vertical="center"/>
    </xf>
    <xf numFmtId="1" fontId="11" fillId="0" borderId="13" xfId="0" applyNumberFormat="1" applyFont="1" applyBorder="1" applyAlignment="1">
      <alignment horizontal="justify"/>
    </xf>
    <xf numFmtId="0" fontId="12" fillId="0" borderId="0" xfId="0" applyFont="1" applyAlignment="1">
      <alignment horizontal="justify" vertical="center" wrapText="1"/>
    </xf>
    <xf numFmtId="0" fontId="11" fillId="0" borderId="13" xfId="0" applyFont="1" applyBorder="1" applyAlignment="1">
      <alignment horizontal="justify"/>
    </xf>
    <xf numFmtId="0" fontId="11" fillId="0" borderId="0" xfId="0" applyFont="1" applyAlignment="1">
      <alignment horizontal="justify"/>
    </xf>
    <xf numFmtId="1" fontId="11" fillId="0" borderId="15" xfId="0" applyNumberFormat="1" applyFont="1" applyBorder="1" applyAlignment="1">
      <alignment horizontal="center" vertical="center"/>
    </xf>
    <xf numFmtId="1" fontId="11" fillId="0" borderId="15" xfId="0" applyNumberFormat="1" applyFont="1" applyBorder="1" applyAlignment="1">
      <alignment horizontal="center" vertical="center" wrapText="1"/>
    </xf>
    <xf numFmtId="2" fontId="11" fillId="0" borderId="15" xfId="0" applyNumberFormat="1" applyFont="1" applyBorder="1" applyAlignment="1">
      <alignment vertical="center" wrapText="1"/>
    </xf>
    <xf numFmtId="0" fontId="11" fillId="0" borderId="15" xfId="0" applyFont="1" applyBorder="1" applyAlignment="1">
      <alignment horizontal="justify" vertical="center" wrapText="1"/>
    </xf>
    <xf numFmtId="9" fontId="11" fillId="0" borderId="2" xfId="5" applyFont="1" applyBorder="1" applyAlignment="1">
      <alignment horizontal="center" vertical="center" wrapText="1"/>
    </xf>
    <xf numFmtId="43" fontId="11" fillId="0" borderId="15" xfId="6" applyFont="1" applyBorder="1" applyAlignment="1">
      <alignment horizontal="right" vertical="center" wrapText="1"/>
    </xf>
    <xf numFmtId="43" fontId="11" fillId="0" borderId="2" xfId="6" applyFont="1" applyBorder="1" applyAlignment="1">
      <alignment horizontal="right" vertical="center" wrapText="1"/>
    </xf>
    <xf numFmtId="43" fontId="11" fillId="0" borderId="9" xfId="6" applyFont="1" applyBorder="1" applyAlignment="1">
      <alignment horizontal="right" vertical="center" wrapText="1"/>
    </xf>
    <xf numFmtId="0" fontId="11" fillId="0" borderId="2" xfId="0" applyFont="1" applyBorder="1" applyAlignment="1">
      <alignment horizontal="center" vertical="center" wrapText="1"/>
    </xf>
    <xf numFmtId="2" fontId="11" fillId="0" borderId="2" xfId="0" applyNumberFormat="1" applyFont="1" applyBorder="1" applyAlignment="1">
      <alignment horizontal="justify" vertical="center" wrapText="1"/>
    </xf>
    <xf numFmtId="0" fontId="11" fillId="0" borderId="9"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1" fontId="11" fillId="0" borderId="12" xfId="0" applyNumberFormat="1" applyFont="1" applyBorder="1" applyAlignment="1">
      <alignment horizontal="center" vertical="center"/>
    </xf>
    <xf numFmtId="0" fontId="11" fillId="0" borderId="12" xfId="0" applyFont="1" applyBorder="1" applyAlignment="1">
      <alignment horizontal="justify" vertical="center" wrapText="1"/>
    </xf>
    <xf numFmtId="3" fontId="11" fillId="0" borderId="2" xfId="0" applyNumberFormat="1" applyFont="1" applyBorder="1" applyAlignment="1">
      <alignment horizontal="justify" vertical="center" wrapText="1"/>
    </xf>
    <xf numFmtId="1" fontId="11" fillId="0" borderId="2" xfId="0" applyNumberFormat="1" applyFont="1" applyBorder="1" applyAlignment="1">
      <alignment vertical="center" wrapText="1"/>
    </xf>
    <xf numFmtId="0" fontId="11" fillId="0" borderId="7" xfId="0" applyFont="1" applyBorder="1" applyAlignment="1">
      <alignment horizontal="justify" vertical="center" wrapText="1"/>
    </xf>
    <xf numFmtId="0" fontId="11" fillId="0" borderId="10" xfId="0" applyFont="1" applyBorder="1" applyAlignment="1">
      <alignment horizontal="justify" vertical="center" wrapText="1"/>
    </xf>
    <xf numFmtId="9" fontId="11" fillId="0" borderId="11" xfId="5" applyFont="1" applyBorder="1" applyAlignment="1">
      <alignment horizontal="center" vertical="center" wrapText="1"/>
    </xf>
    <xf numFmtId="0" fontId="11" fillId="0" borderId="0" xfId="0" applyFont="1" applyAlignment="1">
      <alignment horizontal="justify" vertical="center" wrapText="1"/>
    </xf>
    <xf numFmtId="0" fontId="11" fillId="0" borderId="13" xfId="0" applyFont="1" applyBorder="1" applyAlignment="1">
      <alignment horizontal="justify" vertical="center" wrapText="1"/>
    </xf>
    <xf numFmtId="182" fontId="11" fillId="0" borderId="14" xfId="0" applyNumberFormat="1" applyFont="1" applyBorder="1" applyAlignment="1">
      <alignment horizontal="center" vertical="center"/>
    </xf>
    <xf numFmtId="182" fontId="11" fillId="0" borderId="15" xfId="0" applyNumberFormat="1" applyFont="1" applyBorder="1" applyAlignment="1">
      <alignment horizontal="center" vertical="center"/>
    </xf>
    <xf numFmtId="1" fontId="11" fillId="0" borderId="14" xfId="0" applyNumberFormat="1" applyFont="1" applyBorder="1" applyAlignment="1">
      <alignment horizontal="center" vertical="center" wrapText="1"/>
    </xf>
    <xf numFmtId="1" fontId="11" fillId="0" borderId="10" xfId="0" applyNumberFormat="1" applyFont="1" applyBorder="1" applyAlignment="1">
      <alignment horizontal="center" vertical="center"/>
    </xf>
    <xf numFmtId="1" fontId="11" fillId="0" borderId="9" xfId="6" applyNumberFormat="1" applyFont="1" applyBorder="1" applyAlignment="1">
      <alignment horizontal="center" vertical="center" wrapText="1"/>
    </xf>
    <xf numFmtId="1" fontId="11" fillId="0" borderId="14" xfId="6" applyNumberFormat="1" applyFont="1" applyBorder="1" applyAlignment="1">
      <alignment horizontal="center" vertical="center" wrapText="1"/>
    </xf>
    <xf numFmtId="1" fontId="11" fillId="0" borderId="15" xfId="6" applyNumberFormat="1" applyFont="1" applyBorder="1" applyAlignment="1">
      <alignment horizontal="center" vertical="center" wrapText="1"/>
    </xf>
    <xf numFmtId="1" fontId="11" fillId="0" borderId="2" xfId="6" applyNumberFormat="1" applyFont="1" applyBorder="1" applyAlignment="1">
      <alignment horizontal="center" vertical="center" wrapText="1"/>
    </xf>
    <xf numFmtId="1" fontId="11" fillId="0" borderId="9" xfId="6" applyNumberFormat="1" applyFont="1" applyBorder="1" applyAlignment="1">
      <alignment horizontal="center" vertical="center"/>
    </xf>
    <xf numFmtId="1" fontId="11" fillId="0" borderId="14" xfId="6" applyNumberFormat="1" applyFont="1" applyBorder="1" applyAlignment="1">
      <alignment horizontal="center" vertical="center"/>
    </xf>
    <xf numFmtId="1" fontId="11" fillId="0" borderId="15" xfId="6" applyNumberFormat="1" applyFont="1" applyBorder="1" applyAlignment="1">
      <alignment horizontal="center" vertical="center"/>
    </xf>
    <xf numFmtId="1" fontId="11" fillId="0" borderId="8" xfId="6" applyNumberFormat="1" applyFont="1" applyBorder="1" applyAlignment="1">
      <alignment horizontal="center" vertical="center" wrapText="1"/>
    </xf>
    <xf numFmtId="1" fontId="11" fillId="0" borderId="13" xfId="6" applyNumberFormat="1" applyFont="1" applyBorder="1" applyAlignment="1">
      <alignment horizontal="center" vertical="center" wrapText="1"/>
    </xf>
    <xf numFmtId="1" fontId="11" fillId="0" borderId="7" xfId="6" applyNumberFormat="1" applyFont="1" applyBorder="1" applyAlignment="1">
      <alignment horizontal="center" vertical="center" wrapText="1"/>
    </xf>
    <xf numFmtId="0" fontId="11" fillId="0" borderId="6"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4" xfId="0" applyFont="1" applyBorder="1" applyAlignment="1">
      <alignment horizontal="justify" vertical="center" wrapText="1"/>
    </xf>
    <xf numFmtId="43" fontId="11" fillId="0" borderId="9" xfId="6" applyFont="1" applyBorder="1" applyAlignment="1">
      <alignment horizontal="center" vertical="center" wrapText="1"/>
    </xf>
    <xf numFmtId="43" fontId="11" fillId="0" borderId="14" xfId="6" applyFont="1" applyBorder="1" applyAlignment="1">
      <alignment horizontal="center" vertical="center" wrapText="1"/>
    </xf>
    <xf numFmtId="43" fontId="11" fillId="0" borderId="15" xfId="6" applyFont="1" applyBorder="1" applyAlignment="1">
      <alignment horizontal="center" vertical="center" wrapText="1"/>
    </xf>
    <xf numFmtId="0" fontId="11" fillId="0" borderId="14" xfId="0" applyFont="1" applyBorder="1" applyAlignment="1">
      <alignment horizontal="justify" vertical="center" wrapText="1"/>
    </xf>
    <xf numFmtId="9" fontId="11" fillId="0" borderId="9" xfId="5" applyFont="1" applyBorder="1" applyAlignment="1">
      <alignment horizontal="center" vertical="center"/>
    </xf>
    <xf numFmtId="9" fontId="11" fillId="0" borderId="15" xfId="5" applyFont="1" applyBorder="1" applyAlignment="1">
      <alignment horizontal="center" vertical="center"/>
    </xf>
    <xf numFmtId="1" fontId="11" fillId="0" borderId="10" xfId="0" applyNumberFormat="1" applyFont="1" applyBorder="1" applyAlignment="1">
      <alignment horizontal="center" vertical="center" wrapText="1"/>
    </xf>
    <xf numFmtId="0" fontId="11" fillId="0" borderId="9"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2" fillId="20" borderId="11" xfId="0" applyFont="1" applyFill="1" applyBorder="1" applyAlignment="1">
      <alignment horizontal="left" vertical="center"/>
    </xf>
    <xf numFmtId="0" fontId="12" fillId="12" borderId="11" xfId="0" applyFont="1" applyFill="1" applyBorder="1" applyAlignment="1">
      <alignment horizontal="left" vertical="center"/>
    </xf>
    <xf numFmtId="0" fontId="11" fillId="0" borderId="2" xfId="0" applyFont="1" applyBorder="1" applyAlignment="1">
      <alignment vertical="center"/>
    </xf>
    <xf numFmtId="43" fontId="11" fillId="0" borderId="2" xfId="6" applyFont="1" applyBorder="1" applyAlignment="1">
      <alignment horizontal="right" vertical="center"/>
    </xf>
    <xf numFmtId="0" fontId="11" fillId="0" borderId="2" xfId="0" applyFont="1" applyBorder="1" applyAlignment="1">
      <alignment horizontal="center" vertical="center"/>
    </xf>
    <xf numFmtId="0" fontId="12" fillId="19" borderId="11" xfId="0" applyFont="1" applyFill="1" applyBorder="1" applyAlignment="1">
      <alignment horizontal="left" vertical="center"/>
    </xf>
    <xf numFmtId="0" fontId="11" fillId="0" borderId="2" xfId="6" applyNumberFormat="1" applyFont="1" applyBorder="1" applyAlignment="1">
      <alignment vertical="center" wrapText="1"/>
    </xf>
    <xf numFmtId="0" fontId="11" fillId="0" borderId="2" xfId="0" applyFont="1" applyBorder="1" applyAlignment="1">
      <alignment horizontal="left" vertical="center" wrapText="1"/>
    </xf>
    <xf numFmtId="9" fontId="11" fillId="0" borderId="10" xfId="5" applyFont="1" applyBorder="1" applyAlignment="1">
      <alignment horizontal="center" vertical="center" wrapText="1"/>
    </xf>
    <xf numFmtId="0" fontId="12" fillId="10" borderId="11" xfId="0" applyFont="1" applyFill="1" applyBorder="1" applyAlignment="1">
      <alignment horizontal="left" vertical="center"/>
    </xf>
    <xf numFmtId="0" fontId="12" fillId="11" borderId="11" xfId="0" applyFont="1" applyFill="1" applyBorder="1" applyAlignment="1">
      <alignment horizontal="left" vertical="center"/>
    </xf>
    <xf numFmtId="41" fontId="12" fillId="8" borderId="12" xfId="15" applyFont="1" applyFill="1" applyBorder="1" applyAlignment="1">
      <alignment horizontal="center" vertical="center" wrapText="1"/>
    </xf>
    <xf numFmtId="41" fontId="12" fillId="8" borderId="2" xfId="15"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14" xfId="0"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3" fontId="7" fillId="9" borderId="11" xfId="0" applyNumberFormat="1"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9" borderId="10" xfId="0" applyFont="1" applyFill="1" applyBorder="1" applyAlignment="1">
      <alignment horizontal="center" vertical="center"/>
    </xf>
    <xf numFmtId="0" fontId="7" fillId="9" borderId="11" xfId="0" applyFont="1" applyFill="1" applyBorder="1" applyAlignment="1">
      <alignment horizontal="center" vertical="center"/>
    </xf>
    <xf numFmtId="0" fontId="7" fillId="9" borderId="8" xfId="0" applyFont="1" applyFill="1" applyBorder="1" applyAlignment="1">
      <alignment horizontal="center" vertical="center" wrapText="1"/>
    </xf>
    <xf numFmtId="0" fontId="7" fillId="9" borderId="5" xfId="0" applyFont="1" applyFill="1" applyBorder="1" applyAlignment="1">
      <alignment horizontal="center" vertical="center" wrapText="1"/>
    </xf>
    <xf numFmtId="169" fontId="12" fillId="8" borderId="9" xfId="0" applyNumberFormat="1" applyFont="1" applyFill="1" applyBorder="1" applyAlignment="1">
      <alignment horizontal="center" vertical="center" wrapText="1"/>
    </xf>
    <xf numFmtId="169" fontId="12" fillId="8" borderId="14" xfId="0" applyNumberFormat="1" applyFont="1" applyFill="1" applyBorder="1" applyAlignment="1">
      <alignment horizontal="center" vertical="center" wrapText="1"/>
    </xf>
    <xf numFmtId="166" fontId="12" fillId="8" borderId="9" xfId="0" applyNumberFormat="1" applyFont="1" applyFill="1" applyBorder="1" applyAlignment="1">
      <alignment horizontal="center" vertical="center" wrapText="1"/>
    </xf>
    <xf numFmtId="166" fontId="12" fillId="8" borderId="14" xfId="0"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2" fillId="0" borderId="5" xfId="0" applyFont="1" applyBorder="1" applyAlignment="1">
      <alignment horizontal="justify" vertical="center"/>
    </xf>
    <xf numFmtId="0" fontId="12" fillId="0" borderId="3" xfId="0" applyFont="1" applyBorder="1" applyAlignment="1">
      <alignment horizontal="justify" vertical="center"/>
    </xf>
    <xf numFmtId="0" fontId="12" fillId="0" borderId="2"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1" fontId="12" fillId="8" borderId="9" xfId="0" applyNumberFormat="1" applyFont="1" applyFill="1" applyBorder="1" applyAlignment="1">
      <alignment horizontal="center" vertical="center" wrapText="1"/>
    </xf>
    <xf numFmtId="1" fontId="12" fillId="8" borderId="14" xfId="0" applyNumberFormat="1"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8" borderId="1" xfId="0" applyFont="1" applyFill="1" applyBorder="1" applyAlignment="1">
      <alignment horizontal="center" vertical="center" wrapText="1"/>
    </xf>
    <xf numFmtId="3" fontId="12" fillId="8" borderId="9" xfId="0" applyNumberFormat="1" applyFont="1" applyFill="1" applyBorder="1" applyAlignment="1">
      <alignment horizontal="center" vertical="center" wrapText="1"/>
    </xf>
    <xf numFmtId="3" fontId="12" fillId="8" borderId="14" xfId="0" applyNumberFormat="1" applyFont="1" applyFill="1" applyBorder="1" applyAlignment="1">
      <alignment horizontal="center" vertical="center" wrapText="1"/>
    </xf>
    <xf numFmtId="167" fontId="12" fillId="9" borderId="8" xfId="0" applyNumberFormat="1" applyFont="1" applyFill="1" applyBorder="1" applyAlignment="1">
      <alignment horizontal="center" vertical="center" textRotation="90" wrapText="1"/>
    </xf>
    <xf numFmtId="167" fontId="12" fillId="9" borderId="13" xfId="0" applyNumberFormat="1" applyFont="1" applyFill="1" applyBorder="1" applyAlignment="1">
      <alignment horizontal="center" vertical="center" textRotation="90" wrapText="1"/>
    </xf>
    <xf numFmtId="167" fontId="12" fillId="8" borderId="8" xfId="0" applyNumberFormat="1" applyFont="1" applyFill="1" applyBorder="1" applyAlignment="1">
      <alignment horizontal="center" vertical="center" wrapText="1"/>
    </xf>
    <xf numFmtId="167" fontId="12" fillId="8" borderId="13"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2" fillId="0" borderId="0" xfId="0" applyFont="1" applyAlignment="1">
      <alignment horizontal="justify"/>
    </xf>
    <xf numFmtId="9" fontId="11" fillId="0" borderId="2" xfId="5" applyFont="1" applyFill="1" applyBorder="1" applyAlignment="1">
      <alignment horizontal="center" vertical="center" wrapText="1"/>
    </xf>
    <xf numFmtId="9" fontId="11" fillId="0" borderId="9" xfId="5"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2" fillId="0" borderId="0" xfId="0" applyFont="1" applyAlignment="1">
      <alignment horizontal="center" vertical="center"/>
    </xf>
    <xf numFmtId="166" fontId="12" fillId="0" borderId="0" xfId="0" applyNumberFormat="1" applyFont="1" applyAlignment="1">
      <alignment horizontal="justify" vertical="center"/>
    </xf>
    <xf numFmtId="1" fontId="8" fillId="7" borderId="9" xfId="0" applyNumberFormat="1" applyFont="1" applyFill="1" applyBorder="1" applyAlignment="1">
      <alignment horizontal="center" vertical="center" wrapText="1"/>
    </xf>
    <xf numFmtId="1" fontId="8" fillId="7" borderId="14" xfId="0" applyNumberFormat="1" applyFont="1" applyFill="1" applyBorder="1" applyAlignment="1">
      <alignment horizontal="center" vertical="center" wrapText="1"/>
    </xf>
    <xf numFmtId="165" fontId="11" fillId="0" borderId="2" xfId="0" applyNumberFormat="1" applyFont="1" applyBorder="1" applyAlignment="1">
      <alignment horizontal="center" vertical="center" wrapText="1"/>
    </xf>
    <xf numFmtId="165" fontId="11" fillId="0" borderId="9" xfId="0" applyNumberFormat="1" applyFont="1" applyBorder="1" applyAlignment="1">
      <alignment horizontal="center" vertical="center" wrapText="1"/>
    </xf>
    <xf numFmtId="165" fontId="11" fillId="0" borderId="2" xfId="0" applyNumberFormat="1" applyFont="1" applyBorder="1" applyAlignment="1" applyProtection="1">
      <alignment horizontal="center" vertical="center" wrapText="1"/>
      <protection locked="0"/>
    </xf>
    <xf numFmtId="165" fontId="11" fillId="0" borderId="9" xfId="0" applyNumberFormat="1" applyFont="1" applyBorder="1" applyAlignment="1" applyProtection="1">
      <alignment horizontal="center" vertical="center" wrapText="1"/>
      <protection locked="0"/>
    </xf>
    <xf numFmtId="3" fontId="11" fillId="0" borderId="18" xfId="0" applyNumberFormat="1" applyFont="1" applyBorder="1" applyAlignment="1">
      <alignment horizontal="center" vertical="center" wrapText="1"/>
    </xf>
    <xf numFmtId="3" fontId="11" fillId="0" borderId="16" xfId="0" applyNumberFormat="1" applyFont="1" applyBorder="1" applyAlignment="1">
      <alignment horizontal="center" vertical="center" wrapText="1"/>
    </xf>
    <xf numFmtId="0" fontId="11" fillId="0" borderId="9" xfId="0" applyFont="1" applyFill="1" applyBorder="1" applyAlignment="1">
      <alignment horizontal="justify" vertical="center" wrapText="1"/>
    </xf>
    <xf numFmtId="0" fontId="11" fillId="0" borderId="15" xfId="0" applyFont="1" applyFill="1" applyBorder="1" applyAlignment="1">
      <alignment horizontal="justify" vertical="center" wrapText="1"/>
    </xf>
    <xf numFmtId="43" fontId="11" fillId="0" borderId="2" xfId="6" applyFont="1" applyFill="1" applyBorder="1" applyAlignment="1">
      <alignment horizontal="justify" vertical="center" wrapText="1"/>
    </xf>
    <xf numFmtId="43" fontId="11" fillId="0" borderId="9" xfId="6" applyFont="1" applyFill="1" applyBorder="1" applyAlignment="1">
      <alignment horizontal="justify" vertical="center" wrapText="1"/>
    </xf>
    <xf numFmtId="170" fontId="11" fillId="0" borderId="9" xfId="7" applyNumberFormat="1" applyFont="1" applyBorder="1" applyAlignment="1">
      <alignment horizontal="center" vertical="center" wrapText="1"/>
    </xf>
    <xf numFmtId="170" fontId="11" fillId="0" borderId="14" xfId="7" applyNumberFormat="1" applyFont="1" applyBorder="1" applyAlignment="1">
      <alignment horizontal="center" vertical="center" wrapText="1"/>
    </xf>
    <xf numFmtId="0" fontId="11" fillId="0" borderId="14" xfId="0" applyFont="1" applyFill="1" applyBorder="1" applyAlignment="1">
      <alignment horizontal="justify" vertical="center" wrapText="1"/>
    </xf>
    <xf numFmtId="43" fontId="11" fillId="0" borderId="2" xfId="6" applyFont="1" applyFill="1" applyBorder="1" applyAlignment="1">
      <alignment horizontal="right" vertical="center" wrapText="1"/>
    </xf>
    <xf numFmtId="0" fontId="11" fillId="0" borderId="12" xfId="0" applyFont="1" applyFill="1" applyBorder="1" applyAlignment="1">
      <alignment horizontal="center" vertical="center" wrapText="1"/>
    </xf>
    <xf numFmtId="1" fontId="8" fillId="7" borderId="2" xfId="0" applyNumberFormat="1"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justify" vertical="center" wrapText="1"/>
    </xf>
    <xf numFmtId="165" fontId="11" fillId="0" borderId="14" xfId="0" applyNumberFormat="1" applyFont="1" applyBorder="1" applyAlignment="1">
      <alignment horizontal="center" vertical="center" wrapText="1"/>
    </xf>
    <xf numFmtId="165" fontId="11" fillId="0" borderId="15" xfId="0" applyNumberFormat="1" applyFont="1" applyBorder="1" applyAlignment="1">
      <alignment horizontal="center" vertical="center" wrapText="1"/>
    </xf>
    <xf numFmtId="165" fontId="11" fillId="0" borderId="14" xfId="0" applyNumberFormat="1" applyFont="1" applyBorder="1" applyAlignment="1" applyProtection="1">
      <alignment horizontal="center" vertical="center" wrapText="1"/>
      <protection locked="0"/>
    </xf>
    <xf numFmtId="165" fontId="11" fillId="0" borderId="15" xfId="0" applyNumberFormat="1" applyFont="1" applyBorder="1" applyAlignment="1" applyProtection="1">
      <alignment horizontal="center" vertical="center" wrapText="1"/>
      <protection locked="0"/>
    </xf>
    <xf numFmtId="168" fontId="12" fillId="8" borderId="8" xfId="4" applyNumberFormat="1" applyFont="1" applyFill="1" applyBorder="1" applyAlignment="1">
      <alignment horizontal="center" vertical="center" wrapText="1"/>
    </xf>
    <xf numFmtId="168" fontId="12" fillId="8" borderId="13" xfId="4" applyNumberFormat="1" applyFont="1" applyFill="1" applyBorder="1" applyAlignment="1">
      <alignment horizontal="center" vertical="center" wrapText="1"/>
    </xf>
    <xf numFmtId="0" fontId="12" fillId="8" borderId="8" xfId="0" applyFont="1" applyFill="1" applyBorder="1" applyAlignment="1">
      <alignment horizontal="justify" vertical="center" wrapText="1"/>
    </xf>
    <xf numFmtId="0" fontId="12" fillId="8" borderId="13" xfId="0" applyFont="1" applyFill="1" applyBorder="1" applyAlignment="1">
      <alignment horizontal="justify" vertical="center" wrapText="1"/>
    </xf>
    <xf numFmtId="0" fontId="12" fillId="8" borderId="9" xfId="0" applyFont="1" applyFill="1" applyBorder="1" applyAlignment="1">
      <alignment horizontal="justify" vertical="center" wrapText="1"/>
    </xf>
    <xf numFmtId="0" fontId="12" fillId="8" borderId="14" xfId="0" applyFont="1" applyFill="1" applyBorder="1" applyAlignment="1">
      <alignment horizontal="justify" vertical="center" wrapText="1"/>
    </xf>
    <xf numFmtId="43" fontId="11" fillId="0" borderId="2" xfId="6" applyFont="1" applyBorder="1" applyAlignment="1">
      <alignment horizontal="justify" vertical="center" wrapText="1"/>
    </xf>
    <xf numFmtId="170" fontId="11" fillId="0" borderId="2" xfId="7" applyNumberFormat="1" applyFont="1" applyBorder="1" applyAlignment="1">
      <alignment horizontal="center" vertical="center" wrapText="1"/>
    </xf>
    <xf numFmtId="167" fontId="12" fillId="8" borderId="9" xfId="0" applyNumberFormat="1" applyFont="1" applyFill="1" applyBorder="1" applyAlignment="1">
      <alignment horizontal="center" vertical="center" wrapText="1"/>
    </xf>
    <xf numFmtId="167" fontId="12" fillId="8" borderId="15" xfId="0" applyNumberFormat="1" applyFont="1" applyFill="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12" fillId="0" borderId="29" xfId="0" applyFont="1" applyBorder="1" applyAlignment="1">
      <alignment horizontal="center" vertical="center"/>
    </xf>
    <xf numFmtId="0" fontId="12" fillId="0" borderId="5" xfId="0" applyFont="1" applyBorder="1" applyAlignment="1">
      <alignment horizontal="center" vertical="center"/>
    </xf>
    <xf numFmtId="0" fontId="12" fillId="0" borderId="28" xfId="0" applyFont="1" applyBorder="1" applyAlignment="1">
      <alignment horizontal="center" vertical="center"/>
    </xf>
    <xf numFmtId="0" fontId="12" fillId="0" borderId="3" xfId="0" applyFont="1" applyBorder="1" applyAlignment="1">
      <alignment horizontal="center" vertical="center"/>
    </xf>
    <xf numFmtId="0" fontId="12" fillId="0" borderId="18"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1" fontId="12" fillId="8" borderId="31" xfId="0" applyNumberFormat="1" applyFont="1" applyFill="1" applyBorder="1" applyAlignment="1">
      <alignment horizontal="center" vertical="center" wrapText="1"/>
    </xf>
    <xf numFmtId="1" fontId="12" fillId="8" borderId="32" xfId="0" applyNumberFormat="1" applyFont="1" applyFill="1" applyBorder="1" applyAlignment="1">
      <alignment horizontal="center" vertical="center" wrapText="1"/>
    </xf>
    <xf numFmtId="0" fontId="7" fillId="9" borderId="8" xfId="0" applyFont="1" applyFill="1" applyBorder="1" applyAlignment="1">
      <alignment horizontal="center" vertical="center" textRotation="90" wrapText="1"/>
    </xf>
    <xf numFmtId="0" fontId="7" fillId="9" borderId="7" xfId="0" applyFont="1" applyFill="1" applyBorder="1" applyAlignment="1">
      <alignment horizontal="center" vertical="center" textRotation="90" wrapText="1"/>
    </xf>
    <xf numFmtId="3" fontId="12" fillId="8" borderId="16" xfId="0" applyNumberFormat="1" applyFont="1" applyFill="1" applyBorder="1" applyAlignment="1">
      <alignment horizontal="center" vertical="center" wrapText="1"/>
    </xf>
    <xf numFmtId="3" fontId="12" fillId="8" borderId="33" xfId="0" applyNumberFormat="1" applyFont="1" applyFill="1" applyBorder="1" applyAlignment="1">
      <alignment horizontal="center" vertical="center" wrapText="1"/>
    </xf>
    <xf numFmtId="169" fontId="12" fillId="8" borderId="8" xfId="0" applyNumberFormat="1" applyFont="1" applyFill="1" applyBorder="1" applyAlignment="1">
      <alignment horizontal="center" vertical="center" wrapText="1"/>
    </xf>
    <xf numFmtId="169" fontId="12" fillId="8" borderId="13" xfId="0" applyNumberFormat="1" applyFont="1" applyFill="1" applyBorder="1" applyAlignment="1">
      <alignment horizontal="center" vertical="center" wrapText="1"/>
    </xf>
    <xf numFmtId="182" fontId="8" fillId="0" borderId="2" xfId="0" applyNumberFormat="1" applyFont="1" applyFill="1" applyBorder="1" applyAlignment="1">
      <alignment horizontal="center" vertical="center" wrapText="1"/>
    </xf>
    <xf numFmtId="0" fontId="8" fillId="0" borderId="16" xfId="0" applyNumberFormat="1" applyFont="1" applyFill="1" applyBorder="1" applyAlignment="1">
      <alignment horizontal="justify" vertical="center" wrapText="1"/>
    </xf>
    <xf numFmtId="0" fontId="8" fillId="0" borderId="33" xfId="0" applyNumberFormat="1" applyFont="1" applyFill="1" applyBorder="1" applyAlignment="1">
      <alignment horizontal="justify" vertical="center" wrapText="1"/>
    </xf>
    <xf numFmtId="0" fontId="7" fillId="0" borderId="9" xfId="0" applyFont="1" applyFill="1" applyBorder="1" applyAlignment="1">
      <alignment horizontal="center" vertical="center"/>
    </xf>
    <xf numFmtId="0" fontId="7" fillId="0" borderId="14" xfId="0" applyFont="1" applyFill="1" applyBorder="1" applyAlignment="1">
      <alignment horizontal="center" vertical="center"/>
    </xf>
    <xf numFmtId="4" fontId="8" fillId="0" borderId="9" xfId="0" applyNumberFormat="1" applyFont="1" applyFill="1" applyBorder="1" applyAlignment="1">
      <alignment horizontal="center" vertical="center"/>
    </xf>
    <xf numFmtId="4" fontId="8" fillId="0" borderId="14"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8" fillId="0" borderId="14" xfId="0" applyFont="1" applyFill="1" applyBorder="1" applyAlignment="1">
      <alignment horizontal="justify" vertical="center" wrapText="1"/>
    </xf>
    <xf numFmtId="9" fontId="8" fillId="0" borderId="9" xfId="0" applyNumberFormat="1" applyFont="1" applyFill="1" applyBorder="1" applyAlignment="1">
      <alignment horizontal="center" vertical="center"/>
    </xf>
    <xf numFmtId="9" fontId="8" fillId="0" borderId="14" xfId="0" applyNumberFormat="1" applyFont="1" applyFill="1" applyBorder="1" applyAlignment="1">
      <alignment horizontal="center" vertical="center"/>
    </xf>
    <xf numFmtId="0" fontId="8" fillId="0" borderId="8" xfId="0" applyFont="1" applyFill="1" applyBorder="1" applyAlignment="1">
      <alignment horizontal="justify" vertical="center" wrapText="1"/>
    </xf>
    <xf numFmtId="0" fontId="8" fillId="0" borderId="13" xfId="0" applyFont="1" applyFill="1" applyBorder="1" applyAlignment="1">
      <alignment horizontal="justify" vertical="center" wrapText="1"/>
    </xf>
    <xf numFmtId="1" fontId="8" fillId="0" borderId="16" xfId="0" applyNumberFormat="1" applyFont="1" applyFill="1" applyBorder="1" applyAlignment="1">
      <alignment horizontal="justify" vertical="center" wrapText="1"/>
    </xf>
    <xf numFmtId="1" fontId="8" fillId="0" borderId="33" xfId="0" applyNumberFormat="1" applyFont="1" applyFill="1" applyBorder="1" applyAlignment="1">
      <alignment horizontal="justify" vertical="center" wrapText="1"/>
    </xf>
    <xf numFmtId="1" fontId="8" fillId="0" borderId="17" xfId="0" applyNumberFormat="1" applyFont="1" applyFill="1" applyBorder="1" applyAlignment="1">
      <alignment horizontal="justify" vertical="center" wrapText="1"/>
    </xf>
    <xf numFmtId="0" fontId="8" fillId="7" borderId="29"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7" fillId="11" borderId="10" xfId="0" applyFont="1" applyFill="1" applyBorder="1" applyAlignment="1">
      <alignment horizontal="justify" vertical="center"/>
    </xf>
    <xf numFmtId="0" fontId="7" fillId="11" borderId="11" xfId="0" applyFont="1" applyFill="1" applyBorder="1" applyAlignment="1">
      <alignment horizontal="justify" vertical="center"/>
    </xf>
    <xf numFmtId="0" fontId="8" fillId="7" borderId="8"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1" fontId="8" fillId="0" borderId="14" xfId="0" applyNumberFormat="1" applyFont="1" applyFill="1" applyBorder="1" applyAlignment="1">
      <alignment horizontal="center" vertical="center" wrapText="1"/>
    </xf>
    <xf numFmtId="1" fontId="8" fillId="0" borderId="15" xfId="0" applyNumberFormat="1"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3" fontId="8" fillId="0" borderId="15" xfId="0" applyNumberFormat="1" applyFont="1" applyFill="1" applyBorder="1" applyAlignment="1">
      <alignment horizontal="center" vertical="center" wrapText="1"/>
    </xf>
    <xf numFmtId="0" fontId="8" fillId="7" borderId="9" xfId="0" applyFont="1" applyFill="1" applyBorder="1" applyAlignment="1">
      <alignment horizontal="justify" vertical="center" wrapText="1"/>
    </xf>
    <xf numFmtId="0" fontId="8" fillId="7" borderId="14" xfId="0" applyFont="1" applyFill="1" applyBorder="1" applyAlignment="1">
      <alignment horizontal="justify" vertical="center" wrapText="1"/>
    </xf>
    <xf numFmtId="0" fontId="8" fillId="7" borderId="15" xfId="0" applyFont="1" applyFill="1" applyBorder="1" applyAlignment="1">
      <alignment horizontal="justify" vertical="center" wrapText="1"/>
    </xf>
    <xf numFmtId="0" fontId="8" fillId="0" borderId="15" xfId="0" applyFont="1" applyFill="1" applyBorder="1" applyAlignment="1">
      <alignment horizontal="justify" vertical="center" wrapText="1"/>
    </xf>
    <xf numFmtId="43" fontId="8" fillId="0" borderId="14" xfId="6" applyFont="1" applyFill="1" applyBorder="1" applyAlignment="1">
      <alignment horizontal="center" vertical="center" wrapText="1"/>
    </xf>
    <xf numFmtId="43" fontId="8" fillId="0" borderId="15" xfId="6" applyFont="1" applyFill="1" applyBorder="1" applyAlignment="1">
      <alignment horizontal="center" vertical="center" wrapText="1"/>
    </xf>
    <xf numFmtId="3" fontId="8" fillId="7" borderId="14" xfId="0" applyNumberFormat="1" applyFont="1" applyFill="1" applyBorder="1" applyAlignment="1">
      <alignment horizontal="center" vertical="center" wrapText="1"/>
    </xf>
    <xf numFmtId="3" fontId="8" fillId="7" borderId="15" xfId="0" applyNumberFormat="1"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5" xfId="0" applyFont="1" applyFill="1" applyBorder="1" applyAlignment="1">
      <alignment horizontal="center" vertical="center" wrapText="1"/>
    </xf>
    <xf numFmtId="9" fontId="8" fillId="7" borderId="9" xfId="5" applyNumberFormat="1" applyFont="1" applyFill="1" applyBorder="1" applyAlignment="1">
      <alignment horizontal="center" vertical="center" wrapText="1"/>
    </xf>
    <xf numFmtId="9" fontId="8" fillId="7" borderId="14" xfId="5" applyNumberFormat="1" applyFont="1" applyFill="1" applyBorder="1" applyAlignment="1">
      <alignment horizontal="center" vertical="center" wrapText="1"/>
    </xf>
    <xf numFmtId="9" fontId="8" fillId="7" borderId="15" xfId="5" applyNumberFormat="1" applyFont="1" applyFill="1" applyBorder="1" applyAlignment="1">
      <alignment horizontal="center" vertical="center" wrapText="1"/>
    </xf>
    <xf numFmtId="43" fontId="8" fillId="7" borderId="9" xfId="6" applyFont="1" applyFill="1" applyBorder="1" applyAlignment="1">
      <alignment horizontal="center" vertical="center" wrapText="1"/>
    </xf>
    <xf numFmtId="43" fontId="8" fillId="7" borderId="14" xfId="6" applyFont="1" applyFill="1" applyBorder="1" applyAlignment="1">
      <alignment horizontal="center" vertical="center" wrapText="1"/>
    </xf>
    <xf numFmtId="43" fontId="8" fillId="7" borderId="15" xfId="6" applyFont="1" applyFill="1" applyBorder="1" applyAlignment="1">
      <alignment horizontal="center" vertical="center" wrapText="1"/>
    </xf>
    <xf numFmtId="0" fontId="8" fillId="7" borderId="43"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9" xfId="0" applyFont="1" applyFill="1" applyBorder="1" applyAlignment="1">
      <alignment horizontal="center" vertical="center"/>
    </xf>
    <xf numFmtId="0" fontId="8" fillId="7" borderId="15" xfId="0" applyFont="1" applyFill="1" applyBorder="1" applyAlignment="1">
      <alignment horizontal="center" vertical="center"/>
    </xf>
    <xf numFmtId="0" fontId="8" fillId="7" borderId="8" xfId="0" applyFont="1" applyFill="1" applyBorder="1" applyAlignment="1">
      <alignment horizontal="justify" vertical="center" wrapText="1"/>
    </xf>
    <xf numFmtId="0" fontId="8" fillId="7" borderId="5" xfId="0" applyFont="1" applyFill="1" applyBorder="1" applyAlignment="1">
      <alignment horizontal="justify" vertical="center" wrapText="1"/>
    </xf>
    <xf numFmtId="0" fontId="8" fillId="7" borderId="6" xfId="0" applyFont="1" applyFill="1" applyBorder="1" applyAlignment="1">
      <alignment horizontal="justify" vertical="center" wrapText="1"/>
    </xf>
    <xf numFmtId="0" fontId="8" fillId="7" borderId="13" xfId="0" applyFont="1" applyFill="1" applyBorder="1" applyAlignment="1">
      <alignment horizontal="justify" vertical="center" wrapText="1"/>
    </xf>
    <xf numFmtId="0" fontId="8" fillId="7" borderId="0" xfId="0" applyFont="1" applyFill="1" applyBorder="1" applyAlignment="1">
      <alignment horizontal="justify" vertical="center" wrapText="1"/>
    </xf>
    <xf numFmtId="0" fontId="8" fillId="7" borderId="1" xfId="0" applyFont="1" applyFill="1" applyBorder="1" applyAlignment="1">
      <alignment horizontal="justify" vertical="center" wrapText="1"/>
    </xf>
    <xf numFmtId="0" fontId="8" fillId="0" borderId="15" xfId="0" applyFont="1" applyFill="1" applyBorder="1" applyAlignment="1">
      <alignment horizontal="center" vertical="center" wrapText="1"/>
    </xf>
    <xf numFmtId="10" fontId="8" fillId="7" borderId="9" xfId="5" applyNumberFormat="1" applyFont="1" applyFill="1" applyBorder="1" applyAlignment="1">
      <alignment horizontal="center" vertical="center" wrapText="1"/>
    </xf>
    <xf numFmtId="10" fontId="8" fillId="7" borderId="15" xfId="5" applyNumberFormat="1" applyFont="1" applyFill="1" applyBorder="1" applyAlignment="1">
      <alignment horizontal="center" vertical="center" wrapText="1"/>
    </xf>
    <xf numFmtId="0" fontId="8" fillId="7" borderId="14" xfId="0" applyFont="1" applyFill="1" applyBorder="1" applyAlignment="1">
      <alignment horizontal="center" vertical="center"/>
    </xf>
    <xf numFmtId="10" fontId="8" fillId="7" borderId="14" xfId="5" applyNumberFormat="1" applyFont="1" applyFill="1" applyBorder="1" applyAlignment="1">
      <alignment horizontal="center" vertical="center" wrapText="1"/>
    </xf>
    <xf numFmtId="3" fontId="8" fillId="7" borderId="1" xfId="0" applyNumberFormat="1" applyFont="1" applyFill="1" applyBorder="1" applyAlignment="1">
      <alignment horizontal="center" vertical="center" wrapText="1"/>
    </xf>
    <xf numFmtId="43" fontId="8" fillId="7" borderId="9" xfId="6" applyFont="1" applyFill="1" applyBorder="1" applyAlignment="1">
      <alignment horizontal="justify" vertical="center" wrapText="1"/>
    </xf>
    <xf numFmtId="43" fontId="8" fillId="7" borderId="14" xfId="6" applyFont="1" applyFill="1" applyBorder="1" applyAlignment="1">
      <alignment horizontal="justify" vertical="center" wrapText="1"/>
    </xf>
    <xf numFmtId="0" fontId="8" fillId="0" borderId="53" xfId="0" applyFont="1" applyFill="1" applyBorder="1" applyAlignment="1">
      <alignment horizontal="left" vertical="center" wrapText="1"/>
    </xf>
    <xf numFmtId="0" fontId="8" fillId="0" borderId="43" xfId="0" applyFont="1" applyFill="1" applyBorder="1" applyAlignment="1">
      <alignment horizontal="left" vertical="center" wrapText="1"/>
    </xf>
    <xf numFmtId="43" fontId="8" fillId="0" borderId="56" xfId="6" applyFont="1" applyFill="1" applyBorder="1" applyAlignment="1">
      <alignment vertical="center" wrapText="1"/>
    </xf>
    <xf numFmtId="43" fontId="8" fillId="0" borderId="17" xfId="6" applyFont="1" applyFill="1" applyBorder="1" applyAlignment="1">
      <alignment vertical="center" wrapText="1"/>
    </xf>
    <xf numFmtId="0" fontId="8" fillId="7" borderId="2" xfId="0" applyFont="1" applyFill="1" applyBorder="1" applyAlignment="1">
      <alignment horizontal="center" vertical="center"/>
    </xf>
    <xf numFmtId="0" fontId="8" fillId="7" borderId="2" xfId="0" applyFont="1" applyFill="1" applyBorder="1" applyAlignment="1">
      <alignment horizontal="justify"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1" fontId="8" fillId="0" borderId="18" xfId="0" applyNumberFormat="1" applyFont="1" applyFill="1" applyBorder="1" applyAlignment="1">
      <alignment horizontal="justify" vertical="center" wrapText="1"/>
    </xf>
    <xf numFmtId="1" fontId="8" fillId="7" borderId="15"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182" fontId="8" fillId="0" borderId="9"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3" fontId="8" fillId="0" borderId="6"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wrapText="1"/>
    </xf>
    <xf numFmtId="9" fontId="8" fillId="7" borderId="9" xfId="5" applyFont="1" applyFill="1" applyBorder="1" applyAlignment="1">
      <alignment horizontal="center" vertical="center" wrapText="1"/>
    </xf>
    <xf numFmtId="9" fontId="8" fillId="7" borderId="15" xfId="5" applyFont="1" applyFill="1" applyBorder="1" applyAlignment="1">
      <alignment horizontal="center" vertical="center" wrapText="1"/>
    </xf>
    <xf numFmtId="9" fontId="8" fillId="7" borderId="14" xfId="5" applyFont="1" applyFill="1" applyBorder="1" applyAlignment="1">
      <alignment horizontal="center" vertical="center" wrapText="1"/>
    </xf>
    <xf numFmtId="182" fontId="8" fillId="0" borderId="14" xfId="0" applyNumberFormat="1" applyFont="1" applyFill="1" applyBorder="1" applyAlignment="1">
      <alignment horizontal="center" vertical="center" wrapText="1"/>
    </xf>
    <xf numFmtId="182" fontId="8" fillId="0" borderId="15" xfId="0" applyNumberFormat="1" applyFont="1" applyFill="1" applyBorder="1" applyAlignment="1">
      <alignment horizontal="center" vertical="center" wrapText="1"/>
    </xf>
    <xf numFmtId="3" fontId="8" fillId="7" borderId="16" xfId="0" applyNumberFormat="1" applyFont="1" applyFill="1" applyBorder="1" applyAlignment="1">
      <alignment horizontal="justify" vertical="center" wrapText="1"/>
    </xf>
    <xf numFmtId="3" fontId="8" fillId="7" borderId="33" xfId="0" applyNumberFormat="1" applyFont="1" applyFill="1" applyBorder="1" applyAlignment="1">
      <alignment horizontal="justify" vertical="center" wrapText="1"/>
    </xf>
    <xf numFmtId="3" fontId="8" fillId="7" borderId="17" xfId="0" applyNumberFormat="1" applyFont="1" applyFill="1" applyBorder="1" applyAlignment="1">
      <alignment horizontal="justify" vertical="center" wrapText="1"/>
    </xf>
    <xf numFmtId="0" fontId="8" fillId="7" borderId="0" xfId="0" applyNumberFormat="1" applyFont="1" applyFill="1" applyBorder="1" applyAlignment="1">
      <alignment horizontal="center" vertical="center" wrapText="1"/>
    </xf>
    <xf numFmtId="3" fontId="8" fillId="0" borderId="9" xfId="13" applyNumberFormat="1" applyFont="1" applyBorder="1" applyAlignment="1">
      <alignment horizontal="center" vertical="center"/>
    </xf>
    <xf numFmtId="3" fontId="8" fillId="0" borderId="14" xfId="13" applyNumberFormat="1" applyFont="1" applyBorder="1" applyAlignment="1">
      <alignment horizontal="center" vertical="center"/>
    </xf>
    <xf numFmtId="3" fontId="8" fillId="0" borderId="15" xfId="13" applyNumberFormat="1" applyFont="1" applyBorder="1" applyAlignment="1">
      <alignment horizontal="center" vertical="center"/>
    </xf>
    <xf numFmtId="0" fontId="8" fillId="7" borderId="5" xfId="0" applyNumberFormat="1" applyFont="1" applyFill="1" applyBorder="1" applyAlignment="1">
      <alignment horizontal="center" vertical="center" wrapText="1"/>
    </xf>
    <xf numFmtId="172" fontId="8" fillId="7" borderId="9" xfId="0" applyNumberFormat="1" applyFont="1" applyFill="1" applyBorder="1" applyAlignment="1">
      <alignment horizontal="center" vertical="center" wrapText="1"/>
    </xf>
    <xf numFmtId="172" fontId="8" fillId="7" borderId="14" xfId="0" applyNumberFormat="1" applyFont="1" applyFill="1" applyBorder="1" applyAlignment="1">
      <alignment horizontal="center" vertical="center" wrapText="1"/>
    </xf>
    <xf numFmtId="3" fontId="8" fillId="0" borderId="6" xfId="13" applyNumberFormat="1" applyFont="1" applyBorder="1" applyAlignment="1">
      <alignment horizontal="center" vertical="center"/>
    </xf>
    <xf numFmtId="3" fontId="8" fillId="0" borderId="1" xfId="13" applyNumberFormat="1" applyFont="1" applyBorder="1" applyAlignment="1">
      <alignment horizontal="center" vertical="center"/>
    </xf>
    <xf numFmtId="3" fontId="8" fillId="0" borderId="4" xfId="13" applyNumberFormat="1" applyFont="1" applyBorder="1" applyAlignment="1">
      <alignment horizontal="center" vertical="center"/>
    </xf>
    <xf numFmtId="49" fontId="8" fillId="7" borderId="14"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8" fillId="7" borderId="3" xfId="0" applyNumberFormat="1" applyFont="1" applyFill="1" applyBorder="1" applyAlignment="1">
      <alignment horizontal="center" vertical="center" wrapText="1"/>
    </xf>
    <xf numFmtId="43" fontId="8" fillId="7" borderId="15" xfId="6" applyFont="1" applyFill="1" applyBorder="1" applyAlignment="1">
      <alignment horizontal="justify" vertical="center" wrapText="1"/>
    </xf>
    <xf numFmtId="0" fontId="7" fillId="12" borderId="11" xfId="0" applyFont="1" applyFill="1" applyBorder="1" applyAlignment="1">
      <alignment horizontal="left" vertical="center"/>
    </xf>
    <xf numFmtId="0" fontId="8" fillId="7" borderId="7" xfId="0" applyFont="1" applyFill="1" applyBorder="1" applyAlignment="1">
      <alignment horizontal="justify" vertical="center" wrapText="1"/>
    </xf>
    <xf numFmtId="0" fontId="8" fillId="7" borderId="3" xfId="0" applyFont="1" applyFill="1" applyBorder="1" applyAlignment="1">
      <alignment horizontal="justify" vertical="center" wrapText="1"/>
    </xf>
    <xf numFmtId="0" fontId="8" fillId="7" borderId="4" xfId="0" applyFont="1" applyFill="1" applyBorder="1" applyAlignment="1">
      <alignment horizontal="justify" vertical="center" wrapText="1"/>
    </xf>
    <xf numFmtId="0" fontId="8" fillId="7" borderId="3" xfId="0" applyFont="1" applyFill="1" applyBorder="1" applyAlignment="1">
      <alignment horizontal="center" vertical="center" wrapText="1"/>
    </xf>
    <xf numFmtId="0" fontId="37" fillId="0" borderId="2" xfId="0" applyFont="1" applyBorder="1" applyAlignment="1">
      <alignment horizontal="center" vertical="center"/>
    </xf>
    <xf numFmtId="0" fontId="37" fillId="0" borderId="9" xfId="0" applyNumberFormat="1" applyFont="1" applyBorder="1" applyAlignment="1">
      <alignment horizontal="center" vertical="center" wrapText="1"/>
    </xf>
    <xf numFmtId="0" fontId="37" fillId="0" borderId="14" xfId="0" applyNumberFormat="1" applyFont="1" applyBorder="1" applyAlignment="1">
      <alignment horizontal="center" vertical="center" wrapText="1"/>
    </xf>
    <xf numFmtId="0" fontId="37" fillId="0" borderId="15" xfId="0" applyNumberFormat="1" applyFont="1" applyBorder="1" applyAlignment="1">
      <alignment horizontal="center" vertical="center" wrapText="1"/>
    </xf>
    <xf numFmtId="167" fontId="8" fillId="7" borderId="9" xfId="0" applyNumberFormat="1" applyFont="1" applyFill="1" applyBorder="1" applyAlignment="1">
      <alignment horizontal="center" vertical="center" wrapText="1"/>
    </xf>
    <xf numFmtId="167" fontId="8" fillId="7" borderId="14" xfId="0" applyNumberFormat="1" applyFont="1" applyFill="1" applyBorder="1" applyAlignment="1">
      <alignment horizontal="center" vertical="center" wrapText="1"/>
    </xf>
    <xf numFmtId="167" fontId="8" fillId="7" borderId="15" xfId="0" applyNumberFormat="1" applyFont="1" applyFill="1" applyBorder="1" applyAlignment="1">
      <alignment horizontal="center" vertical="center" wrapText="1"/>
    </xf>
    <xf numFmtId="0" fontId="37" fillId="0" borderId="8" xfId="0" applyFont="1" applyBorder="1" applyAlignment="1">
      <alignment horizontal="center" vertical="center"/>
    </xf>
    <xf numFmtId="0" fontId="37" fillId="0" borderId="13" xfId="0" applyFont="1" applyBorder="1" applyAlignment="1">
      <alignment horizontal="center" vertical="center"/>
    </xf>
    <xf numFmtId="0" fontId="37" fillId="0" borderId="7" xfId="0" applyFont="1" applyBorder="1" applyAlignment="1">
      <alignment horizontal="center" vertical="center"/>
    </xf>
    <xf numFmtId="43" fontId="8" fillId="0" borderId="9" xfId="6" applyFont="1" applyFill="1" applyBorder="1" applyAlignment="1">
      <alignment horizontal="center" vertical="center" wrapText="1"/>
    </xf>
    <xf numFmtId="3" fontId="8" fillId="0" borderId="8" xfId="0" applyNumberFormat="1" applyFont="1" applyFill="1" applyBorder="1" applyAlignment="1">
      <alignment horizontal="justify" vertical="center" wrapText="1"/>
    </xf>
    <xf numFmtId="3" fontId="8" fillId="0" borderId="13" xfId="0" applyNumberFormat="1" applyFont="1" applyFill="1" applyBorder="1" applyAlignment="1">
      <alignment horizontal="justify" vertical="center" wrapText="1"/>
    </xf>
    <xf numFmtId="3" fontId="8" fillId="0" borderId="7" xfId="0" applyNumberFormat="1" applyFont="1" applyFill="1" applyBorder="1" applyAlignment="1">
      <alignment horizontal="justify" vertical="center" wrapText="1"/>
    </xf>
    <xf numFmtId="3" fontId="8" fillId="0" borderId="9" xfId="0" applyNumberFormat="1" applyFont="1" applyFill="1" applyBorder="1" applyAlignment="1">
      <alignment horizontal="justify" vertical="center" wrapText="1"/>
    </xf>
    <xf numFmtId="3" fontId="8" fillId="0" borderId="14" xfId="0" applyNumberFormat="1" applyFont="1" applyFill="1" applyBorder="1" applyAlignment="1">
      <alignment horizontal="justify" vertical="center" wrapText="1"/>
    </xf>
    <xf numFmtId="3" fontId="8" fillId="0" borderId="15" xfId="0" applyNumberFormat="1" applyFont="1" applyFill="1" applyBorder="1" applyAlignment="1">
      <alignment horizontal="justify" vertical="center" wrapText="1"/>
    </xf>
    <xf numFmtId="0" fontId="8" fillId="0" borderId="2" xfId="0" applyFont="1" applyFill="1" applyBorder="1" applyAlignment="1">
      <alignment horizontal="justify" vertical="center" wrapText="1"/>
    </xf>
    <xf numFmtId="3" fontId="8" fillId="7" borderId="9" xfId="0" applyNumberFormat="1" applyFont="1" applyFill="1" applyBorder="1" applyAlignment="1">
      <alignment horizontal="justify" vertical="center" wrapText="1"/>
    </xf>
    <xf numFmtId="3" fontId="8" fillId="7" borderId="14" xfId="0" applyNumberFormat="1" applyFont="1" applyFill="1" applyBorder="1" applyAlignment="1">
      <alignment horizontal="justify" vertical="center" wrapText="1"/>
    </xf>
    <xf numFmtId="3" fontId="8" fillId="7" borderId="15" xfId="0" applyNumberFormat="1" applyFont="1" applyFill="1" applyBorder="1" applyAlignment="1">
      <alignment horizontal="justify" vertical="center" wrapText="1"/>
    </xf>
    <xf numFmtId="0" fontId="8" fillId="0" borderId="2" xfId="0" applyFont="1" applyFill="1" applyBorder="1" applyAlignment="1">
      <alignment horizontal="center" vertical="center" wrapText="1"/>
    </xf>
    <xf numFmtId="9" fontId="8" fillId="7" borderId="2" xfId="5" applyFont="1" applyFill="1" applyBorder="1" applyAlignment="1">
      <alignment horizontal="center" vertical="center" wrapText="1"/>
    </xf>
    <xf numFmtId="43" fontId="8" fillId="7" borderId="2" xfId="6" applyFont="1" applyFill="1" applyBorder="1" applyAlignment="1">
      <alignment horizontal="justify" vertical="center" wrapText="1"/>
    </xf>
    <xf numFmtId="0" fontId="8" fillId="0" borderId="12" xfId="0" applyFont="1" applyBorder="1" applyAlignment="1">
      <alignment horizontal="center" vertical="center" wrapText="1"/>
    </xf>
    <xf numFmtId="0" fontId="8" fillId="0" borderId="7" xfId="0" applyFont="1" applyFill="1" applyBorder="1" applyAlignment="1">
      <alignment horizontal="justify" vertical="center" wrapText="1"/>
    </xf>
    <xf numFmtId="0" fontId="8" fillId="0" borderId="4" xfId="0" applyFont="1" applyBorder="1" applyAlignment="1">
      <alignment horizontal="center" vertical="center" wrapText="1"/>
    </xf>
    <xf numFmtId="0" fontId="37" fillId="0" borderId="5" xfId="0" applyFont="1" applyBorder="1" applyAlignment="1">
      <alignment horizontal="center" vertical="center"/>
    </xf>
    <xf numFmtId="0" fontId="37" fillId="0" borderId="0" xfId="0" applyFont="1" applyBorder="1" applyAlignment="1">
      <alignment horizontal="center" vertical="center"/>
    </xf>
    <xf numFmtId="0" fontId="37" fillId="0" borderId="3" xfId="0" applyFont="1" applyBorder="1" applyAlignment="1">
      <alignment horizontal="center" vertical="center"/>
    </xf>
    <xf numFmtId="0" fontId="8" fillId="0" borderId="10"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7" fillId="8" borderId="9" xfId="0" applyFont="1" applyFill="1" applyBorder="1" applyAlignment="1">
      <alignment horizontal="center" vertical="center" wrapText="1"/>
    </xf>
    <xf numFmtId="0" fontId="7" fillId="8" borderId="14" xfId="0" applyFont="1" applyFill="1" applyBorder="1" applyAlignment="1">
      <alignment horizontal="center" vertical="center" wrapText="1"/>
    </xf>
    <xf numFmtId="3" fontId="21" fillId="9" borderId="2" xfId="0" applyNumberFormat="1" applyFont="1" applyFill="1" applyBorder="1" applyAlignment="1">
      <alignment horizontal="center" vertical="center" wrapText="1"/>
    </xf>
    <xf numFmtId="169" fontId="7" fillId="8" borderId="8" xfId="0" applyNumberFormat="1" applyFont="1" applyFill="1" applyBorder="1" applyAlignment="1">
      <alignment horizontal="center" vertical="center" wrapText="1"/>
    </xf>
    <xf numFmtId="169" fontId="7" fillId="8" borderId="13" xfId="0" applyNumberFormat="1" applyFont="1" applyFill="1" applyBorder="1" applyAlignment="1">
      <alignment horizontal="center" vertical="center" wrapText="1"/>
    </xf>
    <xf numFmtId="166" fontId="7" fillId="8" borderId="8" xfId="0" applyNumberFormat="1" applyFont="1" applyFill="1" applyBorder="1" applyAlignment="1">
      <alignment horizontal="center" vertical="center" wrapText="1"/>
    </xf>
    <xf numFmtId="166" fontId="7" fillId="8" borderId="13" xfId="0" applyNumberFormat="1"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28"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9"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1" fontId="7" fillId="8" borderId="31" xfId="0" applyNumberFormat="1" applyFont="1" applyFill="1" applyBorder="1" applyAlignment="1">
      <alignment horizontal="center" vertical="center" wrapText="1"/>
    </xf>
    <xf numFmtId="1" fontId="7" fillId="8" borderId="32" xfId="0" applyNumberFormat="1" applyFont="1" applyFill="1" applyBorder="1" applyAlignment="1">
      <alignment horizontal="center" vertical="center" wrapText="1"/>
    </xf>
    <xf numFmtId="0" fontId="7" fillId="9" borderId="9" xfId="0" applyFont="1" applyFill="1" applyBorder="1" applyAlignment="1">
      <alignment horizontal="center" vertical="center" textRotation="90" wrapText="1"/>
    </xf>
    <xf numFmtId="0" fontId="7" fillId="9" borderId="15" xfId="0" applyFont="1" applyFill="1" applyBorder="1" applyAlignment="1">
      <alignment horizontal="center" vertical="center" textRotation="90" wrapText="1"/>
    </xf>
    <xf numFmtId="167" fontId="7" fillId="8" borderId="8" xfId="0" applyNumberFormat="1" applyFont="1" applyFill="1" applyBorder="1" applyAlignment="1">
      <alignment horizontal="center" vertical="center" wrapText="1"/>
    </xf>
    <xf numFmtId="167" fontId="7" fillId="8" borderId="13" xfId="0" applyNumberFormat="1" applyFont="1" applyFill="1" applyBorder="1" applyAlignment="1">
      <alignment horizontal="center" vertical="center" wrapText="1"/>
    </xf>
    <xf numFmtId="3" fontId="7" fillId="8" borderId="16" xfId="0" applyNumberFormat="1" applyFont="1" applyFill="1" applyBorder="1" applyAlignment="1">
      <alignment horizontal="center" vertical="center" wrapText="1"/>
    </xf>
    <xf numFmtId="3" fontId="7" fillId="8" borderId="33" xfId="0" applyNumberFormat="1"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10" xfId="0" applyFont="1" applyFill="1" applyBorder="1" applyAlignment="1">
      <alignment horizontal="center" vertical="center"/>
    </xf>
    <xf numFmtId="0" fontId="21" fillId="9" borderId="11" xfId="0" applyFont="1" applyFill="1" applyBorder="1" applyAlignment="1">
      <alignment horizontal="center" vertical="center"/>
    </xf>
    <xf numFmtId="0" fontId="21" fillId="9" borderId="12" xfId="0" applyFont="1" applyFill="1" applyBorder="1" applyAlignment="1">
      <alignment horizontal="center" vertical="center"/>
    </xf>
    <xf numFmtId="43" fontId="7" fillId="8" borderId="9" xfId="6" applyFont="1" applyFill="1" applyBorder="1" applyAlignment="1">
      <alignment horizontal="center" vertical="center" wrapText="1"/>
    </xf>
    <xf numFmtId="43" fontId="7" fillId="8" borderId="14" xfId="6" applyFont="1" applyFill="1" applyBorder="1" applyAlignment="1">
      <alignment horizontal="center" vertical="center" wrapText="1"/>
    </xf>
    <xf numFmtId="0" fontId="12" fillId="8" borderId="2" xfId="0" applyFont="1" applyFill="1" applyBorder="1" applyAlignment="1">
      <alignment horizontal="center" vertical="center" wrapText="1"/>
    </xf>
    <xf numFmtId="1" fontId="12" fillId="8" borderId="43" xfId="0" applyNumberFormat="1" applyFont="1" applyFill="1" applyBorder="1" applyAlignment="1">
      <alignment horizontal="center" vertical="center" wrapText="1"/>
    </xf>
    <xf numFmtId="167" fontId="12" fillId="8" borderId="7" xfId="0" applyNumberFormat="1" applyFont="1" applyFill="1" applyBorder="1" applyAlignment="1">
      <alignment horizontal="center" vertical="center" wrapText="1"/>
    </xf>
    <xf numFmtId="3" fontId="12" fillId="8" borderId="18" xfId="0" applyNumberFormat="1" applyFont="1" applyFill="1" applyBorder="1" applyAlignment="1">
      <alignment horizontal="center" vertical="center" wrapText="1"/>
    </xf>
    <xf numFmtId="0" fontId="21" fillId="9" borderId="2" xfId="0" applyFont="1" applyFill="1" applyBorder="1" applyAlignment="1">
      <alignment horizontal="center" vertical="center"/>
    </xf>
    <xf numFmtId="0" fontId="21" fillId="9" borderId="9" xfId="0" applyFont="1" applyFill="1" applyBorder="1" applyAlignment="1">
      <alignment horizontal="center" vertical="center" textRotation="90" wrapText="1"/>
    </xf>
    <xf numFmtId="0" fontId="21" fillId="9" borderId="15" xfId="0" applyFont="1" applyFill="1" applyBorder="1" applyAlignment="1">
      <alignment horizontal="center" vertical="center" textRotation="90" wrapText="1"/>
    </xf>
    <xf numFmtId="1" fontId="12" fillId="7" borderId="31" xfId="3" applyNumberFormat="1" applyFont="1" applyFill="1" applyBorder="1" applyAlignment="1">
      <alignment horizontal="center" vertical="center" wrapText="1"/>
    </xf>
    <xf numFmtId="1" fontId="12" fillId="7" borderId="32" xfId="3" applyNumberFormat="1" applyFont="1" applyFill="1" applyBorder="1" applyAlignment="1">
      <alignment horizontal="center" vertical="center" wrapText="1"/>
    </xf>
    <xf numFmtId="1" fontId="12" fillId="7" borderId="51" xfId="3" applyNumberFormat="1" applyFont="1" applyFill="1" applyBorder="1" applyAlignment="1">
      <alignment horizontal="center" vertical="center" wrapText="1"/>
    </xf>
    <xf numFmtId="1" fontId="12" fillId="7" borderId="8" xfId="3" applyNumberFormat="1" applyFont="1" applyFill="1" applyBorder="1" applyAlignment="1">
      <alignment horizontal="center" vertical="center" wrapText="1"/>
    </xf>
    <xf numFmtId="1" fontId="12" fillId="7" borderId="6" xfId="3" applyNumberFormat="1" applyFont="1" applyFill="1" applyBorder="1" applyAlignment="1">
      <alignment horizontal="center" vertical="center" wrapText="1"/>
    </xf>
    <xf numFmtId="1" fontId="12" fillId="7" borderId="13" xfId="3" applyNumberFormat="1" applyFont="1" applyFill="1" applyBorder="1" applyAlignment="1">
      <alignment horizontal="center" vertical="center" wrapText="1"/>
    </xf>
    <xf numFmtId="1" fontId="12" fillId="7" borderId="1" xfId="3" applyNumberFormat="1" applyFont="1" applyFill="1" applyBorder="1" applyAlignment="1">
      <alignment horizontal="center" vertical="center" wrapText="1"/>
    </xf>
    <xf numFmtId="1" fontId="12" fillId="7" borderId="7" xfId="3" applyNumberFormat="1" applyFont="1" applyFill="1" applyBorder="1" applyAlignment="1">
      <alignment horizontal="center" vertical="center" wrapText="1"/>
    </xf>
    <xf numFmtId="1" fontId="12" fillId="7" borderId="4" xfId="3" applyNumberFormat="1"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0" xfId="0" applyFont="1" applyFill="1" applyAlignment="1">
      <alignment horizontal="center" vertical="center" wrapText="1"/>
    </xf>
    <xf numFmtId="0" fontId="12" fillId="7" borderId="1"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49" fontId="11" fillId="0" borderId="6" xfId="3" applyNumberFormat="1" applyFont="1" applyBorder="1" applyAlignment="1">
      <alignment horizontal="center" vertical="center" wrapText="1"/>
    </xf>
    <xf numFmtId="49" fontId="11" fillId="0" borderId="1" xfId="3" applyNumberFormat="1" applyFont="1" applyBorder="1" applyAlignment="1">
      <alignment horizontal="center" vertical="center" wrapText="1"/>
    </xf>
    <xf numFmtId="164" fontId="11" fillId="7" borderId="8" xfId="3" applyFont="1" applyFill="1" applyBorder="1" applyAlignment="1">
      <alignment horizontal="justify" vertical="center" wrapText="1"/>
    </xf>
    <xf numFmtId="164" fontId="11" fillId="7" borderId="13" xfId="3" applyFont="1" applyFill="1" applyBorder="1" applyAlignment="1">
      <alignment horizontal="justify" vertical="center" wrapText="1"/>
    </xf>
    <xf numFmtId="164" fontId="11" fillId="7" borderId="2" xfId="3" applyFont="1" applyFill="1" applyBorder="1" applyAlignment="1">
      <alignment horizontal="justify" vertical="center" wrapText="1"/>
    </xf>
    <xf numFmtId="1" fontId="12" fillId="8" borderId="2" xfId="0" applyNumberFormat="1" applyFont="1" applyFill="1" applyBorder="1" applyAlignment="1">
      <alignment horizontal="center" vertical="center" wrapText="1"/>
    </xf>
    <xf numFmtId="169" fontId="12" fillId="8" borderId="2" xfId="0" applyNumberFormat="1" applyFont="1" applyFill="1" applyBorder="1" applyAlignment="1">
      <alignment horizontal="center" vertical="center" wrapText="1"/>
    </xf>
    <xf numFmtId="166" fontId="12" fillId="8" borderId="2" xfId="0" applyNumberFormat="1" applyFont="1" applyFill="1" applyBorder="1" applyAlignment="1">
      <alignment horizontal="center" vertical="center" wrapText="1"/>
    </xf>
    <xf numFmtId="3" fontId="11" fillId="7" borderId="9" xfId="3" applyNumberFormat="1" applyFont="1" applyFill="1" applyBorder="1" applyAlignment="1">
      <alignment horizontal="center" vertical="center" wrapText="1"/>
    </xf>
    <xf numFmtId="3" fontId="11" fillId="7" borderId="14" xfId="3" applyNumberFormat="1" applyFont="1" applyFill="1" applyBorder="1" applyAlignment="1">
      <alignment horizontal="center" vertical="center" wrapText="1"/>
    </xf>
    <xf numFmtId="3" fontId="11" fillId="7" borderId="15" xfId="3" applyNumberFormat="1" applyFont="1" applyFill="1" applyBorder="1" applyAlignment="1">
      <alignment horizontal="center" vertical="center" wrapText="1"/>
    </xf>
    <xf numFmtId="164" fontId="11" fillId="7" borderId="9" xfId="3" applyFont="1" applyFill="1" applyBorder="1" applyAlignment="1">
      <alignment horizontal="center" vertical="center" wrapText="1"/>
    </xf>
    <xf numFmtId="164" fontId="11" fillId="7" borderId="14" xfId="3" applyFont="1" applyFill="1" applyBorder="1" applyAlignment="1">
      <alignment horizontal="center" vertical="center" wrapText="1"/>
    </xf>
    <xf numFmtId="164" fontId="11" fillId="7" borderId="15" xfId="3" applyFont="1" applyFill="1" applyBorder="1" applyAlignment="1">
      <alignment horizontal="center" vertical="center" wrapText="1"/>
    </xf>
    <xf numFmtId="164" fontId="11" fillId="0" borderId="9" xfId="3" applyFont="1" applyBorder="1" applyAlignment="1">
      <alignment horizontal="center" vertical="center" wrapText="1"/>
    </xf>
    <xf numFmtId="164" fontId="11" fillId="0" borderId="14" xfId="3" applyFont="1" applyBorder="1" applyAlignment="1">
      <alignment horizontal="center" vertical="center" wrapText="1"/>
    </xf>
    <xf numFmtId="164" fontId="11" fillId="0" borderId="15" xfId="3" applyFont="1" applyBorder="1" applyAlignment="1">
      <alignment horizontal="center" vertical="center" wrapText="1"/>
    </xf>
    <xf numFmtId="3" fontId="11" fillId="0" borderId="9" xfId="3" applyNumberFormat="1" applyFont="1" applyBorder="1" applyAlignment="1">
      <alignment horizontal="center" vertical="center"/>
    </xf>
    <xf numFmtId="3" fontId="11" fillId="0" borderId="14" xfId="3" applyNumberFormat="1" applyFont="1" applyBorder="1" applyAlignment="1">
      <alignment horizontal="center" vertical="center"/>
    </xf>
    <xf numFmtId="3" fontId="11" fillId="0" borderId="15" xfId="3" applyNumberFormat="1" applyFont="1" applyBorder="1" applyAlignment="1">
      <alignment horizontal="center" vertical="center"/>
    </xf>
    <xf numFmtId="3" fontId="11" fillId="7" borderId="2" xfId="3" applyNumberFormat="1" applyFont="1" applyFill="1" applyBorder="1" applyAlignment="1">
      <alignment horizontal="center" vertical="center" wrapText="1"/>
    </xf>
    <xf numFmtId="0" fontId="11" fillId="0" borderId="18" xfId="0" applyFont="1" applyBorder="1" applyAlignment="1">
      <alignment horizontal="justify" vertical="center" wrapText="1"/>
    </xf>
    <xf numFmtId="0" fontId="14" fillId="0" borderId="18" xfId="0" applyFont="1" applyBorder="1" applyAlignment="1">
      <alignment horizontal="justify" vertical="center" wrapText="1"/>
    </xf>
    <xf numFmtId="164" fontId="11" fillId="0" borderId="2" xfId="3" applyFont="1" applyBorder="1" applyAlignment="1">
      <alignment horizontal="justify" vertical="center" wrapText="1"/>
    </xf>
    <xf numFmtId="3" fontId="11" fillId="7" borderId="2" xfId="3" applyNumberFormat="1" applyFont="1" applyFill="1" applyBorder="1" applyAlignment="1">
      <alignment horizontal="center" vertical="center"/>
    </xf>
    <xf numFmtId="43" fontId="11" fillId="7" borderId="2" xfId="6" applyFont="1" applyFill="1" applyBorder="1" applyAlignment="1">
      <alignment horizontal="justify" vertical="center" wrapText="1"/>
    </xf>
    <xf numFmtId="3" fontId="25" fillId="0" borderId="6" xfId="0" applyNumberFormat="1" applyFont="1" applyBorder="1" applyAlignment="1">
      <alignment horizontal="center" vertical="center"/>
    </xf>
    <xf numFmtId="3" fontId="25" fillId="0" borderId="1" xfId="0" applyNumberFormat="1" applyFont="1" applyBorder="1" applyAlignment="1">
      <alignment horizontal="center" vertical="center"/>
    </xf>
    <xf numFmtId="3" fontId="25" fillId="0" borderId="4" xfId="0" applyNumberFormat="1" applyFont="1" applyBorder="1" applyAlignment="1">
      <alignment horizontal="center" vertical="center"/>
    </xf>
    <xf numFmtId="3" fontId="11" fillId="0" borderId="9" xfId="3" applyNumberFormat="1" applyFont="1" applyBorder="1" applyAlignment="1">
      <alignment horizontal="center" vertical="center" wrapText="1"/>
    </xf>
    <xf numFmtId="3" fontId="11" fillId="0" borderId="14" xfId="3" applyNumberFormat="1" applyFont="1" applyBorder="1" applyAlignment="1">
      <alignment horizontal="center" vertical="center" wrapText="1"/>
    </xf>
    <xf numFmtId="3" fontId="11" fillId="0" borderId="15" xfId="3" applyNumberFormat="1" applyFont="1" applyBorder="1" applyAlignment="1">
      <alignment horizontal="center" vertical="center" wrapText="1"/>
    </xf>
    <xf numFmtId="14" fontId="11" fillId="0" borderId="9" xfId="0" applyNumberFormat="1" applyFont="1" applyBorder="1" applyAlignment="1">
      <alignment horizontal="center" vertical="center"/>
    </xf>
    <xf numFmtId="14" fontId="11" fillId="0" borderId="14" xfId="0" applyNumberFormat="1" applyFont="1" applyBorder="1" applyAlignment="1">
      <alignment horizontal="center" vertical="center"/>
    </xf>
    <xf numFmtId="14" fontId="11" fillId="0" borderId="15" xfId="0" applyNumberFormat="1" applyFont="1" applyBorder="1" applyAlignment="1">
      <alignment horizontal="center" vertical="center"/>
    </xf>
    <xf numFmtId="49" fontId="11" fillId="0" borderId="6" xfId="3" applyNumberFormat="1" applyFont="1" applyFill="1" applyBorder="1" applyAlignment="1">
      <alignment horizontal="center" vertical="center" wrapText="1"/>
    </xf>
    <xf numFmtId="49" fontId="11" fillId="0" borderId="1" xfId="3" applyNumberFormat="1" applyFont="1" applyFill="1" applyBorder="1" applyAlignment="1">
      <alignment horizontal="center" vertical="center" wrapText="1"/>
    </xf>
    <xf numFmtId="49" fontId="11" fillId="0" borderId="14" xfId="3" applyNumberFormat="1" applyFont="1" applyFill="1" applyBorder="1" applyAlignment="1">
      <alignment horizontal="center" vertical="center" wrapText="1"/>
    </xf>
    <xf numFmtId="164" fontId="11" fillId="0" borderId="8" xfId="3" applyFont="1" applyFill="1" applyBorder="1" applyAlignment="1">
      <alignment horizontal="justify" vertical="center" wrapText="1"/>
    </xf>
    <xf numFmtId="164" fontId="11" fillId="0" borderId="13" xfId="3" applyFont="1" applyFill="1" applyBorder="1" applyAlignment="1">
      <alignment horizontal="justify" vertical="center" wrapText="1"/>
    </xf>
    <xf numFmtId="164" fontId="11" fillId="0" borderId="2" xfId="3" applyFont="1" applyFill="1" applyBorder="1" applyAlignment="1">
      <alignment horizontal="justify" vertical="center" wrapText="1"/>
    </xf>
    <xf numFmtId="0" fontId="14" fillId="0" borderId="9"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164" fontId="11" fillId="0" borderId="9" xfId="3" applyFont="1" applyFill="1" applyBorder="1" applyAlignment="1">
      <alignment horizontal="center" vertical="center" wrapText="1"/>
    </xf>
    <xf numFmtId="164" fontId="11" fillId="0" borderId="14" xfId="3" applyFont="1" applyFill="1" applyBorder="1" applyAlignment="1">
      <alignment horizontal="center" vertical="center" wrapText="1"/>
    </xf>
    <xf numFmtId="164" fontId="11" fillId="0" borderId="15" xfId="3" applyFont="1" applyFill="1" applyBorder="1" applyAlignment="1">
      <alignment horizontal="center" vertical="center" wrapText="1"/>
    </xf>
    <xf numFmtId="41" fontId="11" fillId="0" borderId="2" xfId="6" applyNumberFormat="1" applyFont="1" applyFill="1" applyBorder="1" applyAlignment="1">
      <alignment vertical="center" wrapText="1"/>
    </xf>
    <xf numFmtId="41" fontId="14" fillId="0" borderId="2" xfId="6" applyNumberFormat="1" applyFont="1" applyFill="1" applyBorder="1" applyAlignment="1">
      <alignment vertical="center" wrapText="1"/>
    </xf>
    <xf numFmtId="3" fontId="11" fillId="0" borderId="6" xfId="0" applyNumberFormat="1" applyFont="1" applyFill="1" applyBorder="1" applyAlignment="1">
      <alignment vertical="center" wrapText="1"/>
    </xf>
    <xf numFmtId="3" fontId="11" fillId="0" borderId="1" xfId="0" applyNumberFormat="1" applyFont="1" applyFill="1" applyBorder="1" applyAlignment="1">
      <alignment vertical="center" wrapText="1"/>
    </xf>
    <xf numFmtId="3" fontId="11" fillId="0" borderId="4" xfId="0" applyNumberFormat="1" applyFont="1" applyFill="1" applyBorder="1" applyAlignment="1">
      <alignment vertical="center" wrapText="1"/>
    </xf>
    <xf numFmtId="3" fontId="11" fillId="0" borderId="2" xfId="3" applyNumberFormat="1" applyFont="1" applyBorder="1" applyAlignment="1">
      <alignment horizontal="center" vertical="center"/>
    </xf>
    <xf numFmtId="1" fontId="11" fillId="0" borderId="2" xfId="3" applyNumberFormat="1" applyFont="1" applyFill="1" applyBorder="1" applyAlignment="1">
      <alignment horizontal="center" vertical="center"/>
    </xf>
    <xf numFmtId="9" fontId="8" fillId="0" borderId="2" xfId="5" applyFont="1" applyFill="1" applyBorder="1" applyAlignment="1">
      <alignment horizontal="center" vertical="center" wrapText="1"/>
    </xf>
    <xf numFmtId="43" fontId="11" fillId="0" borderId="2" xfId="6" applyFont="1" applyFill="1" applyBorder="1" applyAlignment="1">
      <alignment horizontal="center" vertical="center" wrapText="1"/>
    </xf>
    <xf numFmtId="164" fontId="13" fillId="0" borderId="2" xfId="3" applyFont="1" applyFill="1" applyBorder="1" applyAlignment="1">
      <alignment horizontal="justify" vertical="center" wrapText="1"/>
    </xf>
    <xf numFmtId="3" fontId="11" fillId="0" borderId="2" xfId="3" applyNumberFormat="1" applyFont="1" applyFill="1" applyBorder="1" applyAlignment="1">
      <alignment horizontal="center" vertical="center"/>
    </xf>
    <xf numFmtId="164" fontId="11" fillId="0" borderId="1" xfId="3" applyFont="1" applyFill="1" applyBorder="1" applyAlignment="1">
      <alignment horizontal="justify" vertical="center" wrapText="1"/>
    </xf>
    <xf numFmtId="164" fontId="11" fillId="0" borderId="1" xfId="3" applyFont="1" applyFill="1" applyBorder="1" applyAlignment="1">
      <alignment horizontal="justify" vertical="center"/>
    </xf>
    <xf numFmtId="167" fontId="11" fillId="0" borderId="16" xfId="0" applyNumberFormat="1" applyFont="1" applyFill="1" applyBorder="1" applyAlignment="1">
      <alignment horizontal="justify" vertical="center" wrapText="1"/>
    </xf>
    <xf numFmtId="0" fontId="14" fillId="0" borderId="33" xfId="0" applyFont="1" applyFill="1" applyBorder="1" applyAlignment="1">
      <alignment horizontal="justify" vertical="center" wrapText="1"/>
    </xf>
    <xf numFmtId="0" fontId="14" fillId="0" borderId="17" xfId="0" applyFont="1" applyFill="1" applyBorder="1" applyAlignment="1">
      <alignment horizontal="justify" vertical="center" wrapText="1"/>
    </xf>
    <xf numFmtId="1" fontId="8" fillId="0" borderId="2" xfId="16" applyNumberFormat="1" applyFont="1" applyFill="1" applyBorder="1" applyAlignment="1">
      <alignment horizontal="center" vertical="center" wrapText="1"/>
    </xf>
    <xf numFmtId="41" fontId="11" fillId="0" borderId="2" xfId="6" applyNumberFormat="1" applyFont="1" applyFill="1" applyBorder="1" applyAlignment="1">
      <alignment horizontal="center" vertical="center" wrapText="1"/>
    </xf>
    <xf numFmtId="167" fontId="11" fillId="0" borderId="9" xfId="0" applyNumberFormat="1" applyFont="1" applyFill="1" applyBorder="1" applyAlignment="1">
      <alignment horizontal="center" vertical="center"/>
    </xf>
    <xf numFmtId="167" fontId="11" fillId="0" borderId="14" xfId="0" applyNumberFormat="1" applyFont="1" applyFill="1" applyBorder="1" applyAlignment="1">
      <alignment horizontal="center" vertical="center"/>
    </xf>
    <xf numFmtId="167" fontId="11" fillId="0" borderId="15" xfId="0" applyNumberFormat="1" applyFont="1" applyFill="1" applyBorder="1" applyAlignment="1">
      <alignment horizontal="center" vertical="center"/>
    </xf>
    <xf numFmtId="14" fontId="11" fillId="0" borderId="9" xfId="0" applyNumberFormat="1" applyFont="1" applyFill="1" applyBorder="1" applyAlignment="1">
      <alignment horizontal="center" vertical="center"/>
    </xf>
    <xf numFmtId="14" fontId="11" fillId="0" borderId="14" xfId="0" applyNumberFormat="1" applyFont="1" applyFill="1" applyBorder="1" applyAlignment="1">
      <alignment horizontal="center" vertical="center"/>
    </xf>
    <xf numFmtId="14" fontId="11" fillId="0" borderId="15" xfId="0" applyNumberFormat="1" applyFont="1" applyFill="1" applyBorder="1" applyAlignment="1">
      <alignment horizontal="center" vertical="center"/>
    </xf>
    <xf numFmtId="3" fontId="11" fillId="0" borderId="8" xfId="0" applyNumberFormat="1" applyFont="1" applyFill="1" applyBorder="1" applyAlignment="1">
      <alignment vertical="center"/>
    </xf>
    <xf numFmtId="3" fontId="11" fillId="0" borderId="13" xfId="0" applyNumberFormat="1" applyFont="1" applyFill="1" applyBorder="1" applyAlignment="1">
      <alignment vertical="center"/>
    </xf>
    <xf numFmtId="3" fontId="14" fillId="0" borderId="13" xfId="0" applyNumberFormat="1" applyFont="1" applyFill="1" applyBorder="1" applyAlignment="1">
      <alignment vertical="center"/>
    </xf>
    <xf numFmtId="3" fontId="14" fillId="0" borderId="7" xfId="0" applyNumberFormat="1" applyFont="1" applyFill="1" applyBorder="1" applyAlignment="1">
      <alignment vertical="center"/>
    </xf>
    <xf numFmtId="164" fontId="13" fillId="0" borderId="9" xfId="3" applyFont="1" applyFill="1" applyBorder="1" applyAlignment="1">
      <alignment horizontal="justify" vertical="center" wrapText="1"/>
    </xf>
    <xf numFmtId="0" fontId="14" fillId="0" borderId="15" xfId="0" applyFont="1" applyFill="1" applyBorder="1" applyAlignment="1">
      <alignment horizontal="justify" vertical="center" wrapText="1"/>
    </xf>
    <xf numFmtId="3" fontId="11" fillId="0" borderId="10" xfId="3" applyNumberFormat="1" applyFont="1" applyFill="1" applyBorder="1" applyAlignment="1">
      <alignment horizontal="center" vertical="center" wrapText="1"/>
    </xf>
    <xf numFmtId="164" fontId="11" fillId="0" borderId="2" xfId="3" applyFont="1" applyFill="1" applyBorder="1" applyAlignment="1">
      <alignment horizontal="center" vertical="center" wrapText="1"/>
    </xf>
    <xf numFmtId="164" fontId="11" fillId="0" borderId="2" xfId="3" applyFont="1" applyFill="1" applyBorder="1" applyAlignment="1">
      <alignment horizontal="center" vertical="center"/>
    </xf>
    <xf numFmtId="3" fontId="11" fillId="0" borderId="5" xfId="0" applyNumberFormat="1" applyFont="1" applyFill="1" applyBorder="1" applyAlignment="1">
      <alignment vertical="center"/>
    </xf>
    <xf numFmtId="3" fontId="11" fillId="0" borderId="0" xfId="0" applyNumberFormat="1" applyFont="1" applyFill="1" applyAlignment="1">
      <alignment vertical="center"/>
    </xf>
    <xf numFmtId="3" fontId="14" fillId="0" borderId="0" xfId="0" applyNumberFormat="1" applyFont="1" applyFill="1" applyAlignment="1">
      <alignment vertical="center"/>
    </xf>
    <xf numFmtId="3" fontId="14" fillId="0" borderId="3" xfId="0" applyNumberFormat="1" applyFont="1" applyFill="1" applyBorder="1" applyAlignment="1">
      <alignment vertical="center"/>
    </xf>
    <xf numFmtId="1" fontId="12" fillId="7" borderId="5" xfId="3" applyNumberFormat="1" applyFont="1" applyFill="1" applyBorder="1" applyAlignment="1">
      <alignment horizontal="center" vertical="center" wrapText="1"/>
    </xf>
    <xf numFmtId="1" fontId="12" fillId="7" borderId="0" xfId="3" applyNumberFormat="1" applyFont="1" applyFill="1" applyAlignment="1">
      <alignment horizontal="center" vertical="center" wrapText="1"/>
    </xf>
    <xf numFmtId="1" fontId="12" fillId="7" borderId="3" xfId="3" applyNumberFormat="1" applyFont="1" applyFill="1" applyBorder="1" applyAlignment="1">
      <alignment horizontal="center" vertical="center" wrapText="1"/>
    </xf>
    <xf numFmtId="164" fontId="11" fillId="0" borderId="4" xfId="3" applyFont="1" applyFill="1" applyBorder="1" applyAlignment="1">
      <alignment horizontal="justify" vertical="center" wrapText="1"/>
    </xf>
    <xf numFmtId="3" fontId="11" fillId="0" borderId="2" xfId="3"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justify" vertical="center" wrapText="1"/>
    </xf>
    <xf numFmtId="0" fontId="14" fillId="0" borderId="2" xfId="0" applyFont="1" applyFill="1" applyBorder="1" applyAlignment="1">
      <alignment horizontal="center" vertical="center"/>
    </xf>
    <xf numFmtId="164" fontId="11" fillId="0" borderId="7" xfId="3" applyFont="1" applyFill="1" applyBorder="1" applyAlignment="1">
      <alignment horizontal="justify" vertical="center" wrapText="1"/>
    </xf>
    <xf numFmtId="164" fontId="13" fillId="0" borderId="15" xfId="3" applyFont="1" applyFill="1" applyBorder="1" applyAlignment="1">
      <alignment horizontal="justify" vertical="center" wrapText="1"/>
    </xf>
    <xf numFmtId="167" fontId="11" fillId="0" borderId="18" xfId="0" applyNumberFormat="1" applyFont="1" applyFill="1" applyBorder="1" applyAlignment="1">
      <alignment horizontal="justify" vertical="center" wrapText="1"/>
    </xf>
    <xf numFmtId="0" fontId="14" fillId="0" borderId="18" xfId="0" applyFont="1" applyFill="1" applyBorder="1" applyAlignment="1">
      <alignment horizontal="justify" vertical="center" wrapText="1"/>
    </xf>
    <xf numFmtId="9" fontId="14" fillId="0" borderId="2" xfId="5" applyFont="1" applyFill="1" applyBorder="1" applyAlignment="1">
      <alignment horizontal="center" vertical="center" wrapText="1"/>
    </xf>
    <xf numFmtId="43" fontId="14" fillId="0" borderId="2" xfId="6" applyFont="1" applyFill="1" applyBorder="1" applyAlignment="1">
      <alignment horizontal="center" vertical="center" wrapText="1"/>
    </xf>
    <xf numFmtId="1" fontId="8" fillId="0" borderId="9" xfId="16" applyNumberFormat="1" applyFont="1" applyFill="1" applyBorder="1" applyAlignment="1">
      <alignment horizontal="center" vertical="center" wrapText="1"/>
    </xf>
    <xf numFmtId="1" fontId="8" fillId="0" borderId="14" xfId="16" applyNumberFormat="1" applyFont="1" applyFill="1" applyBorder="1" applyAlignment="1">
      <alignment horizontal="center" vertical="center" wrapText="1"/>
    </xf>
    <xf numFmtId="164" fontId="11" fillId="0" borderId="9" xfId="3" applyFont="1" applyFill="1" applyBorder="1" applyAlignment="1">
      <alignment horizontal="justify" vertical="center" wrapText="1"/>
    </xf>
    <xf numFmtId="164" fontId="11" fillId="0" borderId="14" xfId="3" applyFont="1" applyFill="1" applyBorder="1" applyAlignment="1">
      <alignment horizontal="justify" vertical="center" wrapText="1"/>
    </xf>
    <xf numFmtId="3" fontId="11" fillId="0" borderId="9" xfId="3" applyNumberFormat="1" applyFont="1" applyFill="1" applyBorder="1" applyAlignment="1">
      <alignment horizontal="center" vertical="center"/>
    </xf>
    <xf numFmtId="3" fontId="11" fillId="0" borderId="14" xfId="3" applyNumberFormat="1" applyFont="1" applyFill="1" applyBorder="1" applyAlignment="1">
      <alignment horizontal="center" vertical="center"/>
    </xf>
    <xf numFmtId="49" fontId="11" fillId="0" borderId="9" xfId="3" applyNumberFormat="1" applyFont="1" applyFill="1" applyBorder="1" applyAlignment="1">
      <alignment horizontal="center" vertical="center" wrapText="1"/>
    </xf>
    <xf numFmtId="164" fontId="11" fillId="0" borderId="12" xfId="3" applyFont="1" applyFill="1" applyBorder="1" applyAlignment="1">
      <alignment horizontal="justify" vertical="center" wrapText="1"/>
    </xf>
    <xf numFmtId="49" fontId="11" fillId="0" borderId="4" xfId="3" applyNumberFormat="1" applyFont="1" applyFill="1" applyBorder="1" applyAlignment="1">
      <alignment horizontal="center" vertical="center" wrapText="1"/>
    </xf>
    <xf numFmtId="3" fontId="11" fillId="0" borderId="8" xfId="0" applyNumberFormat="1" applyFont="1" applyFill="1" applyBorder="1" applyAlignment="1">
      <alignment horizontal="center" vertical="center"/>
    </xf>
    <xf numFmtId="3" fontId="14" fillId="0" borderId="13" xfId="0" applyNumberFormat="1" applyFont="1" applyFill="1" applyBorder="1" applyAlignment="1">
      <alignment horizontal="center" vertical="center"/>
    </xf>
    <xf numFmtId="164" fontId="11" fillId="0" borderId="14" xfId="3" applyFont="1" applyFill="1" applyBorder="1" applyAlignment="1">
      <alignment horizontal="center" vertical="center"/>
    </xf>
    <xf numFmtId="9" fontId="11" fillId="0" borderId="9" xfId="5" applyFont="1" applyFill="1" applyBorder="1" applyAlignment="1">
      <alignment horizontal="center" vertical="center"/>
    </xf>
    <xf numFmtId="9" fontId="11" fillId="0" borderId="14" xfId="5" applyFont="1" applyFill="1" applyBorder="1" applyAlignment="1">
      <alignment horizontal="center" vertical="center"/>
    </xf>
    <xf numFmtId="43" fontId="11" fillId="0" borderId="9" xfId="6" applyFont="1" applyFill="1" applyBorder="1" applyAlignment="1">
      <alignment horizontal="center" vertical="center"/>
    </xf>
    <xf numFmtId="43" fontId="11" fillId="0" borderId="14" xfId="6" applyFont="1" applyFill="1" applyBorder="1" applyAlignment="1">
      <alignment horizontal="center" vertical="center"/>
    </xf>
    <xf numFmtId="3" fontId="11" fillId="0" borderId="6" xfId="3" applyNumberFormat="1" applyFont="1" applyFill="1" applyBorder="1" applyAlignment="1">
      <alignment horizontal="center" vertical="center" wrapText="1"/>
    </xf>
    <xf numFmtId="3" fontId="11" fillId="0" borderId="1" xfId="3" applyNumberFormat="1" applyFont="1" applyFill="1" applyBorder="1" applyAlignment="1">
      <alignment horizontal="center" vertical="center" wrapText="1"/>
    </xf>
    <xf numFmtId="9" fontId="11" fillId="0" borderId="2" xfId="5" applyFont="1" applyFill="1" applyBorder="1" applyAlignment="1">
      <alignment horizontal="center" vertical="center"/>
    </xf>
    <xf numFmtId="43" fontId="11" fillId="0" borderId="2" xfId="6" applyFont="1" applyFill="1" applyBorder="1" applyAlignment="1">
      <alignment horizontal="center" vertical="center"/>
    </xf>
    <xf numFmtId="3" fontId="11" fillId="0" borderId="2" xfId="0" applyNumberFormat="1" applyFont="1" applyFill="1" applyBorder="1" applyAlignment="1">
      <alignment vertical="center"/>
    </xf>
    <xf numFmtId="3" fontId="14" fillId="0" borderId="2" xfId="0" applyNumberFormat="1" applyFont="1" applyFill="1" applyBorder="1" applyAlignment="1">
      <alignment vertical="center"/>
    </xf>
    <xf numFmtId="3" fontId="11" fillId="0" borderId="13" xfId="3" applyNumberFormat="1" applyFont="1" applyFill="1" applyBorder="1" applyAlignment="1">
      <alignment horizontal="center" vertical="center" wrapText="1"/>
    </xf>
    <xf numFmtId="3" fontId="11" fillId="0" borderId="13" xfId="3" applyNumberFormat="1" applyFont="1" applyFill="1" applyBorder="1" applyAlignment="1">
      <alignment horizontal="center" vertical="center"/>
    </xf>
    <xf numFmtId="164" fontId="11" fillId="0" borderId="15" xfId="3" applyFont="1" applyFill="1" applyBorder="1" applyAlignment="1">
      <alignment horizontal="justify" vertical="center" wrapText="1"/>
    </xf>
    <xf numFmtId="9" fontId="11" fillId="0" borderId="2" xfId="3" applyNumberFormat="1" applyFont="1" applyFill="1" applyBorder="1" applyAlignment="1">
      <alignment horizontal="justify" vertical="center" wrapText="1"/>
    </xf>
    <xf numFmtId="3" fontId="11" fillId="0" borderId="9" xfId="0" applyNumberFormat="1" applyFont="1" applyFill="1" applyBorder="1" applyAlignment="1">
      <alignment vertical="center"/>
    </xf>
    <xf numFmtId="3" fontId="11" fillId="0" borderId="14" xfId="0" applyNumberFormat="1" applyFont="1" applyFill="1" applyBorder="1" applyAlignment="1">
      <alignment vertical="center"/>
    </xf>
    <xf numFmtId="3" fontId="11" fillId="0" borderId="15" xfId="0" applyNumberFormat="1" applyFont="1" applyFill="1" applyBorder="1" applyAlignment="1">
      <alignment vertical="center"/>
    </xf>
    <xf numFmtId="3" fontId="11" fillId="0" borderId="9" xfId="3" applyNumberFormat="1" applyFont="1" applyFill="1" applyBorder="1" applyAlignment="1">
      <alignment horizontal="center" vertical="center" wrapText="1"/>
    </xf>
    <xf numFmtId="3" fontId="11" fillId="0" borderId="14" xfId="3" applyNumberFormat="1" applyFont="1" applyFill="1" applyBorder="1" applyAlignment="1">
      <alignment horizontal="center" vertical="center" wrapText="1"/>
    </xf>
    <xf numFmtId="3" fontId="11" fillId="0" borderId="15" xfId="3" applyNumberFormat="1" applyFont="1" applyFill="1" applyBorder="1" applyAlignment="1">
      <alignment horizontal="center" vertical="center" wrapText="1"/>
    </xf>
    <xf numFmtId="0" fontId="11" fillId="0" borderId="1" xfId="3" applyNumberFormat="1" applyFont="1" applyFill="1" applyBorder="1" applyAlignment="1">
      <alignment horizontal="justify" vertical="center" wrapText="1"/>
    </xf>
    <xf numFmtId="0" fontId="11" fillId="0" borderId="18" xfId="0" applyFont="1" applyFill="1" applyBorder="1" applyAlignment="1">
      <alignment horizontal="justify" vertical="center" wrapText="1"/>
    </xf>
    <xf numFmtId="0" fontId="11" fillId="0" borderId="8"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13" xfId="0" applyFont="1" applyBorder="1" applyAlignment="1">
      <alignment horizontal="center"/>
    </xf>
    <xf numFmtId="0" fontId="11" fillId="0" borderId="0" xfId="0" applyFont="1" applyAlignment="1">
      <alignment horizontal="center"/>
    </xf>
    <xf numFmtId="0" fontId="11" fillId="0" borderId="1" xfId="0" applyFont="1" applyBorder="1" applyAlignment="1">
      <alignment horizontal="center"/>
    </xf>
    <xf numFmtId="0" fontId="11" fillId="0" borderId="7"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164" fontId="11" fillId="0" borderId="2" xfId="3" applyFont="1" applyFill="1" applyBorder="1" applyAlignment="1">
      <alignment horizontal="justify" vertical="center" wrapText="1" shrinkToFit="1"/>
    </xf>
    <xf numFmtId="164" fontId="13" fillId="0" borderId="9" xfId="3" applyFont="1" applyFill="1" applyBorder="1" applyAlignment="1">
      <alignment horizontal="justify" vertical="center" wrapText="1" readingOrder="2"/>
    </xf>
    <xf numFmtId="164" fontId="13" fillId="0" borderId="15" xfId="3" applyFont="1" applyFill="1" applyBorder="1" applyAlignment="1">
      <alignment horizontal="justify" vertical="center" wrapText="1" readingOrder="2"/>
    </xf>
    <xf numFmtId="9" fontId="11" fillId="7" borderId="2" xfId="5" applyFont="1" applyFill="1" applyBorder="1" applyAlignment="1">
      <alignment horizontal="center" vertical="center"/>
    </xf>
    <xf numFmtId="43" fontId="11" fillId="7" borderId="2" xfId="6" applyFont="1" applyFill="1" applyBorder="1" applyAlignment="1">
      <alignment horizontal="center" vertical="center"/>
    </xf>
    <xf numFmtId="164" fontId="11" fillId="0" borderId="9" xfId="3" applyFont="1" applyBorder="1" applyAlignment="1">
      <alignment horizontal="justify" vertical="center" wrapText="1" readingOrder="2"/>
    </xf>
    <xf numFmtId="164" fontId="11" fillId="0" borderId="15" xfId="3" applyFont="1" applyBorder="1" applyAlignment="1">
      <alignment horizontal="justify" vertical="center" wrapText="1" readingOrder="2"/>
    </xf>
    <xf numFmtId="164" fontId="11" fillId="7" borderId="1" xfId="3" applyFont="1" applyFill="1" applyBorder="1" applyAlignment="1">
      <alignment horizontal="justify" vertical="center" wrapText="1"/>
    </xf>
    <xf numFmtId="164" fontId="11" fillId="7" borderId="1" xfId="3" applyFont="1" applyFill="1" applyBorder="1" applyAlignment="1">
      <alignment horizontal="justify" vertical="center"/>
    </xf>
    <xf numFmtId="49" fontId="11" fillId="0" borderId="14" xfId="3" applyNumberFormat="1" applyFont="1" applyBorder="1" applyAlignment="1">
      <alignment horizontal="center" vertical="center" wrapText="1"/>
    </xf>
    <xf numFmtId="167" fontId="11" fillId="0" borderId="9" xfId="0" applyNumberFormat="1" applyFont="1" applyBorder="1" applyAlignment="1">
      <alignment horizontal="center" vertical="center"/>
    </xf>
    <xf numFmtId="167" fontId="11" fillId="0" borderId="14" xfId="0" applyNumberFormat="1" applyFont="1" applyBorder="1" applyAlignment="1">
      <alignment horizontal="center" vertical="center"/>
    </xf>
    <xf numFmtId="167" fontId="11" fillId="0" borderId="15" xfId="0" applyNumberFormat="1" applyFont="1" applyBorder="1" applyAlignment="1">
      <alignment horizontal="center" vertical="center"/>
    </xf>
    <xf numFmtId="167" fontId="11" fillId="0" borderId="18" xfId="0" applyNumberFormat="1" applyFont="1" applyBorder="1" applyAlignment="1">
      <alignment horizontal="justify" vertical="center" wrapText="1"/>
    </xf>
    <xf numFmtId="164" fontId="11" fillId="7" borderId="9" xfId="3" applyFont="1" applyFill="1" applyBorder="1" applyAlignment="1">
      <alignment horizontal="justify" vertical="center" wrapText="1" readingOrder="2"/>
    </xf>
    <xf numFmtId="164" fontId="11" fillId="7" borderId="15" xfId="3" applyFont="1" applyFill="1" applyBorder="1" applyAlignment="1">
      <alignment horizontal="justify" vertical="center" wrapText="1" readingOrder="2"/>
    </xf>
    <xf numFmtId="164" fontId="11" fillId="7" borderId="9" xfId="3" applyFont="1" applyFill="1" applyBorder="1" applyAlignment="1">
      <alignment horizontal="justify" vertical="center" wrapText="1"/>
    </xf>
    <xf numFmtId="164" fontId="11" fillId="7" borderId="15" xfId="3" applyFont="1" applyFill="1" applyBorder="1" applyAlignment="1">
      <alignment horizontal="justify" vertical="center" wrapText="1"/>
    </xf>
    <xf numFmtId="3" fontId="11" fillId="0" borderId="2" xfId="0" applyNumberFormat="1" applyFont="1" applyBorder="1" applyAlignment="1">
      <alignment vertical="center"/>
    </xf>
    <xf numFmtId="3" fontId="14" fillId="0" borderId="2" xfId="0" applyNumberFormat="1" applyFont="1" applyBorder="1" applyAlignment="1">
      <alignment vertical="center"/>
    </xf>
    <xf numFmtId="3" fontId="11" fillId="7" borderId="13" xfId="3" applyNumberFormat="1" applyFont="1" applyFill="1" applyBorder="1" applyAlignment="1">
      <alignment horizontal="center" vertical="center"/>
    </xf>
    <xf numFmtId="164" fontId="11" fillId="7" borderId="14" xfId="3" applyFont="1" applyFill="1" applyBorder="1" applyAlignment="1">
      <alignment horizontal="justify" vertical="center"/>
    </xf>
    <xf numFmtId="164" fontId="11" fillId="7" borderId="14" xfId="3" applyFont="1" applyFill="1" applyBorder="1" applyAlignment="1">
      <alignment horizontal="justify" vertical="center" wrapText="1"/>
    </xf>
    <xf numFmtId="9" fontId="11" fillId="7" borderId="14" xfId="5" applyFont="1" applyFill="1" applyBorder="1" applyAlignment="1">
      <alignment horizontal="center" vertical="center"/>
    </xf>
    <xf numFmtId="43" fontId="11" fillId="7" borderId="14" xfId="6" applyFont="1" applyFill="1" applyBorder="1" applyAlignment="1">
      <alignment horizontal="center" vertical="center"/>
    </xf>
    <xf numFmtId="1" fontId="11" fillId="0" borderId="43" xfId="0" applyNumberFormat="1" applyFont="1" applyBorder="1" applyAlignment="1">
      <alignment horizontal="center"/>
    </xf>
    <xf numFmtId="0" fontId="14" fillId="0" borderId="2" xfId="0" applyFont="1" applyBorder="1" applyAlignment="1"/>
    <xf numFmtId="1" fontId="11" fillId="0" borderId="31" xfId="0" applyNumberFormat="1" applyFont="1" applyBorder="1" applyAlignment="1">
      <alignment horizontal="center"/>
    </xf>
    <xf numFmtId="0" fontId="14" fillId="0" borderId="9" xfId="0" applyFont="1" applyBorder="1" applyAlignment="1"/>
    <xf numFmtId="1" fontId="11" fillId="0" borderId="8" xfId="3" applyNumberFormat="1" applyFont="1" applyBorder="1" applyAlignment="1">
      <alignment horizontal="center" vertical="center"/>
    </xf>
    <xf numFmtId="1" fontId="11" fillId="0" borderId="5" xfId="3" applyNumberFormat="1" applyFont="1" applyBorder="1" applyAlignment="1">
      <alignment horizontal="center" vertical="center"/>
    </xf>
    <xf numFmtId="1" fontId="11" fillId="0" borderId="6" xfId="3" applyNumberFormat="1" applyFont="1" applyBorder="1" applyAlignment="1">
      <alignment horizontal="center" vertical="center"/>
    </xf>
    <xf numFmtId="1" fontId="11" fillId="0" borderId="13" xfId="3" applyNumberFormat="1" applyFont="1" applyBorder="1" applyAlignment="1">
      <alignment horizontal="center" vertical="center"/>
    </xf>
    <xf numFmtId="1" fontId="11" fillId="0" borderId="0" xfId="3" applyNumberFormat="1" applyFont="1" applyAlignment="1">
      <alignment horizontal="center" vertical="center"/>
    </xf>
    <xf numFmtId="3" fontId="11" fillId="7" borderId="14" xfId="3" applyNumberFormat="1" applyFont="1" applyFill="1" applyBorder="1" applyAlignment="1">
      <alignment horizontal="center" vertical="center"/>
    </xf>
    <xf numFmtId="0" fontId="14" fillId="0" borderId="2" xfId="0" applyFont="1" applyBorder="1" applyAlignment="1">
      <alignment vertical="center"/>
    </xf>
    <xf numFmtId="0" fontId="14" fillId="0" borderId="9" xfId="0" applyFont="1" applyBorder="1" applyAlignment="1">
      <alignment vertical="center"/>
    </xf>
    <xf numFmtId="1" fontId="11" fillId="0" borderId="14" xfId="3" applyNumberFormat="1" applyFont="1" applyBorder="1" applyAlignment="1">
      <alignment horizontal="center" vertical="center"/>
    </xf>
    <xf numFmtId="167" fontId="8" fillId="0" borderId="9" xfId="0" applyNumberFormat="1" applyFont="1" applyBorder="1" applyAlignment="1">
      <alignment horizontal="center" vertical="center"/>
    </xf>
    <xf numFmtId="167" fontId="8" fillId="0" borderId="14" xfId="0" applyNumberFormat="1" applyFont="1" applyBorder="1" applyAlignment="1">
      <alignment horizontal="center" vertical="center"/>
    </xf>
    <xf numFmtId="167" fontId="8" fillId="0" borderId="41" xfId="0" applyNumberFormat="1" applyFont="1" applyBorder="1" applyAlignment="1">
      <alignment horizontal="center" vertical="center"/>
    </xf>
    <xf numFmtId="0" fontId="14" fillId="0" borderId="16" xfId="0" applyFont="1" applyBorder="1" applyAlignment="1">
      <alignment horizontal="justify" vertical="center" wrapText="1"/>
    </xf>
    <xf numFmtId="0" fontId="12" fillId="0" borderId="43" xfId="0" applyFont="1" applyBorder="1" applyAlignment="1">
      <alignment horizontal="center" vertical="center"/>
    </xf>
    <xf numFmtId="0" fontId="12" fillId="0" borderId="35" xfId="0" applyFont="1" applyBorder="1" applyAlignment="1">
      <alignment horizontal="center" vertical="center"/>
    </xf>
    <xf numFmtId="0" fontId="12" fillId="8" borderId="5" xfId="0" applyFont="1" applyFill="1" applyBorder="1" applyAlignment="1">
      <alignment horizontal="center" vertical="center" wrapText="1"/>
    </xf>
    <xf numFmtId="0" fontId="12" fillId="8" borderId="0" xfId="0" applyFont="1" applyFill="1" applyAlignment="1">
      <alignment horizontal="center" vertical="center" wrapText="1"/>
    </xf>
    <xf numFmtId="2" fontId="12" fillId="8" borderId="2" xfId="0" applyNumberFormat="1" applyFont="1" applyFill="1" applyBorder="1" applyAlignment="1">
      <alignment horizontal="center" vertical="center" wrapText="1"/>
    </xf>
    <xf numFmtId="165" fontId="12" fillId="8" borderId="8" xfId="0" applyNumberFormat="1" applyFont="1" applyFill="1" applyBorder="1" applyAlignment="1">
      <alignment horizontal="center" vertical="center" wrapText="1"/>
    </xf>
    <xf numFmtId="165" fontId="12" fillId="8" borderId="7" xfId="0" applyNumberFormat="1" applyFont="1" applyFill="1" applyBorder="1" applyAlignment="1">
      <alignment horizontal="center" vertical="center" wrapText="1"/>
    </xf>
    <xf numFmtId="41" fontId="12" fillId="8" borderId="5" xfId="21" applyFont="1" applyFill="1" applyBorder="1" applyAlignment="1">
      <alignment horizontal="center" vertical="center" wrapText="1"/>
    </xf>
    <xf numFmtId="41" fontId="12" fillId="8" borderId="3" xfId="21"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12" fillId="10" borderId="35" xfId="0" applyFont="1" applyFill="1" applyBorder="1" applyAlignment="1">
      <alignment horizontal="center" vertical="center" wrapText="1"/>
    </xf>
    <xf numFmtId="0" fontId="12" fillId="23" borderId="10" xfId="0" applyFont="1" applyFill="1" applyBorder="1" applyAlignment="1">
      <alignment horizontal="left" vertical="center" wrapText="1"/>
    </xf>
    <xf numFmtId="0" fontId="12" fillId="23" borderId="11" xfId="0" applyFont="1" applyFill="1" applyBorder="1" applyAlignment="1">
      <alignment horizontal="left" vertical="center" wrapText="1"/>
    </xf>
    <xf numFmtId="0" fontId="12" fillId="23" borderId="11" xfId="0" applyFont="1" applyFill="1" applyBorder="1" applyAlignment="1">
      <alignment horizontal="center" vertical="center" wrapText="1"/>
    </xf>
    <xf numFmtId="0" fontId="12" fillId="23" borderId="35" xfId="0" applyFont="1" applyFill="1" applyBorder="1" applyAlignment="1">
      <alignment horizontal="center" vertical="center" wrapText="1"/>
    </xf>
    <xf numFmtId="0" fontId="12" fillId="12" borderId="10" xfId="0" applyFont="1" applyFill="1" applyBorder="1" applyAlignment="1">
      <alignment horizontal="left" vertical="center" wrapText="1"/>
    </xf>
    <xf numFmtId="0" fontId="12" fillId="12" borderId="11" xfId="0" applyFont="1" applyFill="1" applyBorder="1" applyAlignment="1">
      <alignment horizontal="left" vertical="center" wrapText="1"/>
    </xf>
    <xf numFmtId="0" fontId="11" fillId="12" borderId="11"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8" xfId="0" applyFont="1" applyFill="1" applyBorder="1" applyAlignment="1">
      <alignment horizontal="center" vertical="center" textRotation="90" wrapText="1"/>
    </xf>
    <xf numFmtId="0" fontId="11" fillId="7" borderId="6" xfId="0" applyFont="1" applyFill="1" applyBorder="1" applyAlignment="1">
      <alignment horizontal="center" vertical="center" textRotation="90" wrapText="1"/>
    </xf>
    <xf numFmtId="0" fontId="11" fillId="7" borderId="13" xfId="0" applyFont="1" applyFill="1" applyBorder="1" applyAlignment="1">
      <alignment horizontal="center" vertical="center" textRotation="90" wrapText="1"/>
    </xf>
    <xf numFmtId="0" fontId="11" fillId="7" borderId="1" xfId="0" applyFont="1" applyFill="1" applyBorder="1" applyAlignment="1">
      <alignment horizontal="center" vertical="center" textRotation="90" wrapText="1"/>
    </xf>
    <xf numFmtId="0" fontId="11" fillId="7" borderId="7" xfId="0" applyFont="1" applyFill="1" applyBorder="1" applyAlignment="1">
      <alignment horizontal="center" vertical="center" textRotation="90" wrapText="1"/>
    </xf>
    <xf numFmtId="0" fontId="11" fillId="7" borderId="4" xfId="0" applyFont="1" applyFill="1" applyBorder="1" applyAlignment="1">
      <alignment horizontal="center" vertical="center" textRotation="90" wrapText="1"/>
    </xf>
    <xf numFmtId="188" fontId="11" fillId="7" borderId="9" xfId="0" applyNumberFormat="1" applyFont="1" applyFill="1" applyBorder="1" applyAlignment="1">
      <alignment horizontal="center" vertical="center" wrapText="1"/>
    </xf>
    <xf numFmtId="188" fontId="11" fillId="7" borderId="15" xfId="0" applyNumberFormat="1" applyFont="1" applyFill="1" applyBorder="1" applyAlignment="1">
      <alignment horizontal="center" vertical="center" wrapText="1"/>
    </xf>
    <xf numFmtId="0" fontId="11" fillId="7" borderId="9" xfId="0" applyFont="1" applyFill="1" applyBorder="1" applyAlignment="1">
      <alignment horizontal="justify" vertical="center" wrapText="1"/>
    </xf>
    <xf numFmtId="0" fontId="11" fillId="7" borderId="15" xfId="0" applyFont="1" applyFill="1" applyBorder="1" applyAlignment="1">
      <alignment horizontal="justify" vertical="center" wrapText="1"/>
    </xf>
    <xf numFmtId="3" fontId="11" fillId="7" borderId="9" xfId="0" applyNumberFormat="1" applyFont="1" applyFill="1" applyBorder="1" applyAlignment="1">
      <alignment horizontal="center" vertical="center" wrapText="1"/>
    </xf>
    <xf numFmtId="3" fontId="11" fillId="7" borderId="15" xfId="0" applyNumberFormat="1" applyFont="1" applyFill="1" applyBorder="1" applyAlignment="1">
      <alignment horizontal="center" vertical="center" wrapText="1"/>
    </xf>
    <xf numFmtId="0" fontId="11" fillId="7" borderId="8" xfId="0" applyFont="1" applyFill="1" applyBorder="1" applyAlignment="1">
      <alignment horizontal="justify" vertical="center" wrapText="1"/>
    </xf>
    <xf numFmtId="0" fontId="11" fillId="7" borderId="7" xfId="0" applyFont="1" applyFill="1" applyBorder="1" applyAlignment="1">
      <alignment horizontal="justify" vertical="center" wrapText="1"/>
    </xf>
    <xf numFmtId="43" fontId="11" fillId="7" borderId="2" xfId="6" applyFont="1" applyFill="1" applyBorder="1" applyAlignment="1">
      <alignment horizontal="right" vertical="center" wrapText="1"/>
    </xf>
    <xf numFmtId="1" fontId="11" fillId="7" borderId="9" xfId="22" applyNumberFormat="1" applyFont="1" applyFill="1" applyBorder="1" applyAlignment="1">
      <alignment horizontal="center" vertical="center" wrapText="1"/>
    </xf>
    <xf numFmtId="1" fontId="11" fillId="7" borderId="15" xfId="22" applyNumberFormat="1" applyFont="1" applyFill="1" applyBorder="1" applyAlignment="1">
      <alignment horizontal="center" vertical="center" wrapText="1"/>
    </xf>
    <xf numFmtId="188" fontId="11" fillId="7" borderId="14" xfId="0" applyNumberFormat="1" applyFont="1" applyFill="1" applyBorder="1" applyAlignment="1">
      <alignment horizontal="center" vertical="center" wrapText="1"/>
    </xf>
    <xf numFmtId="0" fontId="11" fillId="7" borderId="14" xfId="0" applyFont="1" applyFill="1" applyBorder="1" applyAlignment="1">
      <alignment horizontal="justify" vertical="center" wrapText="1"/>
    </xf>
    <xf numFmtId="188" fontId="8" fillId="7" borderId="9" xfId="0" applyNumberFormat="1" applyFont="1" applyFill="1" applyBorder="1" applyAlignment="1">
      <alignment horizontal="center" vertical="center" wrapText="1"/>
    </xf>
    <xf numFmtId="188" fontId="8" fillId="7" borderId="14" xfId="0" applyNumberFormat="1" applyFont="1" applyFill="1" applyBorder="1" applyAlignment="1">
      <alignment horizontal="center" vertical="center" wrapText="1"/>
    </xf>
    <xf numFmtId="188" fontId="8" fillId="7" borderId="15" xfId="0" applyNumberFormat="1" applyFont="1" applyFill="1" applyBorder="1" applyAlignment="1">
      <alignment horizontal="center" vertical="center" wrapText="1"/>
    </xf>
    <xf numFmtId="9" fontId="11" fillId="7" borderId="9" xfId="5" applyFont="1" applyFill="1" applyBorder="1" applyAlignment="1">
      <alignment horizontal="center" vertical="center" wrapText="1"/>
    </xf>
    <xf numFmtId="9" fontId="11" fillId="7" borderId="14" xfId="5" applyFont="1" applyFill="1" applyBorder="1" applyAlignment="1">
      <alignment horizontal="center" vertical="center" wrapText="1"/>
    </xf>
    <xf numFmtId="9" fontId="11" fillId="7" borderId="15" xfId="5" applyFont="1" applyFill="1" applyBorder="1" applyAlignment="1">
      <alignment horizontal="center" vertical="center" wrapText="1"/>
    </xf>
    <xf numFmtId="43" fontId="11" fillId="7" borderId="9" xfId="6" applyFont="1" applyFill="1" applyBorder="1" applyAlignment="1">
      <alignment horizontal="right" vertical="center" wrapText="1"/>
    </xf>
    <xf numFmtId="43" fontId="11" fillId="7" borderId="14" xfId="6" applyFont="1" applyFill="1" applyBorder="1" applyAlignment="1">
      <alignment horizontal="right" vertical="center" wrapText="1"/>
    </xf>
    <xf numFmtId="43" fontId="11" fillId="7" borderId="15" xfId="6" applyFont="1" applyFill="1" applyBorder="1" applyAlignment="1">
      <alignment horizontal="right" vertical="center" wrapText="1"/>
    </xf>
    <xf numFmtId="9" fontId="11" fillId="7" borderId="9" xfId="0" applyNumberFormat="1" applyFont="1" applyFill="1" applyBorder="1" applyAlignment="1">
      <alignment horizontal="center" vertical="center" wrapText="1"/>
    </xf>
    <xf numFmtId="9" fontId="11" fillId="7" borderId="14" xfId="0" applyNumberFormat="1" applyFont="1" applyFill="1" applyBorder="1" applyAlignment="1">
      <alignment horizontal="center" vertical="center" wrapText="1"/>
    </xf>
    <xf numFmtId="9" fontId="11" fillId="7" borderId="15" xfId="0" applyNumberFormat="1" applyFont="1" applyFill="1" applyBorder="1" applyAlignment="1">
      <alignment horizontal="center" vertical="center" wrapText="1"/>
    </xf>
    <xf numFmtId="0" fontId="11" fillId="0" borderId="8" xfId="0" applyFont="1" applyBorder="1" applyAlignment="1">
      <alignment horizontal="justify" vertical="center" wrapText="1"/>
    </xf>
    <xf numFmtId="1" fontId="11" fillId="7" borderId="14" xfId="0" applyNumberFormat="1"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17" xfId="0" applyFont="1" applyFill="1" applyBorder="1" applyAlignment="1">
      <alignment horizontal="center" vertical="center"/>
    </xf>
    <xf numFmtId="14" fontId="11" fillId="7" borderId="9" xfId="0" applyNumberFormat="1" applyFont="1" applyFill="1" applyBorder="1" applyAlignment="1">
      <alignment horizontal="center" vertical="center"/>
    </xf>
    <xf numFmtId="14" fontId="11" fillId="7" borderId="15" xfId="0" applyNumberFormat="1" applyFont="1" applyFill="1" applyBorder="1" applyAlignment="1">
      <alignment horizontal="center" vertical="center"/>
    </xf>
    <xf numFmtId="3" fontId="8" fillId="7" borderId="9" xfId="0" applyNumberFormat="1" applyFont="1" applyFill="1" applyBorder="1" applyAlignment="1">
      <alignment horizontal="center" vertical="center" wrapText="1"/>
    </xf>
    <xf numFmtId="14" fontId="8" fillId="7" borderId="9" xfId="0" applyNumberFormat="1" applyFont="1" applyFill="1" applyBorder="1" applyAlignment="1">
      <alignment horizontal="center" vertical="center"/>
    </xf>
    <xf numFmtId="14" fontId="8" fillId="7" borderId="14" xfId="0" applyNumberFormat="1" applyFont="1" applyFill="1" applyBorder="1" applyAlignment="1">
      <alignment horizontal="center" vertical="center"/>
    </xf>
    <xf numFmtId="14" fontId="8" fillId="7" borderId="15" xfId="0" applyNumberFormat="1" applyFont="1" applyFill="1" applyBorder="1" applyAlignment="1">
      <alignment horizontal="center" vertical="center"/>
    </xf>
    <xf numFmtId="0" fontId="11" fillId="7" borderId="33"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8" fillId="0" borderId="14" xfId="0" applyFont="1" applyBorder="1" applyAlignment="1">
      <alignment horizontal="justify" vertical="center" wrapText="1"/>
    </xf>
    <xf numFmtId="3" fontId="8" fillId="0" borderId="9"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3" fontId="11" fillId="7" borderId="14" xfId="0" applyNumberFormat="1" applyFont="1" applyFill="1" applyBorder="1" applyAlignment="1">
      <alignment horizontal="center" vertical="center" wrapText="1"/>
    </xf>
    <xf numFmtId="0" fontId="11" fillId="7" borderId="2" xfId="0" applyFont="1" applyFill="1" applyBorder="1" applyAlignment="1">
      <alignment horizontal="justify" vertical="center" wrapText="1"/>
    </xf>
    <xf numFmtId="43" fontId="11" fillId="7" borderId="9" xfId="6" applyFont="1" applyFill="1" applyBorder="1" applyAlignment="1">
      <alignment horizontal="center" vertical="center" wrapText="1"/>
    </xf>
    <xf numFmtId="43" fontId="11" fillId="7" borderId="14" xfId="6" applyFont="1" applyFill="1" applyBorder="1" applyAlignment="1">
      <alignment horizontal="center" vertical="center" wrapText="1"/>
    </xf>
    <xf numFmtId="43" fontId="11" fillId="7" borderId="15" xfId="6" applyFont="1" applyFill="1" applyBorder="1" applyAlignment="1">
      <alignment horizontal="center" vertical="center" wrapText="1"/>
    </xf>
    <xf numFmtId="0" fontId="11" fillId="7" borderId="13" xfId="0" applyFont="1" applyFill="1" applyBorder="1" applyAlignment="1">
      <alignment horizontal="justify" vertical="center" wrapText="1"/>
    </xf>
    <xf numFmtId="43" fontId="8" fillId="7" borderId="9" xfId="6" applyFont="1" applyFill="1" applyBorder="1" applyAlignment="1">
      <alignment horizontal="right" vertical="center" wrapText="1"/>
    </xf>
    <xf numFmtId="43" fontId="8" fillId="7" borderId="14" xfId="6" applyFont="1" applyFill="1" applyBorder="1" applyAlignment="1">
      <alignment horizontal="right" vertical="center" wrapText="1"/>
    </xf>
    <xf numFmtId="43" fontId="8" fillId="7" borderId="15" xfId="6" applyFont="1" applyFill="1" applyBorder="1" applyAlignment="1">
      <alignment horizontal="right" vertical="center" wrapText="1"/>
    </xf>
    <xf numFmtId="1" fontId="11" fillId="7" borderId="6" xfId="0" applyNumberFormat="1" applyFont="1" applyFill="1" applyBorder="1" applyAlignment="1">
      <alignment horizontal="center" vertical="center" wrapText="1"/>
    </xf>
    <xf numFmtId="1" fontId="11" fillId="7" borderId="1" xfId="0" applyNumberFormat="1" applyFont="1" applyFill="1" applyBorder="1" applyAlignment="1">
      <alignment horizontal="center" vertical="center" wrapText="1"/>
    </xf>
    <xf numFmtId="1" fontId="11" fillId="7" borderId="4" xfId="0" applyNumberFormat="1" applyFont="1" applyFill="1" applyBorder="1" applyAlignment="1">
      <alignment horizontal="center" vertical="center" wrapText="1"/>
    </xf>
    <xf numFmtId="9" fontId="11" fillId="7" borderId="2" xfId="5" applyFont="1" applyFill="1" applyBorder="1" applyAlignment="1">
      <alignment horizontal="center" vertical="center" wrapText="1"/>
    </xf>
    <xf numFmtId="0" fontId="12" fillId="7" borderId="0" xfId="0" applyFont="1" applyFill="1" applyAlignment="1">
      <alignment horizontal="center"/>
    </xf>
    <xf numFmtId="0" fontId="11" fillId="7" borderId="0" xfId="0" applyFont="1" applyFill="1" applyAlignment="1">
      <alignment horizontal="center"/>
    </xf>
    <xf numFmtId="3" fontId="4" fillId="7" borderId="16" xfId="0" applyNumberFormat="1" applyFont="1" applyFill="1" applyBorder="1" applyAlignment="1">
      <alignment horizontal="justify" vertical="center" wrapText="1"/>
    </xf>
    <xf numFmtId="3" fontId="11" fillId="7" borderId="33" xfId="0" applyNumberFormat="1" applyFont="1" applyFill="1" applyBorder="1" applyAlignment="1">
      <alignment horizontal="justify" vertical="center" wrapText="1"/>
    </xf>
    <xf numFmtId="43" fontId="11" fillId="7" borderId="2" xfId="6" applyFont="1" applyFill="1" applyBorder="1" applyAlignment="1">
      <alignment horizontal="center" vertical="center" wrapText="1"/>
    </xf>
    <xf numFmtId="0" fontId="12" fillId="0" borderId="0" xfId="0" applyFont="1" applyAlignment="1">
      <alignment horizontal="left"/>
    </xf>
    <xf numFmtId="1" fontId="12" fillId="7" borderId="9" xfId="0" applyNumberFormat="1" applyFont="1" applyFill="1" applyBorder="1" applyAlignment="1">
      <alignment horizontal="center" vertical="center" wrapText="1"/>
    </xf>
    <xf numFmtId="1" fontId="12" fillId="7" borderId="14" xfId="0" applyNumberFormat="1" applyFont="1" applyFill="1" applyBorder="1" applyAlignment="1">
      <alignment horizontal="center" vertical="center" wrapText="1"/>
    </xf>
    <xf numFmtId="1" fontId="11" fillId="7" borderId="9" xfId="0" applyNumberFormat="1" applyFont="1" applyFill="1" applyBorder="1" applyAlignment="1">
      <alignment horizontal="center" vertical="center" wrapText="1"/>
    </xf>
    <xf numFmtId="174" fontId="11" fillId="7" borderId="9" xfId="6" applyNumberFormat="1" applyFont="1" applyFill="1" applyBorder="1" applyAlignment="1">
      <alignment horizontal="center" vertical="center" wrapText="1"/>
    </xf>
    <xf numFmtId="174" fontId="11" fillId="7" borderId="14" xfId="6" applyNumberFormat="1" applyFont="1" applyFill="1" applyBorder="1" applyAlignment="1">
      <alignment horizontal="center" vertical="center" wrapText="1"/>
    </xf>
    <xf numFmtId="174" fontId="11" fillId="7" borderId="6" xfId="6" applyNumberFormat="1" applyFont="1" applyFill="1" applyBorder="1" applyAlignment="1">
      <alignment horizontal="center" vertical="center" wrapText="1"/>
    </xf>
    <xf numFmtId="174" fontId="11" fillId="7" borderId="1" xfId="6" applyNumberFormat="1" applyFont="1" applyFill="1" applyBorder="1" applyAlignment="1">
      <alignment horizontal="center" vertical="center" wrapText="1"/>
    </xf>
    <xf numFmtId="3" fontId="11" fillId="7" borderId="9" xfId="0" applyNumberFormat="1" applyFont="1" applyFill="1" applyBorder="1" applyAlignment="1">
      <alignment horizontal="justify" vertical="center" wrapText="1"/>
    </xf>
    <xf numFmtId="3" fontId="11" fillId="7" borderId="14" xfId="0" applyNumberFormat="1" applyFont="1" applyFill="1" applyBorder="1" applyAlignment="1">
      <alignment horizontal="justify" vertical="center" wrapText="1"/>
    </xf>
    <xf numFmtId="14" fontId="11" fillId="7" borderId="9" xfId="0" applyNumberFormat="1" applyFont="1" applyFill="1" applyBorder="1" applyAlignment="1">
      <alignment horizontal="center" vertical="center" wrapText="1"/>
    </xf>
    <xf numFmtId="14" fontId="11" fillId="7" borderId="14" xfId="0" applyNumberFormat="1" applyFont="1" applyFill="1" applyBorder="1" applyAlignment="1">
      <alignment horizontal="center" vertical="center" wrapText="1"/>
    </xf>
    <xf numFmtId="14" fontId="11" fillId="7" borderId="15" xfId="0" applyNumberFormat="1" applyFont="1" applyFill="1" applyBorder="1" applyAlignment="1">
      <alignment horizontal="center" vertical="center" wrapText="1"/>
    </xf>
    <xf numFmtId="3" fontId="11" fillId="7" borderId="15" xfId="0" applyNumberFormat="1" applyFont="1" applyFill="1" applyBorder="1" applyAlignment="1">
      <alignment horizontal="justify" vertical="center" wrapText="1"/>
    </xf>
    <xf numFmtId="0" fontId="11" fillId="7" borderId="8"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4" xfId="0" applyFont="1" applyFill="1" applyBorder="1" applyAlignment="1">
      <alignment horizontal="center" vertical="center" wrapText="1"/>
    </xf>
    <xf numFmtId="3" fontId="11" fillId="7" borderId="17" xfId="0" applyNumberFormat="1" applyFont="1" applyFill="1" applyBorder="1" applyAlignment="1">
      <alignment horizontal="justify" vertical="center" wrapText="1"/>
    </xf>
    <xf numFmtId="43" fontId="11" fillId="0" borderId="2" xfId="6" applyFont="1" applyBorder="1" applyAlignment="1">
      <alignment horizontal="center" vertical="center" wrapText="1"/>
    </xf>
    <xf numFmtId="174" fontId="11" fillId="7" borderId="15" xfId="6" applyNumberFormat="1" applyFont="1" applyFill="1" applyBorder="1" applyAlignment="1">
      <alignment horizontal="center" vertical="center" wrapText="1"/>
    </xf>
    <xf numFmtId="1" fontId="12" fillId="7" borderId="15" xfId="0" applyNumberFormat="1" applyFont="1" applyFill="1" applyBorder="1" applyAlignment="1">
      <alignment horizontal="center" vertical="center" wrapText="1"/>
    </xf>
    <xf numFmtId="1" fontId="11" fillId="7" borderId="15" xfId="0" applyNumberFormat="1" applyFont="1" applyFill="1" applyBorder="1" applyAlignment="1">
      <alignment horizontal="center" vertical="center" wrapText="1"/>
    </xf>
    <xf numFmtId="0" fontId="11" fillId="7" borderId="8" xfId="0" applyFon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1" fillId="7" borderId="13" xfId="0" applyFont="1" applyFill="1" applyBorder="1" applyAlignment="1">
      <alignment horizontal="center"/>
    </xf>
    <xf numFmtId="0" fontId="11" fillId="7" borderId="1" xfId="0" applyFont="1" applyFill="1" applyBorder="1" applyAlignment="1">
      <alignment horizontal="center"/>
    </xf>
    <xf numFmtId="9" fontId="11" fillId="7" borderId="2" xfId="0" applyNumberFormat="1" applyFont="1" applyFill="1" applyBorder="1" applyAlignment="1">
      <alignment horizontal="center" vertical="center" wrapText="1"/>
    </xf>
    <xf numFmtId="3" fontId="11" fillId="7" borderId="10" xfId="0" applyNumberFormat="1" applyFont="1" applyFill="1" applyBorder="1" applyAlignment="1">
      <alignment horizontal="justify" vertical="center" wrapText="1"/>
    </xf>
    <xf numFmtId="0" fontId="11" fillId="7" borderId="10" xfId="0" applyFont="1" applyFill="1" applyBorder="1" applyAlignment="1">
      <alignment horizontal="justify" vertical="center" wrapText="1"/>
    </xf>
    <xf numFmtId="3" fontId="4" fillId="7" borderId="33" xfId="0" applyNumberFormat="1" applyFont="1" applyFill="1" applyBorder="1" applyAlignment="1">
      <alignment horizontal="justify" vertical="center" wrapText="1"/>
    </xf>
    <xf numFmtId="0" fontId="11" fillId="7" borderId="2" xfId="0" applyFont="1" applyFill="1" applyBorder="1" applyAlignment="1">
      <alignment horizontal="center" vertical="center" wrapText="1"/>
    </xf>
    <xf numFmtId="3" fontId="11" fillId="7" borderId="2" xfId="0" applyNumberFormat="1" applyFont="1" applyFill="1" applyBorder="1" applyAlignment="1">
      <alignment horizontal="justify" vertical="center" wrapText="1"/>
    </xf>
    <xf numFmtId="1" fontId="11" fillId="7" borderId="12" xfId="0" applyNumberFormat="1" applyFont="1" applyFill="1" applyBorder="1" applyAlignment="1">
      <alignment horizontal="center" vertical="center" wrapText="1"/>
    </xf>
    <xf numFmtId="174" fontId="11" fillId="0" borderId="9" xfId="6" applyNumberFormat="1" applyFont="1" applyBorder="1" applyAlignment="1">
      <alignment horizontal="center" vertical="center" wrapText="1"/>
    </xf>
    <xf numFmtId="174" fontId="11" fillId="0" borderId="14" xfId="6" applyNumberFormat="1" applyFont="1" applyBorder="1" applyAlignment="1">
      <alignment horizontal="center" vertical="center" wrapText="1"/>
    </xf>
    <xf numFmtId="174" fontId="11" fillId="0" borderId="15" xfId="6" applyNumberFormat="1" applyFont="1" applyBorder="1" applyAlignment="1">
      <alignment horizontal="center" vertical="center" wrapText="1"/>
    </xf>
    <xf numFmtId="1" fontId="12" fillId="7" borderId="29" xfId="0" applyNumberFormat="1" applyFont="1" applyFill="1" applyBorder="1" applyAlignment="1">
      <alignment horizontal="center" vertical="center" wrapText="1"/>
    </xf>
    <xf numFmtId="1" fontId="12" fillId="7" borderId="5" xfId="0" applyNumberFormat="1" applyFont="1" applyFill="1" applyBorder="1" applyAlignment="1">
      <alignment horizontal="center" vertical="center" wrapText="1"/>
    </xf>
    <xf numFmtId="1" fontId="12" fillId="7" borderId="6" xfId="0" applyNumberFormat="1" applyFont="1" applyFill="1" applyBorder="1" applyAlignment="1">
      <alignment horizontal="center" vertical="center" wrapText="1"/>
    </xf>
    <xf numFmtId="1" fontId="12" fillId="7" borderId="27" xfId="0" applyNumberFormat="1" applyFont="1" applyFill="1" applyBorder="1" applyAlignment="1">
      <alignment horizontal="center" vertical="center" wrapText="1"/>
    </xf>
    <xf numFmtId="1" fontId="12" fillId="7" borderId="0" xfId="0" applyNumberFormat="1" applyFont="1" applyFill="1" applyAlignment="1">
      <alignment horizontal="center" vertical="center" wrapText="1"/>
    </xf>
    <xf numFmtId="1" fontId="12" fillId="7" borderId="1" xfId="0" applyNumberFormat="1"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0" xfId="0" applyFont="1" applyFill="1" applyAlignment="1">
      <alignment horizontal="center" vertical="center" wrapText="1"/>
    </xf>
    <xf numFmtId="0" fontId="11" fillId="7" borderId="3" xfId="0" applyFont="1" applyFill="1" applyBorder="1" applyAlignment="1">
      <alignment horizontal="center" vertical="center" wrapText="1"/>
    </xf>
    <xf numFmtId="3" fontId="7" fillId="9" borderId="2" xfId="0" applyNumberFormat="1" applyFont="1" applyFill="1" applyBorder="1" applyAlignment="1">
      <alignment horizontal="center" vertical="center" wrapText="1"/>
    </xf>
    <xf numFmtId="43" fontId="12" fillId="8" borderId="8" xfId="6" applyFont="1" applyFill="1" applyBorder="1" applyAlignment="1">
      <alignment horizontal="center" vertical="center" wrapText="1"/>
    </xf>
    <xf numFmtId="43" fontId="12" fillId="8" borderId="13" xfId="6" applyFont="1" applyFill="1" applyBorder="1" applyAlignment="1">
      <alignment horizontal="center" vertical="center" wrapText="1"/>
    </xf>
    <xf numFmtId="43" fontId="11" fillId="0" borderId="2" xfId="6" applyFont="1" applyBorder="1" applyAlignment="1">
      <alignment horizontal="center" vertical="center"/>
    </xf>
    <xf numFmtId="0" fontId="12" fillId="8" borderId="7" xfId="0" applyFont="1" applyFill="1" applyBorder="1" applyAlignment="1">
      <alignment horizontal="center" vertical="center" wrapText="1"/>
    </xf>
    <xf numFmtId="167" fontId="12" fillId="8" borderId="2" xfId="0" applyNumberFormat="1" applyFont="1" applyFill="1" applyBorder="1" applyAlignment="1">
      <alignment horizontal="center" vertical="center" wrapText="1"/>
    </xf>
    <xf numFmtId="167" fontId="11" fillId="0" borderId="2" xfId="0" applyNumberFormat="1" applyFont="1" applyBorder="1" applyAlignment="1">
      <alignment horizontal="center" vertical="center" wrapText="1"/>
    </xf>
    <xf numFmtId="0" fontId="12" fillId="8" borderId="2" xfId="0" applyFont="1" applyFill="1" applyBorder="1" applyAlignment="1">
      <alignment horizontal="justify" vertical="center" wrapText="1"/>
    </xf>
    <xf numFmtId="10" fontId="11" fillId="0" borderId="9" xfId="5" applyNumberFormat="1" applyFont="1" applyBorder="1" applyAlignment="1">
      <alignment horizontal="center" vertical="center" wrapText="1"/>
    </xf>
    <xf numFmtId="10" fontId="11" fillId="0" borderId="15" xfId="5" applyNumberFormat="1" applyFont="1" applyBorder="1" applyAlignment="1">
      <alignment horizontal="center" vertical="center" wrapText="1"/>
    </xf>
    <xf numFmtId="43" fontId="11" fillId="0" borderId="2" xfId="6" applyFont="1" applyBorder="1" applyAlignment="1">
      <alignment vertical="center" wrapText="1"/>
    </xf>
    <xf numFmtId="1" fontId="11" fillId="0" borderId="9" xfId="0" applyNumberFormat="1" applyFont="1" applyBorder="1" applyAlignment="1">
      <alignment horizontal="center" vertical="center" textRotation="180" wrapText="1"/>
    </xf>
    <xf numFmtId="1" fontId="11" fillId="0" borderId="14" xfId="0" applyNumberFormat="1" applyFont="1" applyBorder="1" applyAlignment="1">
      <alignment horizontal="center" vertical="center" textRotation="180" wrapText="1"/>
    </xf>
    <xf numFmtId="1" fontId="11" fillId="0" borderId="15" xfId="0" applyNumberFormat="1" applyFont="1" applyBorder="1" applyAlignment="1">
      <alignment horizontal="center" vertical="center" textRotation="180" wrapText="1"/>
    </xf>
    <xf numFmtId="174" fontId="8" fillId="0" borderId="6" xfId="0" applyNumberFormat="1" applyFont="1" applyBorder="1" applyAlignment="1">
      <alignment horizontal="center" vertical="center"/>
    </xf>
    <xf numFmtId="174" fontId="8" fillId="0" borderId="1" xfId="0" applyNumberFormat="1" applyFont="1" applyBorder="1" applyAlignment="1">
      <alignment horizontal="center" vertical="center"/>
    </xf>
    <xf numFmtId="174" fontId="8" fillId="0" borderId="4" xfId="0" applyNumberFormat="1" applyFont="1" applyBorder="1" applyAlignment="1">
      <alignment horizontal="center" vertical="center"/>
    </xf>
    <xf numFmtId="174" fontId="8" fillId="0" borderId="9" xfId="0" applyNumberFormat="1" applyFont="1" applyBorder="1" applyAlignment="1">
      <alignment horizontal="center" vertical="center"/>
    </xf>
    <xf numFmtId="174" fontId="8" fillId="0" borderId="14" xfId="0" applyNumberFormat="1" applyFont="1" applyBorder="1" applyAlignment="1">
      <alignment horizontal="center" vertical="center"/>
    </xf>
    <xf numFmtId="174" fontId="8" fillId="0" borderId="15" xfId="0" applyNumberFormat="1" applyFont="1" applyBorder="1" applyAlignment="1">
      <alignment horizontal="center" vertical="center"/>
    </xf>
    <xf numFmtId="3" fontId="11" fillId="0" borderId="9"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xf numFmtId="3" fontId="11" fillId="0" borderId="15" xfId="0" applyNumberFormat="1" applyFont="1" applyBorder="1" applyAlignment="1">
      <alignment horizontal="center" vertical="center" wrapText="1"/>
    </xf>
    <xf numFmtId="3" fontId="11" fillId="0" borderId="9" xfId="0" applyNumberFormat="1" applyFont="1" applyBorder="1" applyAlignment="1">
      <alignment horizontal="justify" vertical="center" wrapText="1"/>
    </xf>
    <xf numFmtId="3" fontId="11" fillId="0" borderId="14" xfId="0" applyNumberFormat="1" applyFont="1" applyBorder="1" applyAlignment="1">
      <alignment horizontal="justify" vertical="center" wrapText="1"/>
    </xf>
    <xf numFmtId="3" fontId="11" fillId="0" borderId="15" xfId="0" applyNumberFormat="1" applyFont="1" applyBorder="1" applyAlignment="1">
      <alignment horizontal="justify" vertical="center" wrapText="1"/>
    </xf>
    <xf numFmtId="1" fontId="11" fillId="0" borderId="2" xfId="0" applyNumberFormat="1" applyFont="1" applyBorder="1" applyAlignment="1">
      <alignment horizontal="center" vertical="center" textRotation="180" wrapText="1"/>
    </xf>
    <xf numFmtId="1" fontId="12" fillId="0" borderId="2" xfId="0" applyNumberFormat="1" applyFont="1" applyBorder="1" applyAlignment="1">
      <alignment horizontal="center" vertical="center" textRotation="180" wrapText="1"/>
    </xf>
    <xf numFmtId="0" fontId="8" fillId="7" borderId="6" xfId="8" applyNumberFormat="1" applyFont="1" applyFill="1" applyBorder="1" applyAlignment="1">
      <alignment horizontal="center" vertical="center"/>
    </xf>
    <xf numFmtId="0" fontId="8" fillId="7" borderId="4" xfId="8" applyNumberFormat="1" applyFont="1" applyFill="1" applyBorder="1" applyAlignment="1">
      <alignment horizontal="center" vertical="center"/>
    </xf>
    <xf numFmtId="0" fontId="8" fillId="7" borderId="9" xfId="8" applyNumberFormat="1" applyFont="1" applyFill="1" applyBorder="1" applyAlignment="1">
      <alignment horizontal="center" vertical="center"/>
    </xf>
    <xf numFmtId="0" fontId="8" fillId="7" borderId="15" xfId="8" applyNumberFormat="1" applyFont="1" applyFill="1" applyBorder="1" applyAlignment="1">
      <alignment horizontal="center" vertical="center"/>
    </xf>
    <xf numFmtId="174" fontId="13" fillId="0" borderId="9" xfId="8" applyNumberFormat="1" applyFont="1" applyBorder="1" applyAlignment="1">
      <alignment horizontal="center" vertical="center"/>
    </xf>
    <xf numFmtId="174" fontId="13" fillId="0" borderId="15" xfId="8" applyNumberFormat="1" applyFont="1" applyBorder="1" applyAlignment="1">
      <alignment horizontal="center" vertical="center"/>
    </xf>
    <xf numFmtId="0" fontId="11" fillId="7" borderId="7" xfId="0" applyFont="1" applyFill="1" applyBorder="1" applyAlignment="1">
      <alignment horizontal="center"/>
    </xf>
    <xf numFmtId="0" fontId="11" fillId="7" borderId="3" xfId="0" applyFont="1" applyFill="1" applyBorder="1" applyAlignment="1">
      <alignment horizontal="center"/>
    </xf>
    <xf numFmtId="0" fontId="11" fillId="7" borderId="4" xfId="0" applyFont="1" applyFill="1" applyBorder="1" applyAlignment="1">
      <alignment horizontal="center"/>
    </xf>
    <xf numFmtId="0" fontId="11" fillId="0" borderId="2" xfId="0" applyFont="1" applyBorder="1" applyAlignment="1">
      <alignment horizontal="center"/>
    </xf>
    <xf numFmtId="43" fontId="11" fillId="0" borderId="2" xfId="6" applyFont="1" applyBorder="1" applyAlignment="1">
      <alignment vertical="center"/>
    </xf>
    <xf numFmtId="167" fontId="11" fillId="0" borderId="2" xfId="0" applyNumberFormat="1" applyFont="1" applyBorder="1" applyAlignment="1">
      <alignment horizontal="center" vertical="center"/>
    </xf>
    <xf numFmtId="0" fontId="11" fillId="0" borderId="18" xfId="0" applyFont="1" applyBorder="1" applyAlignment="1">
      <alignment horizontal="center" vertical="center" wrapText="1"/>
    </xf>
    <xf numFmtId="0" fontId="11" fillId="7" borderId="2" xfId="0" applyFont="1" applyFill="1" applyBorder="1" applyAlignment="1">
      <alignment horizontal="center"/>
    </xf>
    <xf numFmtId="0" fontId="11" fillId="7" borderId="2" xfId="0" applyFont="1" applyFill="1" applyBorder="1" applyAlignment="1">
      <alignment horizontal="center" vertical="center"/>
    </xf>
    <xf numFmtId="174" fontId="13" fillId="0" borderId="2" xfId="8" applyNumberFormat="1" applyFont="1" applyBorder="1" applyAlignment="1">
      <alignment horizontal="center" vertical="center"/>
    </xf>
    <xf numFmtId="174" fontId="8" fillId="0" borderId="2" xfId="0" applyNumberFormat="1" applyFont="1" applyBorder="1" applyAlignment="1">
      <alignment horizontal="center" vertical="center"/>
    </xf>
    <xf numFmtId="174" fontId="8" fillId="0" borderId="12" xfId="0" applyNumberFormat="1" applyFont="1" applyBorder="1" applyAlignment="1">
      <alignment horizontal="center" vertical="center"/>
    </xf>
    <xf numFmtId="43" fontId="11" fillId="7" borderId="2" xfId="6" applyFont="1" applyFill="1" applyBorder="1" applyAlignment="1">
      <alignment vertical="center"/>
    </xf>
    <xf numFmtId="170" fontId="11" fillId="0" borderId="12" xfId="0" applyNumberFormat="1" applyFont="1" applyBorder="1" applyAlignment="1">
      <alignment horizontal="center" vertical="center"/>
    </xf>
    <xf numFmtId="170" fontId="11" fillId="0" borderId="2" xfId="0" applyNumberFormat="1" applyFont="1" applyBorder="1" applyAlignment="1">
      <alignment horizontal="center" vertical="center"/>
    </xf>
    <xf numFmtId="10" fontId="11" fillId="7" borderId="2" xfId="5" applyNumberFormat="1" applyFont="1" applyFill="1" applyBorder="1" applyAlignment="1">
      <alignment horizontal="center" vertical="center"/>
    </xf>
    <xf numFmtId="10" fontId="11" fillId="7" borderId="9" xfId="5" applyNumberFormat="1" applyFont="1" applyFill="1" applyBorder="1" applyAlignment="1">
      <alignment horizontal="center" vertical="center"/>
    </xf>
    <xf numFmtId="10" fontId="11" fillId="7" borderId="15" xfId="5" applyNumberFormat="1" applyFont="1" applyFill="1" applyBorder="1" applyAlignment="1">
      <alignment horizontal="center" vertical="center"/>
    </xf>
    <xf numFmtId="3" fontId="8" fillId="0" borderId="2" xfId="0" applyNumberFormat="1" applyFont="1" applyBorder="1" applyAlignment="1">
      <alignment horizontal="center" vertical="center"/>
    </xf>
    <xf numFmtId="0" fontId="8" fillId="7" borderId="6"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4" xfId="0" applyFont="1" applyFill="1" applyBorder="1" applyAlignment="1">
      <alignment horizontal="center" vertical="center"/>
    </xf>
    <xf numFmtId="3" fontId="11" fillId="0" borderId="18" xfId="0" applyNumberFormat="1" applyFont="1" applyBorder="1" applyAlignment="1">
      <alignment horizontal="justify" vertical="center" wrapText="1"/>
    </xf>
    <xf numFmtId="3" fontId="11" fillId="0" borderId="2" xfId="0" applyNumberFormat="1" applyFont="1" applyBorder="1" applyAlignment="1">
      <alignment horizontal="center" vertical="center"/>
    </xf>
    <xf numFmtId="43" fontId="11" fillId="7" borderId="9" xfId="6" applyFont="1" applyFill="1" applyBorder="1" applyAlignment="1">
      <alignment vertical="center"/>
    </xf>
    <xf numFmtId="43" fontId="11" fillId="7" borderId="14" xfId="6" applyFont="1" applyFill="1" applyBorder="1" applyAlignment="1">
      <alignment vertical="center"/>
    </xf>
    <xf numFmtId="43" fontId="11" fillId="7" borderId="15" xfId="6" applyFont="1" applyFill="1" applyBorder="1" applyAlignment="1">
      <alignment vertical="center"/>
    </xf>
    <xf numFmtId="1" fontId="11" fillId="7" borderId="2" xfId="0" applyNumberFormat="1" applyFont="1" applyFill="1" applyBorder="1" applyAlignment="1">
      <alignment horizontal="center" vertical="center" wrapText="1"/>
    </xf>
    <xf numFmtId="1" fontId="11" fillId="7" borderId="9" xfId="0" applyNumberFormat="1" applyFont="1" applyFill="1" applyBorder="1" applyAlignment="1">
      <alignment horizontal="justify" vertical="center" wrapText="1"/>
    </xf>
    <xf numFmtId="1" fontId="11" fillId="7" borderId="14" xfId="0" applyNumberFormat="1" applyFont="1" applyFill="1" applyBorder="1" applyAlignment="1">
      <alignment horizontal="justify" vertical="center" wrapText="1"/>
    </xf>
    <xf numFmtId="1" fontId="11" fillId="7" borderId="15" xfId="0" applyNumberFormat="1" applyFont="1" applyFill="1" applyBorder="1" applyAlignment="1">
      <alignment horizontal="justify" vertical="center" wrapText="1"/>
    </xf>
    <xf numFmtId="3" fontId="11" fillId="0" borderId="9" xfId="0" applyNumberFormat="1" applyFont="1" applyBorder="1" applyAlignment="1">
      <alignment horizontal="center" vertical="center"/>
    </xf>
    <xf numFmtId="3" fontId="11" fillId="0" borderId="15" xfId="0" applyNumberFormat="1" applyFont="1" applyBorder="1" applyAlignment="1">
      <alignment horizontal="center" vertical="center"/>
    </xf>
    <xf numFmtId="3" fontId="11" fillId="7" borderId="9" xfId="0" applyNumberFormat="1" applyFont="1" applyFill="1" applyBorder="1" applyAlignment="1">
      <alignment horizontal="center" vertical="center"/>
    </xf>
    <xf numFmtId="3" fontId="11" fillId="7" borderId="15" xfId="0" applyNumberFormat="1" applyFont="1" applyFill="1" applyBorder="1" applyAlignment="1">
      <alignment horizontal="center" vertical="center"/>
    </xf>
    <xf numFmtId="0" fontId="11" fillId="0" borderId="16"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7" xfId="0" applyFont="1" applyBorder="1" applyAlignment="1">
      <alignment horizontal="center" vertical="center" wrapText="1"/>
    </xf>
    <xf numFmtId="1" fontId="11" fillId="7" borderId="8" xfId="0" applyNumberFormat="1" applyFont="1" applyFill="1" applyBorder="1" applyAlignment="1">
      <alignment horizontal="center" vertical="center" wrapText="1"/>
    </xf>
    <xf numFmtId="1" fontId="11" fillId="7" borderId="13" xfId="0" applyNumberFormat="1" applyFont="1" applyFill="1" applyBorder="1" applyAlignment="1">
      <alignment horizontal="center" vertical="center" wrapText="1"/>
    </xf>
    <xf numFmtId="43" fontId="11" fillId="7" borderId="2" xfId="6" applyFont="1" applyFill="1" applyBorder="1" applyAlignment="1">
      <alignment horizontal="justify" vertical="center"/>
    </xf>
    <xf numFmtId="43" fontId="11" fillId="7" borderId="9" xfId="6" applyFont="1" applyFill="1" applyBorder="1" applyAlignment="1">
      <alignment horizontal="justify" vertical="center"/>
    </xf>
    <xf numFmtId="1" fontId="11" fillId="7" borderId="41" xfId="0" applyNumberFormat="1" applyFont="1" applyFill="1" applyBorder="1" applyAlignment="1">
      <alignment horizontal="center" vertical="center" wrapText="1"/>
    </xf>
    <xf numFmtId="0" fontId="11" fillId="7" borderId="41" xfId="0" applyFont="1" applyFill="1" applyBorder="1" applyAlignment="1">
      <alignment horizontal="center" vertical="center" wrapText="1"/>
    </xf>
    <xf numFmtId="14" fontId="11" fillId="0" borderId="2" xfId="0" applyNumberFormat="1" applyFont="1" applyBorder="1" applyAlignment="1">
      <alignment horizontal="center" vertical="center" wrapText="1"/>
    </xf>
    <xf numFmtId="167" fontId="11" fillId="0" borderId="9" xfId="0" applyNumberFormat="1" applyFont="1" applyBorder="1" applyAlignment="1">
      <alignment horizontal="center" vertical="center" wrapText="1"/>
    </xf>
    <xf numFmtId="10" fontId="11" fillId="7" borderId="14" xfId="5" applyNumberFormat="1" applyFont="1" applyFill="1" applyBorder="1" applyAlignment="1">
      <alignment horizontal="center" vertical="center"/>
    </xf>
    <xf numFmtId="0" fontId="13" fillId="7" borderId="2" xfId="0" applyFont="1" applyFill="1" applyBorder="1" applyAlignment="1">
      <alignment horizontal="justify" vertical="center" wrapText="1"/>
    </xf>
    <xf numFmtId="0" fontId="16" fillId="7" borderId="2" xfId="0" applyFont="1" applyFill="1" applyBorder="1" applyAlignment="1">
      <alignment horizontal="justify" vertical="center" wrapText="1"/>
    </xf>
    <xf numFmtId="0" fontId="16" fillId="7" borderId="9" xfId="0" applyFont="1" applyFill="1" applyBorder="1" applyAlignment="1">
      <alignment horizontal="justify" vertical="center" wrapText="1"/>
    </xf>
    <xf numFmtId="0" fontId="12" fillId="0" borderId="3" xfId="0" applyFont="1" applyBorder="1" applyAlignment="1">
      <alignment horizontal="center"/>
    </xf>
    <xf numFmtId="0" fontId="8" fillId="0" borderId="9" xfId="0" applyFont="1" applyBorder="1" applyAlignment="1">
      <alignment horizontal="center" vertical="center" wrapText="1"/>
    </xf>
    <xf numFmtId="0" fontId="12" fillId="0" borderId="8" xfId="0" applyFont="1" applyBorder="1" applyAlignment="1">
      <alignment horizontal="center" vertical="center"/>
    </xf>
    <xf numFmtId="3" fontId="12" fillId="8" borderId="2" xfId="0" applyNumberFormat="1"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39" xfId="0" applyFont="1" applyFill="1" applyBorder="1" applyAlignment="1">
      <alignment horizontal="center" vertical="center" wrapText="1"/>
    </xf>
    <xf numFmtId="1" fontId="12" fillId="7" borderId="8" xfId="0" applyNumberFormat="1" applyFont="1" applyFill="1" applyBorder="1" applyAlignment="1">
      <alignment horizontal="center" vertical="top"/>
    </xf>
    <xf numFmtId="1" fontId="12" fillId="7" borderId="13" xfId="0" applyNumberFormat="1" applyFont="1" applyFill="1" applyBorder="1" applyAlignment="1">
      <alignment horizontal="center" vertical="top"/>
    </xf>
    <xf numFmtId="1" fontId="12" fillId="7" borderId="7" xfId="0" applyNumberFormat="1" applyFont="1" applyFill="1" applyBorder="1" applyAlignment="1">
      <alignment horizontal="center" vertical="top"/>
    </xf>
    <xf numFmtId="1" fontId="12" fillId="7" borderId="10" xfId="0" applyNumberFormat="1" applyFont="1" applyFill="1" applyBorder="1" applyAlignment="1">
      <alignment horizontal="center" vertical="center" wrapText="1"/>
    </xf>
    <xf numFmtId="1" fontId="12" fillId="7" borderId="12" xfId="0" applyNumberFormat="1" applyFont="1" applyFill="1" applyBorder="1" applyAlignment="1">
      <alignment horizontal="center" vertical="center"/>
    </xf>
    <xf numFmtId="3" fontId="11" fillId="7" borderId="2" xfId="0" applyNumberFormat="1" applyFont="1" applyFill="1" applyBorder="1" applyAlignment="1">
      <alignment horizontal="center" vertical="center" wrapText="1"/>
    </xf>
    <xf numFmtId="1" fontId="12" fillId="7" borderId="8" xfId="0" applyNumberFormat="1" applyFont="1" applyFill="1" applyBorder="1" applyAlignment="1">
      <alignment horizontal="center" vertical="center"/>
    </xf>
    <xf numFmtId="1" fontId="12" fillId="7" borderId="13" xfId="0" applyNumberFormat="1" applyFont="1" applyFill="1" applyBorder="1" applyAlignment="1">
      <alignment horizontal="center" vertical="center"/>
    </xf>
    <xf numFmtId="1" fontId="12" fillId="7" borderId="37" xfId="0" applyNumberFormat="1" applyFont="1" applyFill="1" applyBorder="1" applyAlignment="1">
      <alignment horizontal="center" vertical="center"/>
    </xf>
    <xf numFmtId="1" fontId="12" fillId="7" borderId="6" xfId="0" applyNumberFormat="1" applyFont="1" applyFill="1" applyBorder="1" applyAlignment="1">
      <alignment horizontal="center" vertical="center"/>
    </xf>
    <xf numFmtId="1" fontId="12" fillId="7" borderId="1" xfId="0" applyNumberFormat="1" applyFont="1" applyFill="1" applyBorder="1" applyAlignment="1">
      <alignment horizontal="center" vertical="center"/>
    </xf>
    <xf numFmtId="1" fontId="12" fillId="7" borderId="40" xfId="0" applyNumberFormat="1" applyFont="1" applyFill="1" applyBorder="1" applyAlignment="1">
      <alignment horizontal="center" vertical="center"/>
    </xf>
    <xf numFmtId="1" fontId="12" fillId="12" borderId="11" xfId="0" applyNumberFormat="1" applyFont="1" applyFill="1" applyBorder="1" applyAlignment="1">
      <alignment horizontal="left" vertical="center" wrapText="1"/>
    </xf>
    <xf numFmtId="1" fontId="12" fillId="12" borderId="2" xfId="0" applyNumberFormat="1" applyFont="1" applyFill="1" applyBorder="1" applyAlignment="1">
      <alignment horizontal="left" vertical="center" wrapText="1"/>
    </xf>
    <xf numFmtId="3" fontId="11" fillId="0" borderId="14" xfId="0" applyNumberFormat="1" applyFont="1" applyBorder="1" applyAlignment="1">
      <alignment horizontal="center" vertical="center"/>
    </xf>
    <xf numFmtId="167" fontId="11" fillId="7" borderId="2" xfId="0" applyNumberFormat="1" applyFont="1" applyFill="1" applyBorder="1" applyAlignment="1">
      <alignment horizontal="center" vertical="center" wrapText="1"/>
    </xf>
    <xf numFmtId="49" fontId="8" fillId="0" borderId="2" xfId="0" applyNumberFormat="1" applyFont="1" applyBorder="1" applyAlignment="1">
      <alignment horizontal="center" vertical="center"/>
    </xf>
    <xf numFmtId="0" fontId="12" fillId="7" borderId="2" xfId="0" applyFont="1" applyFill="1" applyBorder="1" applyAlignment="1">
      <alignment horizontal="center" vertical="center"/>
    </xf>
    <xf numFmtId="0" fontId="12" fillId="7" borderId="9" xfId="0" applyFont="1" applyFill="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174" fontId="8" fillId="7" borderId="2" xfId="0" applyNumberFormat="1" applyFont="1" applyFill="1" applyBorder="1" applyAlignment="1">
      <alignment horizontal="center" vertical="center"/>
    </xf>
    <xf numFmtId="174" fontId="8" fillId="7" borderId="9" xfId="0" applyNumberFormat="1" applyFont="1" applyFill="1" applyBorder="1" applyAlignment="1">
      <alignment horizontal="center" vertical="center"/>
    </xf>
    <xf numFmtId="14" fontId="11" fillId="7" borderId="2" xfId="0" applyNumberFormat="1" applyFont="1" applyFill="1" applyBorder="1" applyAlignment="1">
      <alignment horizontal="center" vertical="center"/>
    </xf>
    <xf numFmtId="0" fontId="11" fillId="7" borderId="9" xfId="0" applyFont="1" applyFill="1" applyBorder="1" applyAlignment="1">
      <alignment horizontal="center" vertical="center"/>
    </xf>
    <xf numFmtId="14" fontId="11" fillId="7" borderId="14" xfId="0" applyNumberFormat="1" applyFont="1" applyFill="1" applyBorder="1" applyAlignment="1">
      <alignment horizontal="center" vertical="center"/>
    </xf>
    <xf numFmtId="49" fontId="8" fillId="7" borderId="2" xfId="0" applyNumberFormat="1" applyFont="1" applyFill="1" applyBorder="1" applyAlignment="1">
      <alignment horizontal="center" vertical="center"/>
    </xf>
    <xf numFmtId="49" fontId="8" fillId="7" borderId="9" xfId="0" applyNumberFormat="1" applyFont="1" applyFill="1" applyBorder="1" applyAlignment="1">
      <alignment horizontal="center" vertical="center"/>
    </xf>
    <xf numFmtId="49" fontId="11" fillId="7" borderId="9" xfId="0" applyNumberFormat="1" applyFont="1" applyFill="1" applyBorder="1" applyAlignment="1">
      <alignment horizontal="center" vertical="center"/>
    </xf>
    <xf numFmtId="49" fontId="11" fillId="7" borderId="14" xfId="0" applyNumberFormat="1" applyFont="1" applyFill="1" applyBorder="1" applyAlignment="1">
      <alignment horizontal="center" vertical="center"/>
    </xf>
    <xf numFmtId="0" fontId="13" fillId="14" borderId="2" xfId="0" applyFont="1" applyFill="1" applyBorder="1" applyAlignment="1">
      <alignment horizontal="justify" vertical="center" wrapText="1"/>
    </xf>
    <xf numFmtId="0" fontId="21" fillId="9" borderId="8" xfId="0" applyFont="1" applyFill="1" applyBorder="1" applyAlignment="1">
      <alignment horizontal="center" vertical="center" textRotation="90" wrapText="1"/>
    </xf>
    <xf numFmtId="0" fontId="21" fillId="9" borderId="7" xfId="0" applyFont="1" applyFill="1" applyBorder="1" applyAlignment="1">
      <alignment horizontal="center" vertical="center" textRotation="90" wrapText="1"/>
    </xf>
    <xf numFmtId="165" fontId="22" fillId="8" borderId="8" xfId="0" applyNumberFormat="1" applyFont="1" applyFill="1" applyBorder="1" applyAlignment="1">
      <alignment horizontal="center" vertical="center" wrapText="1"/>
    </xf>
    <xf numFmtId="165" fontId="22" fillId="8" borderId="7" xfId="0" applyNumberFormat="1" applyFont="1" applyFill="1" applyBorder="1" applyAlignment="1">
      <alignment horizontal="center" vertical="center" wrapText="1"/>
    </xf>
    <xf numFmtId="3" fontId="12" fillId="8" borderId="15" xfId="0" applyNumberFormat="1"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11" fillId="7" borderId="9" xfId="0" applyFont="1" applyFill="1" applyBorder="1" applyAlignment="1">
      <alignment horizontal="left" vertical="center" wrapText="1"/>
    </xf>
    <xf numFmtId="0" fontId="11" fillId="7" borderId="14" xfId="0" applyFont="1" applyFill="1" applyBorder="1" applyAlignment="1">
      <alignment horizontal="left" vertical="center" wrapText="1"/>
    </xf>
    <xf numFmtId="0" fontId="11" fillId="7" borderId="15" xfId="0" applyFont="1" applyFill="1" applyBorder="1" applyAlignment="1">
      <alignment horizontal="left" vertical="center" wrapText="1"/>
    </xf>
    <xf numFmtId="3" fontId="21" fillId="9" borderId="10" xfId="0" applyNumberFormat="1" applyFont="1" applyFill="1" applyBorder="1" applyAlignment="1">
      <alignment horizontal="center" vertical="center" wrapText="1"/>
    </xf>
    <xf numFmtId="3" fontId="21" fillId="9" borderId="11" xfId="0" applyNumberFormat="1" applyFont="1" applyFill="1" applyBorder="1" applyAlignment="1">
      <alignment horizontal="center" vertical="center" wrapText="1"/>
    </xf>
    <xf numFmtId="183" fontId="11" fillId="7" borderId="14" xfId="0" applyNumberFormat="1" applyFont="1" applyFill="1" applyBorder="1" applyAlignment="1">
      <alignment horizontal="center" vertical="center"/>
    </xf>
    <xf numFmtId="183" fontId="11" fillId="7" borderId="15" xfId="0" applyNumberFormat="1" applyFont="1" applyFill="1" applyBorder="1" applyAlignment="1">
      <alignment horizontal="center" vertical="center"/>
    </xf>
    <xf numFmtId="0" fontId="11" fillId="0" borderId="14" xfId="0" applyFont="1" applyBorder="1" applyAlignment="1">
      <alignment horizontal="justify" vertical="center"/>
    </xf>
    <xf numFmtId="0" fontId="11" fillId="0" borderId="15" xfId="0" applyFont="1" applyBorder="1" applyAlignment="1">
      <alignment horizontal="justify" vertical="center"/>
    </xf>
    <xf numFmtId="43" fontId="11" fillId="0" borderId="9" xfId="6" applyFont="1" applyBorder="1" applyAlignment="1">
      <alignment horizontal="center" vertical="center"/>
    </xf>
    <xf numFmtId="43" fontId="11" fillId="0" borderId="14" xfId="6" applyFont="1" applyBorder="1" applyAlignment="1">
      <alignment horizontal="center" vertical="center"/>
    </xf>
    <xf numFmtId="43" fontId="11" fillId="0" borderId="15" xfId="6" applyFont="1" applyBorder="1" applyAlignment="1">
      <alignment horizontal="center" vertical="center"/>
    </xf>
    <xf numFmtId="43" fontId="11" fillId="0" borderId="15" xfId="6" applyFont="1" applyFill="1" applyBorder="1" applyAlignment="1">
      <alignment horizontal="center" vertical="center"/>
    </xf>
    <xf numFmtId="183" fontId="11" fillId="7" borderId="9" xfId="0" applyNumberFormat="1" applyFont="1" applyFill="1" applyBorder="1" applyAlignment="1">
      <alignment horizontal="center" vertical="center"/>
    </xf>
    <xf numFmtId="0" fontId="11" fillId="0" borderId="9" xfId="0" applyFont="1" applyBorder="1" applyAlignment="1">
      <alignment horizontal="left" vertical="center" wrapText="1"/>
    </xf>
    <xf numFmtId="0" fontId="11" fillId="0" borderId="15" xfId="0" applyFont="1" applyBorder="1" applyAlignment="1">
      <alignment horizontal="left" vertical="center" wrapText="1"/>
    </xf>
    <xf numFmtId="183" fontId="11" fillId="7" borderId="9" xfId="0" applyNumberFormat="1" applyFont="1" applyFill="1" applyBorder="1" applyAlignment="1">
      <alignment horizontal="center" vertical="center" wrapText="1"/>
    </xf>
    <xf numFmtId="183" fontId="11" fillId="7" borderId="15" xfId="0" applyNumberFormat="1" applyFont="1" applyFill="1" applyBorder="1" applyAlignment="1">
      <alignment horizontal="center" vertical="center" wrapText="1"/>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11" fillId="7" borderId="14" xfId="0" applyFont="1" applyFill="1" applyBorder="1" applyAlignment="1">
      <alignment horizontal="center" vertical="center"/>
    </xf>
    <xf numFmtId="2" fontId="11" fillId="7" borderId="9" xfId="5" applyNumberFormat="1" applyFont="1" applyFill="1" applyBorder="1" applyAlignment="1">
      <alignment horizontal="center" vertical="center"/>
    </xf>
    <xf numFmtId="2" fontId="11" fillId="7" borderId="14" xfId="5" applyNumberFormat="1" applyFont="1" applyFill="1" applyBorder="1" applyAlignment="1">
      <alignment horizontal="center" vertical="center"/>
    </xf>
    <xf numFmtId="1" fontId="11" fillId="7" borderId="7"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10" fontId="11" fillId="0" borderId="9" xfId="5" applyNumberFormat="1" applyFont="1" applyBorder="1" applyAlignment="1">
      <alignment horizontal="center" vertical="center"/>
    </xf>
    <xf numFmtId="10" fontId="11" fillId="0" borderId="15" xfId="5" applyNumberFormat="1" applyFont="1" applyBorder="1" applyAlignment="1">
      <alignment horizontal="center" vertical="center"/>
    </xf>
    <xf numFmtId="10" fontId="11" fillId="0" borderId="14" xfId="5" applyNumberFormat="1" applyFont="1" applyBorder="1" applyAlignment="1">
      <alignment horizontal="center" vertical="center"/>
    </xf>
    <xf numFmtId="10" fontId="8" fillId="0" borderId="9" xfId="5" applyNumberFormat="1" applyFont="1" applyBorder="1" applyAlignment="1">
      <alignment horizontal="center" vertical="center"/>
    </xf>
    <xf numFmtId="10" fontId="8" fillId="0" borderId="15" xfId="5" applyNumberFormat="1" applyFont="1" applyBorder="1" applyAlignment="1">
      <alignment horizontal="center" vertical="center"/>
    </xf>
    <xf numFmtId="1" fontId="11" fillId="7" borderId="14" xfId="0" applyNumberFormat="1" applyFont="1" applyFill="1" applyBorder="1" applyAlignment="1">
      <alignment horizontal="center" vertical="center"/>
    </xf>
    <xf numFmtId="1" fontId="14" fillId="0" borderId="14" xfId="0" applyNumberFormat="1" applyFont="1" applyBorder="1" applyAlignment="1">
      <alignment horizontal="center" vertical="center"/>
    </xf>
    <xf numFmtId="0" fontId="11" fillId="0" borderId="0" xfId="0" applyFont="1" applyAlignment="1">
      <alignment horizontal="center" vertical="center" wrapText="1"/>
    </xf>
    <xf numFmtId="0" fontId="11" fillId="0" borderId="1" xfId="0" applyFont="1" applyBorder="1" applyAlignment="1">
      <alignment horizontal="center" vertical="center" wrapText="1"/>
    </xf>
    <xf numFmtId="10" fontId="14" fillId="0" borderId="9" xfId="0" applyNumberFormat="1" applyFont="1" applyBorder="1" applyAlignment="1">
      <alignment horizontal="center" vertical="center"/>
    </xf>
    <xf numFmtId="10" fontId="14" fillId="0" borderId="15" xfId="0" applyNumberFormat="1" applyFont="1" applyBorder="1" applyAlignment="1">
      <alignment horizontal="center" vertical="center"/>
    </xf>
    <xf numFmtId="43" fontId="11" fillId="0" borderId="9" xfId="6" applyFont="1" applyFill="1" applyBorder="1" applyAlignment="1">
      <alignment horizontal="center" vertical="center" wrapText="1"/>
    </xf>
    <xf numFmtId="43" fontId="11" fillId="0" borderId="15" xfId="6" applyFont="1" applyFill="1" applyBorder="1" applyAlignment="1">
      <alignment horizontal="center" vertical="center" wrapText="1"/>
    </xf>
    <xf numFmtId="0" fontId="14" fillId="0" borderId="14" xfId="0" applyFont="1" applyBorder="1" applyAlignment="1">
      <alignment horizontal="center" vertical="center"/>
    </xf>
    <xf numFmtId="14" fontId="14" fillId="0" borderId="14" xfId="0" applyNumberFormat="1" applyFont="1" applyBorder="1" applyAlignment="1">
      <alignment horizontal="center" vertical="center"/>
    </xf>
    <xf numFmtId="1" fontId="11" fillId="7" borderId="9" xfId="0" applyNumberFormat="1" applyFont="1" applyFill="1" applyBorder="1" applyAlignment="1">
      <alignment horizontal="center" vertical="center"/>
    </xf>
    <xf numFmtId="1" fontId="11" fillId="7" borderId="15" xfId="0" applyNumberFormat="1" applyFont="1" applyFill="1" applyBorder="1" applyAlignment="1">
      <alignment horizontal="center" vertical="center"/>
    </xf>
    <xf numFmtId="0" fontId="11" fillId="7" borderId="6"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4" xfId="0" applyFont="1" applyFill="1" applyBorder="1" applyAlignment="1">
      <alignment horizontal="center" vertical="center"/>
    </xf>
    <xf numFmtId="1" fontId="11" fillId="7" borderId="2" xfId="0" applyNumberFormat="1" applyFont="1" applyFill="1" applyBorder="1" applyAlignment="1">
      <alignment horizontal="center" vertical="center"/>
    </xf>
    <xf numFmtId="1" fontId="14" fillId="0" borderId="2" xfId="0" applyNumberFormat="1" applyFont="1" applyBorder="1" applyAlignment="1">
      <alignment horizontal="center" vertical="center"/>
    </xf>
    <xf numFmtId="0" fontId="14" fillId="0" borderId="2" xfId="0" applyFont="1" applyBorder="1" applyAlignment="1">
      <alignment horizontal="center" vertical="center" wrapText="1"/>
    </xf>
    <xf numFmtId="14" fontId="14" fillId="0" borderId="9" xfId="0" applyNumberFormat="1" applyFont="1" applyBorder="1" applyAlignment="1">
      <alignment horizontal="center" vertical="center" wrapText="1"/>
    </xf>
    <xf numFmtId="14" fontId="14" fillId="0" borderId="14" xfId="0" applyNumberFormat="1"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2" xfId="0" applyFont="1" applyBorder="1" applyAlignment="1">
      <alignment horizontal="center" vertical="center"/>
    </xf>
    <xf numFmtId="43" fontId="11" fillId="0" borderId="10" xfId="6" applyFont="1" applyBorder="1" applyAlignment="1">
      <alignment horizontal="center" vertical="center"/>
    </xf>
    <xf numFmtId="14" fontId="14" fillId="0" borderId="2" xfId="0" applyNumberFormat="1" applyFont="1" applyBorder="1" applyAlignment="1">
      <alignment horizontal="center" vertical="center"/>
    </xf>
    <xf numFmtId="9" fontId="11" fillId="7" borderId="9" xfId="5" applyFont="1" applyFill="1" applyBorder="1" applyAlignment="1">
      <alignment horizontal="center" vertical="center"/>
    </xf>
    <xf numFmtId="9" fontId="11" fillId="7" borderId="15" xfId="5" applyFont="1" applyFill="1" applyBorder="1" applyAlignment="1">
      <alignment horizontal="center" vertical="center"/>
    </xf>
    <xf numFmtId="0" fontId="11" fillId="7" borderId="15" xfId="0" applyFont="1" applyFill="1" applyBorder="1" applyAlignment="1">
      <alignment horizontal="center" vertical="center"/>
    </xf>
    <xf numFmtId="1" fontId="12" fillId="7" borderId="10" xfId="0" applyNumberFormat="1" applyFont="1" applyFill="1" applyBorder="1" applyAlignment="1">
      <alignment horizontal="center" vertical="center"/>
    </xf>
    <xf numFmtId="1" fontId="12" fillId="7" borderId="11" xfId="0" applyNumberFormat="1" applyFont="1" applyFill="1" applyBorder="1" applyAlignment="1">
      <alignment horizontal="center" vertical="center"/>
    </xf>
    <xf numFmtId="14" fontId="8" fillId="0" borderId="9" xfId="0" applyNumberFormat="1" applyFont="1" applyBorder="1" applyAlignment="1">
      <alignment horizontal="center" vertical="center"/>
    </xf>
    <xf numFmtId="14" fontId="8" fillId="0" borderId="14" xfId="0" applyNumberFormat="1" applyFont="1" applyBorder="1" applyAlignment="1">
      <alignment horizontal="center" vertical="center"/>
    </xf>
    <xf numFmtId="0" fontId="4" fillId="0" borderId="14" xfId="0" applyFont="1" applyFill="1" applyBorder="1" applyAlignment="1">
      <alignment horizontal="center" vertical="center" wrapText="1"/>
    </xf>
    <xf numFmtId="0" fontId="16" fillId="0" borderId="9" xfId="0" applyFont="1" applyBorder="1" applyAlignment="1">
      <alignment horizontal="center" vertical="center"/>
    </xf>
    <xf numFmtId="0" fontId="16" fillId="0" borderId="14" xfId="0" applyFont="1" applyBorder="1" applyAlignment="1">
      <alignment horizontal="center" vertical="center"/>
    </xf>
    <xf numFmtId="0" fontId="16" fillId="0" borderId="9" xfId="0" applyFont="1" applyFill="1" applyBorder="1" applyAlignment="1">
      <alignment horizontal="center"/>
    </xf>
    <xf numFmtId="0" fontId="16" fillId="0" borderId="14" xfId="0" applyFont="1" applyFill="1" applyBorder="1" applyAlignment="1">
      <alignment horizontal="center"/>
    </xf>
    <xf numFmtId="0" fontId="11" fillId="0" borderId="41" xfId="0" applyFont="1" applyBorder="1" applyAlignment="1">
      <alignment horizontal="center" vertical="center"/>
    </xf>
    <xf numFmtId="0" fontId="16" fillId="0" borderId="9" xfId="0" applyFont="1" applyBorder="1" applyAlignment="1">
      <alignment horizontal="center"/>
    </xf>
    <xf numFmtId="0" fontId="16" fillId="0" borderId="14" xfId="0" applyFont="1" applyBorder="1" applyAlignment="1">
      <alignment horizontal="center"/>
    </xf>
    <xf numFmtId="0" fontId="4" fillId="0" borderId="14" xfId="0" applyFont="1" applyFill="1" applyBorder="1" applyAlignment="1">
      <alignment horizontal="justify" vertical="center" wrapText="1"/>
    </xf>
    <xf numFmtId="9" fontId="11" fillId="0" borderId="9" xfId="5" applyNumberFormat="1" applyFont="1" applyFill="1" applyBorder="1" applyAlignment="1">
      <alignment horizontal="center" vertical="center"/>
    </xf>
    <xf numFmtId="9" fontId="11" fillId="0" borderId="14" xfId="5" applyNumberFormat="1" applyFont="1" applyFill="1" applyBorder="1" applyAlignment="1">
      <alignment horizontal="center" vertical="center"/>
    </xf>
    <xf numFmtId="9" fontId="11" fillId="0" borderId="15" xfId="5" applyNumberFormat="1" applyFont="1" applyFill="1" applyBorder="1" applyAlignment="1">
      <alignment horizontal="center" vertical="center"/>
    </xf>
    <xf numFmtId="0" fontId="4" fillId="7" borderId="9" xfId="0" applyFont="1" applyFill="1" applyBorder="1" applyAlignment="1">
      <alignment horizontal="justify" vertical="center" wrapText="1"/>
    </xf>
    <xf numFmtId="0" fontId="4" fillId="7" borderId="14" xfId="0" applyFont="1" applyFill="1" applyBorder="1" applyAlignment="1">
      <alignment horizontal="justify" vertical="center" wrapText="1"/>
    </xf>
    <xf numFmtId="0" fontId="4" fillId="7" borderId="15" xfId="0" applyFont="1" applyFill="1" applyBorder="1" applyAlignment="1">
      <alignment horizontal="justify"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8" fillId="0" borderId="0" xfId="0" applyNumberFormat="1" applyFont="1" applyAlignment="1">
      <alignment horizontal="left" wrapText="1"/>
    </xf>
    <xf numFmtId="0" fontId="12" fillId="0" borderId="0" xfId="0" applyNumberFormat="1" applyFont="1" applyAlignment="1">
      <alignment horizontal="justify" wrapText="1"/>
    </xf>
    <xf numFmtId="0" fontId="11" fillId="0" borderId="13"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horizontal="justify" vertical="center" wrapText="1"/>
    </xf>
    <xf numFmtId="1" fontId="4" fillId="0" borderId="8"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1" fontId="4" fillId="0" borderId="7"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3" fontId="11" fillId="0" borderId="9" xfId="0" applyNumberFormat="1" applyFont="1" applyFill="1" applyBorder="1" applyAlignment="1">
      <alignment horizontal="center" vertical="center"/>
    </xf>
    <xf numFmtId="3" fontId="11" fillId="0" borderId="14" xfId="0" applyNumberFormat="1" applyFont="1" applyFill="1" applyBorder="1" applyAlignment="1">
      <alignment horizontal="center" vertical="center"/>
    </xf>
    <xf numFmtId="3" fontId="11" fillId="0" borderId="15" xfId="0" applyNumberFormat="1" applyFont="1" applyFill="1" applyBorder="1" applyAlignment="1">
      <alignment horizontal="center" vertical="center"/>
    </xf>
    <xf numFmtId="174" fontId="11" fillId="0" borderId="9" xfId="0" applyNumberFormat="1" applyFont="1" applyFill="1" applyBorder="1" applyAlignment="1">
      <alignment horizontal="center" vertical="center"/>
    </xf>
    <xf numFmtId="174" fontId="11" fillId="0" borderId="14" xfId="0" applyNumberFormat="1" applyFont="1" applyFill="1" applyBorder="1" applyAlignment="1">
      <alignment horizontal="center" vertical="center"/>
    </xf>
    <xf numFmtId="174" fontId="11" fillId="0" borderId="15" xfId="0" applyNumberFormat="1" applyFont="1" applyFill="1" applyBorder="1" applyAlignment="1">
      <alignment horizontal="center" vertical="center"/>
    </xf>
    <xf numFmtId="14" fontId="11" fillId="0" borderId="2" xfId="0" applyNumberFormat="1" applyFont="1" applyBorder="1" applyAlignment="1">
      <alignment horizontal="center" vertical="center"/>
    </xf>
    <xf numFmtId="3" fontId="8" fillId="0" borderId="9" xfId="0" applyNumberFormat="1" applyFont="1" applyFill="1" applyBorder="1" applyAlignment="1">
      <alignment horizontal="center" vertical="center"/>
    </xf>
    <xf numFmtId="3" fontId="8" fillId="0" borderId="14" xfId="0" applyNumberFormat="1" applyFont="1" applyFill="1" applyBorder="1" applyAlignment="1">
      <alignment horizontal="center" vertical="center"/>
    </xf>
    <xf numFmtId="3" fontId="8" fillId="0" borderId="15" xfId="0" applyNumberFormat="1" applyFont="1" applyFill="1" applyBorder="1" applyAlignment="1">
      <alignment horizontal="center" vertical="center"/>
    </xf>
    <xf numFmtId="174" fontId="8" fillId="0" borderId="9" xfId="8" applyNumberFormat="1" applyFont="1" applyFill="1" applyBorder="1" applyAlignment="1">
      <alignment horizontal="center" vertical="center"/>
    </xf>
    <xf numFmtId="174" fontId="8" fillId="0" borderId="14" xfId="8" applyNumberFormat="1" applyFont="1" applyFill="1" applyBorder="1" applyAlignment="1">
      <alignment horizontal="center" vertical="center"/>
    </xf>
    <xf numFmtId="174" fontId="8" fillId="0" borderId="15" xfId="8" applyNumberFormat="1" applyFont="1" applyFill="1" applyBorder="1" applyAlignment="1">
      <alignment horizontal="center" vertical="center"/>
    </xf>
    <xf numFmtId="174" fontId="11" fillId="7" borderId="9" xfId="8" applyNumberFormat="1" applyFont="1" applyFill="1" applyBorder="1" applyAlignment="1">
      <alignment horizontal="center" vertical="center"/>
    </xf>
    <xf numFmtId="174" fontId="11" fillId="7" borderId="14" xfId="8" applyNumberFormat="1" applyFont="1" applyFill="1" applyBorder="1" applyAlignment="1">
      <alignment horizontal="center" vertical="center"/>
    </xf>
    <xf numFmtId="174" fontId="11" fillId="7" borderId="15" xfId="8" applyNumberFormat="1"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177" fontId="11" fillId="7" borderId="14" xfId="0" applyNumberFormat="1" applyFont="1" applyFill="1" applyBorder="1" applyAlignment="1">
      <alignment horizontal="center" vertical="center" wrapText="1"/>
    </xf>
    <xf numFmtId="177" fontId="11" fillId="7" borderId="15" xfId="0" applyNumberFormat="1" applyFont="1" applyFill="1" applyBorder="1" applyAlignment="1">
      <alignment horizontal="center" vertical="center" wrapText="1"/>
    </xf>
    <xf numFmtId="177" fontId="11" fillId="7" borderId="9" xfId="0" applyNumberFormat="1" applyFont="1" applyFill="1" applyBorder="1" applyAlignment="1">
      <alignment horizontal="center" vertical="center" wrapText="1"/>
    </xf>
    <xf numFmtId="0" fontId="11" fillId="0" borderId="9" xfId="0" applyFont="1" applyBorder="1" applyAlignment="1">
      <alignment horizontal="center"/>
    </xf>
    <xf numFmtId="0" fontId="11" fillId="0" borderId="14" xfId="0" applyFont="1" applyBorder="1" applyAlignment="1">
      <alignment horizontal="center"/>
    </xf>
    <xf numFmtId="0" fontId="4" fillId="7" borderId="9" xfId="0" applyFont="1" applyFill="1" applyBorder="1" applyAlignment="1">
      <alignment horizontal="center" vertical="center" wrapText="1"/>
    </xf>
    <xf numFmtId="0" fontId="4" fillId="7" borderId="14" xfId="0" applyFont="1" applyFill="1" applyBorder="1" applyAlignment="1">
      <alignment horizontal="center" vertical="center" wrapText="1"/>
    </xf>
    <xf numFmtId="14" fontId="11" fillId="0" borderId="9" xfId="0" applyNumberFormat="1" applyFont="1" applyBorder="1" applyAlignment="1">
      <alignment horizontal="center" vertical="center" wrapText="1"/>
    </xf>
    <xf numFmtId="14" fontId="11" fillId="0" borderId="14" xfId="0" applyNumberFormat="1" applyFont="1" applyBorder="1" applyAlignment="1">
      <alignment horizontal="center" vertical="center" wrapText="1"/>
    </xf>
    <xf numFmtId="14" fontId="11" fillId="0" borderId="15" xfId="0" applyNumberFormat="1" applyFont="1" applyBorder="1" applyAlignment="1">
      <alignment horizontal="center" vertical="center" wrapText="1"/>
    </xf>
    <xf numFmtId="1" fontId="11" fillId="7" borderId="2" xfId="9" applyNumberFormat="1" applyFont="1" applyFill="1" applyBorder="1" applyAlignment="1">
      <alignment horizontal="center" vertical="center" wrapText="1"/>
    </xf>
    <xf numFmtId="176" fontId="11" fillId="7" borderId="9" xfId="0" applyNumberFormat="1" applyFont="1" applyFill="1" applyBorder="1" applyAlignment="1">
      <alignment horizontal="center" vertical="center" wrapText="1"/>
    </xf>
    <xf numFmtId="176" fontId="11" fillId="7" borderId="14" xfId="0" applyNumberFormat="1" applyFont="1" applyFill="1" applyBorder="1" applyAlignment="1">
      <alignment horizontal="center" vertical="center" wrapText="1"/>
    </xf>
    <xf numFmtId="176" fontId="11" fillId="7" borderId="15"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9" xfId="10" applyNumberFormat="1" applyFont="1" applyFill="1" applyBorder="1" applyAlignment="1">
      <alignment horizontal="justify" vertical="center" wrapText="1"/>
    </xf>
    <xf numFmtId="0" fontId="8" fillId="0" borderId="14" xfId="10" applyNumberFormat="1" applyFont="1" applyFill="1" applyBorder="1" applyAlignment="1">
      <alignment horizontal="justify" vertical="center" wrapText="1"/>
    </xf>
    <xf numFmtId="0" fontId="8" fillId="0" borderId="15" xfId="10" applyNumberFormat="1" applyFont="1" applyFill="1" applyBorder="1" applyAlignment="1">
      <alignment horizontal="justify" vertical="center" wrapText="1"/>
    </xf>
    <xf numFmtId="0" fontId="8" fillId="0" borderId="2" xfId="10" applyNumberFormat="1" applyFont="1" applyFill="1" applyBorder="1" applyAlignment="1">
      <alignment horizontal="justify" vertical="center" wrapText="1"/>
    </xf>
    <xf numFmtId="43" fontId="11" fillId="7" borderId="15" xfId="6" applyFont="1" applyFill="1" applyBorder="1" applyAlignment="1">
      <alignment horizontal="center" vertical="center"/>
    </xf>
    <xf numFmtId="0" fontId="4" fillId="7" borderId="2" xfId="0" applyFont="1" applyFill="1" applyBorder="1" applyAlignment="1">
      <alignment horizontal="justify" vertical="center" wrapText="1"/>
    </xf>
    <xf numFmtId="174" fontId="11" fillId="0" borderId="14" xfId="8" applyNumberFormat="1" applyFont="1" applyFill="1" applyBorder="1" applyAlignment="1">
      <alignment vertical="center"/>
    </xf>
    <xf numFmtId="174" fontId="11" fillId="0" borderId="15" xfId="8" applyNumberFormat="1" applyFont="1" applyFill="1" applyBorder="1" applyAlignment="1">
      <alignment vertical="center"/>
    </xf>
    <xf numFmtId="174" fontId="12" fillId="0" borderId="9" xfId="8" applyNumberFormat="1" applyFont="1" applyFill="1" applyBorder="1" applyAlignment="1">
      <alignment horizontal="center" vertical="center"/>
    </xf>
    <xf numFmtId="174" fontId="12" fillId="0" borderId="15" xfId="8" applyNumberFormat="1" applyFont="1" applyFill="1" applyBorder="1" applyAlignment="1">
      <alignment horizontal="center" vertical="center"/>
    </xf>
    <xf numFmtId="3" fontId="12" fillId="0" borderId="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174" fontId="11" fillId="0" borderId="9" xfId="8" applyNumberFormat="1" applyFont="1" applyFill="1" applyBorder="1" applyAlignment="1">
      <alignment horizontal="center" vertical="center"/>
    </xf>
    <xf numFmtId="174" fontId="11" fillId="0" borderId="15" xfId="8" applyNumberFormat="1" applyFont="1" applyFill="1" applyBorder="1" applyAlignment="1">
      <alignment horizontal="center" vertical="center"/>
    </xf>
    <xf numFmtId="0" fontId="4" fillId="0" borderId="12" xfId="0" applyFont="1" applyFill="1" applyBorder="1" applyAlignment="1">
      <alignment horizontal="center" vertical="center" wrapText="1"/>
    </xf>
    <xf numFmtId="1" fontId="11" fillId="7" borderId="2" xfId="14" applyNumberFormat="1" applyFont="1" applyFill="1" applyBorder="1" applyAlignment="1">
      <alignment horizontal="center" vertical="center" wrapText="1"/>
    </xf>
    <xf numFmtId="43" fontId="8" fillId="0" borderId="15" xfId="6" applyFont="1" applyFill="1" applyBorder="1" applyAlignment="1">
      <alignment horizontal="center" vertical="center"/>
    </xf>
    <xf numFmtId="43" fontId="8" fillId="0" borderId="2" xfId="6" applyFont="1" applyFill="1" applyBorder="1" applyAlignment="1">
      <alignment horizontal="center" vertical="center"/>
    </xf>
    <xf numFmtId="0" fontId="4" fillId="7" borderId="15" xfId="0" applyFont="1" applyFill="1" applyBorder="1" applyAlignment="1">
      <alignment horizontal="center" vertical="center" wrapText="1"/>
    </xf>
    <xf numFmtId="49" fontId="11" fillId="0" borderId="6" xfId="0" applyNumberFormat="1" applyFont="1" applyBorder="1" applyAlignment="1">
      <alignment horizontal="center"/>
    </xf>
    <xf numFmtId="14" fontId="11" fillId="0" borderId="8" xfId="0" applyNumberFormat="1" applyFont="1" applyBorder="1" applyAlignment="1">
      <alignment horizontal="center" vertical="center"/>
    </xf>
    <xf numFmtId="14" fontId="11" fillId="0" borderId="13" xfId="0" applyNumberFormat="1" applyFont="1" applyBorder="1" applyAlignment="1">
      <alignment horizontal="center" vertical="center"/>
    </xf>
    <xf numFmtId="177" fontId="11" fillId="7" borderId="2" xfId="12" applyNumberFormat="1" applyFont="1" applyFill="1" applyBorder="1" applyAlignment="1">
      <alignment horizontal="center" vertical="center"/>
    </xf>
    <xf numFmtId="177" fontId="11" fillId="7" borderId="9" xfId="12" applyNumberFormat="1" applyFont="1" applyFill="1" applyBorder="1" applyAlignment="1">
      <alignment horizontal="center" vertical="center"/>
    </xf>
    <xf numFmtId="43" fontId="11" fillId="7" borderId="9" xfId="6" applyFont="1" applyFill="1" applyBorder="1" applyAlignment="1">
      <alignment horizontal="center" vertical="center"/>
    </xf>
    <xf numFmtId="43" fontId="8" fillId="7" borderId="9" xfId="11" applyFont="1" applyFill="1" applyBorder="1" applyAlignment="1">
      <alignment horizontal="justify" vertical="center" wrapText="1"/>
    </xf>
    <xf numFmtId="43" fontId="8" fillId="7" borderId="14" xfId="11" applyFont="1" applyFill="1" applyBorder="1" applyAlignment="1">
      <alignment horizontal="justify" vertical="center" wrapText="1"/>
    </xf>
    <xf numFmtId="0" fontId="11" fillId="7" borderId="9" xfId="0" applyNumberFormat="1" applyFont="1" applyFill="1" applyBorder="1" applyAlignment="1">
      <alignment horizontal="center" vertical="center" wrapText="1"/>
    </xf>
    <xf numFmtId="0" fontId="11" fillId="7" borderId="14" xfId="0" applyNumberFormat="1"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10" fontId="11" fillId="0" borderId="9" xfId="5" applyNumberFormat="1" applyFont="1" applyFill="1" applyBorder="1" applyAlignment="1">
      <alignment horizontal="center" vertical="center"/>
    </xf>
    <xf numFmtId="10" fontId="11" fillId="0" borderId="14" xfId="5" applyNumberFormat="1" applyFont="1" applyFill="1" applyBorder="1" applyAlignment="1">
      <alignment horizontal="center" vertical="center"/>
    </xf>
    <xf numFmtId="10" fontId="11" fillId="0" borderId="15" xfId="5" applyNumberFormat="1" applyFont="1" applyFill="1" applyBorder="1" applyAlignment="1">
      <alignment horizontal="center" vertical="center"/>
    </xf>
    <xf numFmtId="49" fontId="8" fillId="7" borderId="9" xfId="10" applyNumberFormat="1" applyFont="1" applyFill="1" applyBorder="1" applyAlignment="1">
      <alignment horizontal="center" vertical="center" wrapText="1"/>
    </xf>
    <xf numFmtId="49" fontId="8" fillId="7" borderId="14" xfId="10" applyNumberFormat="1" applyFont="1" applyFill="1" applyBorder="1" applyAlignment="1">
      <alignment horizontal="center" vertical="center" wrapText="1"/>
    </xf>
    <xf numFmtId="49" fontId="8" fillId="7" borderId="15" xfId="10" applyNumberFormat="1" applyFont="1" applyFill="1" applyBorder="1" applyAlignment="1">
      <alignment horizontal="center" vertical="center" wrapText="1"/>
    </xf>
    <xf numFmtId="0" fontId="11" fillId="7" borderId="9" xfId="0" applyNumberFormat="1" applyFont="1" applyFill="1" applyBorder="1" applyAlignment="1">
      <alignment horizontal="center" vertical="center"/>
    </xf>
    <xf numFmtId="0" fontId="11" fillId="7" borderId="14" xfId="0" applyNumberFormat="1" applyFont="1" applyFill="1" applyBorder="1" applyAlignment="1">
      <alignment horizontal="center" vertical="center"/>
    </xf>
    <xf numFmtId="0" fontId="11" fillId="7" borderId="15" xfId="0" applyNumberFormat="1" applyFont="1" applyFill="1" applyBorder="1" applyAlignment="1">
      <alignment horizontal="center" vertical="center"/>
    </xf>
    <xf numFmtId="0" fontId="11" fillId="0" borderId="6"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4" xfId="0" applyFont="1" applyFill="1" applyBorder="1" applyAlignment="1">
      <alignment horizontal="justify" vertical="center" wrapText="1"/>
    </xf>
    <xf numFmtId="174" fontId="11" fillId="7" borderId="2" xfId="8" applyNumberFormat="1" applyFont="1" applyFill="1" applyBorder="1" applyAlignment="1">
      <alignment horizontal="center" vertical="center"/>
    </xf>
    <xf numFmtId="0" fontId="4" fillId="7" borderId="10"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177" fontId="11" fillId="0" borderId="9" xfId="0" applyNumberFormat="1" applyFont="1" applyBorder="1" applyAlignment="1">
      <alignment horizontal="center" vertical="center" wrapText="1"/>
    </xf>
    <xf numFmtId="177" fontId="11" fillId="0" borderId="14" xfId="0" applyNumberFormat="1" applyFont="1" applyBorder="1" applyAlignment="1">
      <alignment horizontal="center" vertical="center" wrapText="1"/>
    </xf>
    <xf numFmtId="177" fontId="11" fillId="0" borderId="15" xfId="0" applyNumberFormat="1" applyFont="1" applyBorder="1" applyAlignment="1">
      <alignment horizontal="center" vertical="center" wrapText="1"/>
    </xf>
    <xf numFmtId="0" fontId="4" fillId="7" borderId="5" xfId="0" applyFont="1" applyFill="1" applyBorder="1" applyAlignment="1">
      <alignment horizontal="justify" vertical="center" wrapText="1"/>
    </xf>
    <xf numFmtId="0" fontId="4" fillId="7" borderId="0" xfId="0" applyFont="1" applyFill="1" applyBorder="1" applyAlignment="1">
      <alignment horizontal="justify" vertical="center" wrapText="1"/>
    </xf>
    <xf numFmtId="0" fontId="4" fillId="7" borderId="3" xfId="0" applyFont="1" applyFill="1" applyBorder="1" applyAlignment="1">
      <alignment horizontal="justify" vertical="center" wrapText="1"/>
    </xf>
    <xf numFmtId="178" fontId="11" fillId="0" borderId="14" xfId="0" applyNumberFormat="1" applyFont="1" applyBorder="1" applyAlignment="1">
      <alignment horizontal="center" vertical="center"/>
    </xf>
    <xf numFmtId="1" fontId="8" fillId="7" borderId="15" xfId="9" applyNumberFormat="1" applyFont="1" applyFill="1" applyBorder="1" applyAlignment="1">
      <alignment horizontal="center" vertical="center" wrapText="1"/>
    </xf>
    <xf numFmtId="1" fontId="8" fillId="7" borderId="9" xfId="9" applyNumberFormat="1" applyFont="1" applyFill="1" applyBorder="1" applyAlignment="1">
      <alignment horizontal="center" vertical="center" wrapText="1"/>
    </xf>
    <xf numFmtId="14" fontId="11" fillId="0" borderId="2" xfId="0" applyNumberFormat="1" applyFont="1" applyFill="1" applyBorder="1" applyAlignment="1">
      <alignment horizontal="center" vertical="center"/>
    </xf>
    <xf numFmtId="14" fontId="11" fillId="0" borderId="4" xfId="0" applyNumberFormat="1" applyFont="1" applyFill="1" applyBorder="1" applyAlignment="1">
      <alignment horizontal="center" vertical="center"/>
    </xf>
    <xf numFmtId="14" fontId="11" fillId="0" borderId="12" xfId="0" applyNumberFormat="1" applyFont="1" applyFill="1" applyBorder="1" applyAlignment="1">
      <alignment horizontal="center" vertical="center"/>
    </xf>
    <xf numFmtId="0" fontId="11" fillId="7" borderId="9" xfId="8" applyNumberFormat="1" applyFont="1" applyFill="1" applyBorder="1" applyAlignment="1">
      <alignment horizontal="center" vertical="center"/>
    </xf>
    <xf numFmtId="0" fontId="11" fillId="7" borderId="14" xfId="8" applyNumberFormat="1" applyFont="1" applyFill="1" applyBorder="1" applyAlignment="1">
      <alignment horizontal="center" vertical="center"/>
    </xf>
    <xf numFmtId="0" fontId="11" fillId="7" borderId="15" xfId="8" applyNumberFormat="1" applyFont="1" applyFill="1" applyBorder="1" applyAlignment="1">
      <alignment horizontal="center" vertical="center"/>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2" fillId="15" borderId="9" xfId="0" applyFont="1" applyFill="1" applyBorder="1" applyAlignment="1">
      <alignment horizontal="center" vertical="center" wrapText="1"/>
    </xf>
    <xf numFmtId="0" fontId="12" fillId="15" borderId="14" xfId="0" applyFont="1" applyFill="1" applyBorder="1" applyAlignment="1">
      <alignment horizontal="center" vertical="center" wrapText="1"/>
    </xf>
    <xf numFmtId="166" fontId="12" fillId="15" borderId="9" xfId="0" applyNumberFormat="1" applyFont="1" applyFill="1" applyBorder="1" applyAlignment="1">
      <alignment horizontal="center" vertical="center" wrapText="1"/>
    </xf>
    <xf numFmtId="166" fontId="12" fillId="15" borderId="14" xfId="0" applyNumberFormat="1" applyFont="1" applyFill="1" applyBorder="1" applyAlignment="1">
      <alignment horizontal="center" vertical="center" wrapText="1"/>
    </xf>
    <xf numFmtId="166" fontId="12" fillId="15" borderId="8" xfId="0" applyNumberFormat="1" applyFont="1" applyFill="1" applyBorder="1" applyAlignment="1">
      <alignment horizontal="center" vertical="center" wrapText="1"/>
    </xf>
    <xf numFmtId="166" fontId="12" fillId="15" borderId="13" xfId="0" applyNumberFormat="1" applyFont="1" applyFill="1" applyBorder="1" applyAlignment="1">
      <alignment horizontal="center" vertical="center" wrapText="1"/>
    </xf>
    <xf numFmtId="0" fontId="12" fillId="15" borderId="8" xfId="0" applyFont="1" applyFill="1" applyBorder="1" applyAlignment="1">
      <alignment horizontal="center" vertical="center" wrapText="1"/>
    </xf>
    <xf numFmtId="0" fontId="12" fillId="15" borderId="13"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xf>
    <xf numFmtId="0" fontId="12" fillId="15" borderId="6" xfId="0" applyFont="1" applyFill="1" applyBorder="1" applyAlignment="1">
      <alignment horizontal="center" vertical="center" wrapText="1"/>
    </xf>
    <xf numFmtId="0" fontId="12" fillId="15" borderId="1" xfId="0" applyFont="1" applyFill="1" applyBorder="1" applyAlignment="1">
      <alignment horizontal="center" vertical="center" wrapText="1"/>
    </xf>
    <xf numFmtId="165" fontId="12" fillId="15" borderId="2" xfId="0" applyNumberFormat="1" applyFont="1" applyFill="1" applyBorder="1" applyAlignment="1">
      <alignment horizontal="center" vertical="center" wrapText="1"/>
    </xf>
    <xf numFmtId="165" fontId="12" fillId="15" borderId="9" xfId="0" applyNumberFormat="1" applyFont="1" applyFill="1" applyBorder="1" applyAlignment="1">
      <alignment horizontal="center" vertical="center" wrapText="1"/>
    </xf>
    <xf numFmtId="165" fontId="12" fillId="15" borderId="8" xfId="0" applyNumberFormat="1" applyFont="1" applyFill="1" applyBorder="1" applyAlignment="1">
      <alignment horizontal="center" vertical="center" wrapText="1"/>
    </xf>
    <xf numFmtId="165" fontId="12" fillId="15" borderId="13" xfId="0" applyNumberFormat="1" applyFont="1" applyFill="1" applyBorder="1" applyAlignment="1">
      <alignment horizontal="center" vertical="center" wrapText="1"/>
    </xf>
    <xf numFmtId="3" fontId="12" fillId="15" borderId="9" xfId="0" applyNumberFormat="1" applyFont="1" applyFill="1" applyBorder="1" applyAlignment="1">
      <alignment horizontal="center" vertical="center" wrapText="1"/>
    </xf>
    <xf numFmtId="3" fontId="12" fillId="15" borderId="14" xfId="0" applyNumberFormat="1" applyFont="1" applyFill="1" applyBorder="1" applyAlignment="1">
      <alignment horizontal="center" vertical="center" wrapText="1"/>
    </xf>
    <xf numFmtId="0" fontId="7" fillId="9" borderId="2" xfId="0" applyFont="1" applyFill="1" applyBorder="1" applyAlignment="1">
      <alignment horizontal="center" vertical="center" wrapText="1"/>
    </xf>
    <xf numFmtId="167" fontId="11" fillId="7" borderId="9" xfId="0" applyNumberFormat="1" applyFont="1" applyFill="1" applyBorder="1" applyAlignment="1">
      <alignment horizontal="center" vertical="center" wrapText="1"/>
    </xf>
    <xf numFmtId="167" fontId="11" fillId="7" borderId="14" xfId="0" applyNumberFormat="1" applyFont="1" applyFill="1" applyBorder="1" applyAlignment="1">
      <alignment horizontal="center" vertical="center" wrapText="1"/>
    </xf>
    <xf numFmtId="3" fontId="11" fillId="7" borderId="16" xfId="0" applyNumberFormat="1" applyFont="1" applyFill="1" applyBorder="1" applyAlignment="1">
      <alignment horizontal="justify" vertical="center" wrapText="1"/>
    </xf>
    <xf numFmtId="3" fontId="8" fillId="7" borderId="41" xfId="0" applyNumberFormat="1" applyFont="1" applyFill="1" applyBorder="1" applyAlignment="1">
      <alignment horizontal="center" vertical="center" wrapText="1"/>
    </xf>
    <xf numFmtId="3" fontId="11" fillId="7" borderId="41" xfId="0" applyNumberFormat="1" applyFont="1" applyFill="1" applyBorder="1" applyAlignment="1">
      <alignment horizontal="center" vertical="center" wrapText="1"/>
    </xf>
    <xf numFmtId="9" fontId="11" fillId="7" borderId="9" xfId="15" applyNumberFormat="1" applyFont="1" applyFill="1" applyBorder="1" applyAlignment="1">
      <alignment horizontal="center" vertical="center" wrapText="1"/>
    </xf>
    <xf numFmtId="41" fontId="11" fillId="7" borderId="14" xfId="15"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1" fillId="7" borderId="31" xfId="0" applyFont="1" applyFill="1" applyBorder="1" applyAlignment="1">
      <alignment horizontal="center" vertical="center" wrapText="1"/>
    </xf>
    <xf numFmtId="1" fontId="12" fillId="11" borderId="2" xfId="0" applyNumberFormat="1" applyFont="1" applyFill="1" applyBorder="1" applyAlignment="1">
      <alignment horizontal="left" vertical="center"/>
    </xf>
    <xf numFmtId="0" fontId="12" fillId="12" borderId="12" xfId="0" applyFont="1" applyFill="1" applyBorder="1" applyAlignment="1">
      <alignment horizontal="left" vertical="center"/>
    </xf>
    <xf numFmtId="0" fontId="12" fillId="12" borderId="2" xfId="0" applyFont="1" applyFill="1" applyBorder="1" applyAlignment="1">
      <alignment horizontal="left" vertical="center"/>
    </xf>
    <xf numFmtId="0" fontId="11" fillId="7" borderId="6" xfId="0" applyFont="1" applyFill="1" applyBorder="1" applyAlignment="1">
      <alignment horizontal="justify" vertical="center" wrapText="1"/>
    </xf>
    <xf numFmtId="0" fontId="11" fillId="7" borderId="1" xfId="0" applyFont="1" applyFill="1" applyBorder="1" applyAlignment="1">
      <alignment horizontal="justify" vertical="center" wrapText="1"/>
    </xf>
    <xf numFmtId="0" fontId="7" fillId="9" borderId="15"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0" xfId="0" applyFont="1" applyFill="1" applyBorder="1" applyAlignment="1">
      <alignment horizontal="center" vertical="center" wrapText="1"/>
    </xf>
    <xf numFmtId="164" fontId="12" fillId="9" borderId="9" xfId="3" applyFont="1" applyFill="1" applyBorder="1" applyAlignment="1">
      <alignment horizontal="center" vertical="center" textRotation="90"/>
    </xf>
    <xf numFmtId="164" fontId="12" fillId="9" borderId="15" xfId="3" applyFont="1" applyFill="1" applyBorder="1" applyAlignment="1">
      <alignment horizontal="center" vertical="center" textRotation="90"/>
    </xf>
    <xf numFmtId="165" fontId="12" fillId="15" borderId="15" xfId="0" applyNumberFormat="1" applyFont="1" applyFill="1" applyBorder="1" applyAlignment="1">
      <alignment horizontal="center" vertical="center" wrapText="1"/>
    </xf>
    <xf numFmtId="165" fontId="12" fillId="15" borderId="7" xfId="0" applyNumberFormat="1" applyFont="1" applyFill="1" applyBorder="1" applyAlignment="1">
      <alignment horizontal="center" vertical="center" wrapText="1"/>
    </xf>
    <xf numFmtId="0" fontId="12" fillId="15" borderId="7" xfId="0" applyFont="1" applyFill="1" applyBorder="1" applyAlignment="1">
      <alignment horizontal="center" vertical="center" wrapText="1"/>
    </xf>
    <xf numFmtId="0" fontId="12" fillId="15" borderId="4" xfId="0" applyFont="1" applyFill="1" applyBorder="1" applyAlignment="1">
      <alignment horizontal="center" vertical="center" wrapText="1"/>
    </xf>
    <xf numFmtId="0" fontId="12" fillId="0" borderId="2" xfId="0" applyFont="1" applyBorder="1" applyAlignment="1">
      <alignment horizontal="center" vertical="center" wrapText="1"/>
    </xf>
    <xf numFmtId="0" fontId="9" fillId="0" borderId="0" xfId="0" applyFont="1" applyBorder="1" applyAlignment="1">
      <alignment horizontal="center" vertical="center" wrapText="1"/>
    </xf>
    <xf numFmtId="0" fontId="12" fillId="0" borderId="36" xfId="0" applyFont="1" applyBorder="1" applyAlignment="1">
      <alignment horizontal="center" vertical="center"/>
    </xf>
    <xf numFmtId="0" fontId="12" fillId="0" borderId="13" xfId="0" applyFont="1" applyBorder="1" applyAlignment="1">
      <alignment horizontal="center" vertical="center"/>
    </xf>
    <xf numFmtId="0" fontId="12" fillId="0" borderId="44" xfId="0" applyFont="1" applyBorder="1" applyAlignment="1">
      <alignment horizontal="center" vertical="center"/>
    </xf>
    <xf numFmtId="0" fontId="12" fillId="8" borderId="43" xfId="0" applyFont="1" applyFill="1" applyBorder="1" applyAlignment="1">
      <alignment horizontal="center" vertical="center" wrapText="1"/>
    </xf>
    <xf numFmtId="0" fontId="11" fillId="0" borderId="29" xfId="19" applyFont="1" applyBorder="1" applyAlignment="1">
      <alignment horizontal="center"/>
    </xf>
    <xf numFmtId="0" fontId="11" fillId="0" borderId="5" xfId="19" applyFont="1" applyBorder="1" applyAlignment="1">
      <alignment horizontal="center"/>
    </xf>
    <xf numFmtId="0" fontId="11" fillId="0" borderId="6" xfId="19" applyFont="1" applyBorder="1" applyAlignment="1">
      <alignment horizontal="center"/>
    </xf>
    <xf numFmtId="0" fontId="11" fillId="7" borderId="9" xfId="19" applyFont="1" applyFill="1" applyBorder="1" applyAlignment="1">
      <alignment horizontal="center" vertical="center" wrapText="1"/>
    </xf>
    <xf numFmtId="0" fontId="11" fillId="7" borderId="14" xfId="19" applyFont="1" applyFill="1" applyBorder="1" applyAlignment="1">
      <alignment horizontal="center" vertical="center" wrapText="1"/>
    </xf>
    <xf numFmtId="0" fontId="11" fillId="7" borderId="15" xfId="19" applyFont="1" applyFill="1" applyBorder="1" applyAlignment="1">
      <alignment horizontal="center" vertical="center" wrapText="1"/>
    </xf>
    <xf numFmtId="0" fontId="11" fillId="7" borderId="9" xfId="19" applyFont="1" applyFill="1" applyBorder="1" applyAlignment="1">
      <alignment horizontal="justify" vertical="center" wrapText="1"/>
    </xf>
    <xf numFmtId="0" fontId="11" fillId="7" borderId="14" xfId="19" applyFont="1" applyFill="1" applyBorder="1" applyAlignment="1">
      <alignment horizontal="justify" vertical="center" wrapText="1"/>
    </xf>
    <xf numFmtId="0" fontId="11" fillId="7" borderId="15" xfId="19" applyFont="1" applyFill="1" applyBorder="1" applyAlignment="1">
      <alignment horizontal="justify" vertical="center" wrapText="1"/>
    </xf>
    <xf numFmtId="0" fontId="22" fillId="8" borderId="8" xfId="0" applyFont="1" applyFill="1" applyBorder="1" applyAlignment="1">
      <alignment horizontal="center" vertical="center" wrapText="1"/>
    </xf>
    <xf numFmtId="0" fontId="22" fillId="8" borderId="13" xfId="0" applyFont="1" applyFill="1" applyBorder="1" applyAlignment="1">
      <alignment horizontal="center" vertical="center" wrapText="1"/>
    </xf>
    <xf numFmtId="0" fontId="22" fillId="8" borderId="7" xfId="0" applyFont="1" applyFill="1" applyBorder="1" applyAlignment="1">
      <alignment horizontal="center" vertical="center" wrapText="1"/>
    </xf>
    <xf numFmtId="0" fontId="11" fillId="7" borderId="9" xfId="6" applyNumberFormat="1" applyFont="1" applyFill="1" applyBorder="1" applyAlignment="1">
      <alignment horizontal="center" vertical="center" wrapText="1"/>
    </xf>
    <xf numFmtId="0" fontId="11" fillId="7" borderId="14" xfId="6" applyNumberFormat="1" applyFont="1" applyFill="1" applyBorder="1" applyAlignment="1">
      <alignment horizontal="center" vertical="center" wrapText="1"/>
    </xf>
    <xf numFmtId="0" fontId="11" fillId="7" borderId="15" xfId="6" applyNumberFormat="1" applyFont="1" applyFill="1" applyBorder="1" applyAlignment="1">
      <alignment horizontal="center" vertical="center" wrapText="1"/>
    </xf>
    <xf numFmtId="0" fontId="11" fillId="0" borderId="9" xfId="6" applyNumberFormat="1" applyFont="1" applyBorder="1" applyAlignment="1">
      <alignment horizontal="center" vertical="center" wrapText="1"/>
    </xf>
    <xf numFmtId="0" fontId="11" fillId="0" borderId="14" xfId="6" applyNumberFormat="1" applyFont="1" applyBorder="1" applyAlignment="1">
      <alignment horizontal="center" vertical="center" wrapText="1"/>
    </xf>
    <xf numFmtId="0" fontId="11" fillId="0" borderId="15" xfId="6" applyNumberFormat="1" applyFont="1" applyBorder="1" applyAlignment="1">
      <alignment horizontal="center" vertical="center" wrapText="1"/>
    </xf>
    <xf numFmtId="0" fontId="11" fillId="7" borderId="9" xfId="19" applyFont="1" applyFill="1" applyBorder="1" applyAlignment="1">
      <alignment horizontal="left" vertical="center" wrapText="1"/>
    </xf>
    <xf numFmtId="0" fontId="11" fillId="7" borderId="14" xfId="19" applyFont="1" applyFill="1" applyBorder="1" applyAlignment="1">
      <alignment horizontal="left" vertical="center" wrapText="1"/>
    </xf>
    <xf numFmtId="0" fontId="11" fillId="7" borderId="15" xfId="19" applyFont="1" applyFill="1" applyBorder="1" applyAlignment="1">
      <alignment horizontal="left" vertical="center" wrapText="1"/>
    </xf>
    <xf numFmtId="165" fontId="11" fillId="7" borderId="9" xfId="19" applyNumberFormat="1" applyFont="1" applyFill="1" applyBorder="1" applyAlignment="1">
      <alignment horizontal="center" vertical="center" wrapText="1"/>
    </xf>
    <xf numFmtId="165" fontId="11" fillId="7" borderId="14" xfId="19" applyNumberFormat="1" applyFont="1" applyFill="1" applyBorder="1" applyAlignment="1">
      <alignment horizontal="center" vertical="center" wrapText="1"/>
    </xf>
    <xf numFmtId="165" fontId="11" fillId="7" borderId="15" xfId="19" applyNumberFormat="1" applyFont="1" applyFill="1" applyBorder="1" applyAlignment="1">
      <alignment horizontal="center" vertical="center" wrapText="1"/>
    </xf>
    <xf numFmtId="3" fontId="11" fillId="7" borderId="16" xfId="19" applyNumberFormat="1" applyFont="1" applyFill="1" applyBorder="1" applyAlignment="1">
      <alignment horizontal="center" vertical="center" wrapText="1"/>
    </xf>
    <xf numFmtId="3" fontId="11" fillId="7" borderId="33" xfId="19" applyNumberFormat="1" applyFont="1" applyFill="1" applyBorder="1" applyAlignment="1">
      <alignment horizontal="center" vertical="center" wrapText="1"/>
    </xf>
    <xf numFmtId="3" fontId="11" fillId="7" borderId="17" xfId="19" applyNumberFormat="1" applyFont="1" applyFill="1" applyBorder="1" applyAlignment="1">
      <alignment horizontal="center" vertical="center" wrapText="1"/>
    </xf>
    <xf numFmtId="0" fontId="11" fillId="7" borderId="2" xfId="19" applyFont="1" applyFill="1" applyBorder="1" applyAlignment="1">
      <alignment horizontal="center" vertical="center" wrapText="1"/>
    </xf>
    <xf numFmtId="1" fontId="11" fillId="7" borderId="9" xfId="19" applyNumberFormat="1" applyFont="1" applyFill="1" applyBorder="1" applyAlignment="1">
      <alignment horizontal="center" vertical="center" wrapText="1"/>
    </xf>
    <xf numFmtId="1" fontId="11" fillId="7" borderId="14" xfId="19" applyNumberFormat="1" applyFont="1" applyFill="1" applyBorder="1" applyAlignment="1">
      <alignment horizontal="center" vertical="center" wrapText="1"/>
    </xf>
    <xf numFmtId="1" fontId="11" fillId="7" borderId="15" xfId="19" applyNumberFormat="1" applyFont="1" applyFill="1" applyBorder="1" applyAlignment="1">
      <alignment horizontal="center" vertical="center" wrapText="1"/>
    </xf>
    <xf numFmtId="0" fontId="11" fillId="0" borderId="8" xfId="6" applyNumberFormat="1" applyFont="1" applyBorder="1" applyAlignment="1">
      <alignment horizontal="center" vertical="center"/>
    </xf>
    <xf numFmtId="0" fontId="11" fillId="0" borderId="13" xfId="6" applyNumberFormat="1" applyFont="1" applyBorder="1" applyAlignment="1">
      <alignment horizontal="center" vertical="center"/>
    </xf>
    <xf numFmtId="0" fontId="11" fillId="0" borderId="7" xfId="6" applyNumberFormat="1" applyFont="1" applyBorder="1" applyAlignment="1">
      <alignment horizontal="center" vertical="center"/>
    </xf>
    <xf numFmtId="0" fontId="11" fillId="0" borderId="9" xfId="6" applyNumberFormat="1" applyFont="1" applyBorder="1" applyAlignment="1">
      <alignment horizontal="center" vertical="center"/>
    </xf>
    <xf numFmtId="0" fontId="11" fillId="0" borderId="14" xfId="6" applyNumberFormat="1" applyFont="1" applyBorder="1" applyAlignment="1">
      <alignment horizontal="center" vertical="center"/>
    </xf>
    <xf numFmtId="0" fontId="11" fillId="0" borderId="15" xfId="6" applyNumberFormat="1" applyFont="1" applyBorder="1" applyAlignment="1">
      <alignment horizontal="center" vertical="center"/>
    </xf>
    <xf numFmtId="0" fontId="8" fillId="0" borderId="9" xfId="6" applyNumberFormat="1" applyFont="1" applyBorder="1" applyAlignment="1">
      <alignment horizontal="center" vertical="center" wrapText="1"/>
    </xf>
    <xf numFmtId="0" fontId="8" fillId="0" borderId="14" xfId="6" applyNumberFormat="1" applyFont="1" applyBorder="1" applyAlignment="1">
      <alignment horizontal="center" vertical="center" wrapText="1"/>
    </xf>
    <xf numFmtId="0" fontId="8" fillId="0" borderId="15" xfId="6" applyNumberFormat="1" applyFont="1" applyBorder="1" applyAlignment="1">
      <alignment horizontal="center" vertical="center" wrapText="1"/>
    </xf>
    <xf numFmtId="0" fontId="8" fillId="7" borderId="9" xfId="19" applyFont="1" applyFill="1" applyBorder="1" applyAlignment="1">
      <alignment horizontal="center" vertical="center" wrapText="1"/>
    </xf>
    <xf numFmtId="0" fontId="8" fillId="7" borderId="14" xfId="19" applyFont="1" applyFill="1" applyBorder="1" applyAlignment="1">
      <alignment horizontal="center" vertical="center" wrapText="1"/>
    </xf>
    <xf numFmtId="0" fontId="8" fillId="7" borderId="15" xfId="19" applyFont="1" applyFill="1" applyBorder="1" applyAlignment="1">
      <alignment horizontal="center" vertical="center" wrapText="1"/>
    </xf>
    <xf numFmtId="37" fontId="8" fillId="0" borderId="9" xfId="6" applyNumberFormat="1" applyFont="1" applyBorder="1" applyAlignment="1">
      <alignment horizontal="center" vertical="center" wrapText="1"/>
    </xf>
    <xf numFmtId="37" fontId="8" fillId="0" borderId="14" xfId="6" applyNumberFormat="1" applyFont="1" applyBorder="1" applyAlignment="1">
      <alignment horizontal="center" vertical="center" wrapText="1"/>
    </xf>
    <xf numFmtId="37" fontId="8" fillId="0" borderId="15" xfId="6" applyNumberFormat="1" applyFont="1" applyBorder="1" applyAlignment="1">
      <alignment horizontal="center" vertical="center" wrapText="1"/>
    </xf>
    <xf numFmtId="0" fontId="8" fillId="7" borderId="9" xfId="19" applyFont="1" applyFill="1" applyBorder="1" applyAlignment="1">
      <alignment horizontal="justify" vertical="center" wrapText="1"/>
    </xf>
    <xf numFmtId="0" fontId="8" fillId="7" borderId="14" xfId="19" applyFont="1" applyFill="1" applyBorder="1" applyAlignment="1">
      <alignment horizontal="justify" vertical="center" wrapText="1"/>
    </xf>
    <xf numFmtId="0" fontId="8" fillId="7" borderId="15" xfId="19" applyFont="1" applyFill="1" applyBorder="1" applyAlignment="1">
      <alignment horizontal="justify" vertical="center" wrapText="1"/>
    </xf>
    <xf numFmtId="37" fontId="11" fillId="0" borderId="9" xfId="6" applyNumberFormat="1" applyFont="1" applyBorder="1" applyAlignment="1">
      <alignment horizontal="center" vertical="center" wrapText="1"/>
    </xf>
    <xf numFmtId="37" fontId="11" fillId="0" borderId="14" xfId="6" applyNumberFormat="1" applyFont="1" applyBorder="1" applyAlignment="1">
      <alignment horizontal="center" vertical="center" wrapText="1"/>
    </xf>
    <xf numFmtId="37" fontId="11" fillId="0" borderId="15" xfId="6" applyNumberFormat="1" applyFont="1" applyBorder="1" applyAlignment="1">
      <alignment horizontal="center" vertical="center" wrapText="1"/>
    </xf>
    <xf numFmtId="1" fontId="8" fillId="7" borderId="9" xfId="19" applyNumberFormat="1" applyFont="1" applyFill="1" applyBorder="1" applyAlignment="1">
      <alignment horizontal="center" vertical="center" wrapText="1"/>
    </xf>
    <xf numFmtId="1" fontId="8" fillId="7" borderId="14" xfId="19" applyNumberFormat="1" applyFont="1" applyFill="1" applyBorder="1" applyAlignment="1">
      <alignment horizontal="center" vertical="center" wrapText="1"/>
    </xf>
    <xf numFmtId="1" fontId="8" fillId="7" borderId="15" xfId="19" applyNumberFormat="1" applyFont="1" applyFill="1" applyBorder="1" applyAlignment="1">
      <alignment horizontal="center" vertical="center" wrapText="1"/>
    </xf>
    <xf numFmtId="165" fontId="8" fillId="7" borderId="9" xfId="19" applyNumberFormat="1" applyFont="1" applyFill="1" applyBorder="1" applyAlignment="1">
      <alignment horizontal="center" vertical="center" wrapText="1"/>
    </xf>
    <xf numFmtId="165" fontId="8" fillId="7" borderId="14" xfId="19" applyNumberFormat="1" applyFont="1" applyFill="1" applyBorder="1" applyAlignment="1">
      <alignment horizontal="center" vertical="center" wrapText="1"/>
    </xf>
    <xf numFmtId="165" fontId="8" fillId="7" borderId="15" xfId="19" applyNumberFormat="1" applyFont="1" applyFill="1" applyBorder="1" applyAlignment="1">
      <alignment horizontal="center" vertical="center" wrapText="1"/>
    </xf>
    <xf numFmtId="3" fontId="8" fillId="7" borderId="16" xfId="19" applyNumberFormat="1" applyFont="1" applyFill="1" applyBorder="1" applyAlignment="1">
      <alignment horizontal="center" vertical="center" wrapText="1"/>
    </xf>
    <xf numFmtId="3" fontId="8" fillId="7" borderId="33" xfId="19" applyNumberFormat="1" applyFont="1" applyFill="1" applyBorder="1" applyAlignment="1">
      <alignment horizontal="center" vertical="center" wrapText="1"/>
    </xf>
    <xf numFmtId="3" fontId="8" fillId="7" borderId="17" xfId="19" applyNumberFormat="1" applyFont="1" applyFill="1" applyBorder="1" applyAlignment="1">
      <alignment horizontal="center" vertical="center" wrapText="1"/>
    </xf>
    <xf numFmtId="0" fontId="11" fillId="7" borderId="2" xfId="19" applyFont="1" applyFill="1" applyBorder="1" applyAlignment="1">
      <alignment horizontal="left" vertical="center" wrapText="1"/>
    </xf>
    <xf numFmtId="0" fontId="11" fillId="0" borderId="9" xfId="19" applyFont="1" applyBorder="1" applyAlignment="1">
      <alignment horizontal="center" vertical="center" wrapText="1"/>
    </xf>
    <xf numFmtId="0" fontId="11" fillId="0" borderId="14" xfId="19" applyFont="1" applyBorder="1" applyAlignment="1">
      <alignment horizontal="center" vertical="center" wrapText="1"/>
    </xf>
    <xf numFmtId="0" fontId="11" fillId="0" borderId="15" xfId="19" applyFont="1" applyBorder="1" applyAlignment="1">
      <alignment horizontal="center" vertical="center" wrapText="1"/>
    </xf>
    <xf numFmtId="0" fontId="11" fillId="0" borderId="9" xfId="19" applyFont="1" applyBorder="1" applyAlignment="1">
      <alignment horizontal="justify" vertical="center" wrapText="1"/>
    </xf>
    <xf numFmtId="0" fontId="11" fillId="0" borderId="14" xfId="19" applyFont="1" applyBorder="1" applyAlignment="1">
      <alignment horizontal="justify" vertical="center" wrapText="1"/>
    </xf>
    <xf numFmtId="0" fontId="11" fillId="0" borderId="15" xfId="19" applyFont="1" applyBorder="1" applyAlignment="1">
      <alignment horizontal="justify" vertical="center" wrapText="1"/>
    </xf>
    <xf numFmtId="0" fontId="11" fillId="0" borderId="9" xfId="19" applyFont="1" applyBorder="1" applyAlignment="1">
      <alignment horizontal="left" vertical="center" wrapText="1"/>
    </xf>
    <xf numFmtId="0" fontId="11" fillId="0" borderId="14" xfId="19" applyFont="1" applyBorder="1" applyAlignment="1">
      <alignment horizontal="left" vertical="center" wrapText="1"/>
    </xf>
    <xf numFmtId="0" fontId="11" fillId="0" borderId="15" xfId="19" applyFont="1" applyBorder="1" applyAlignment="1">
      <alignment horizontal="left" vertical="center" wrapText="1"/>
    </xf>
    <xf numFmtId="165" fontId="11" fillId="0" borderId="9" xfId="19" applyNumberFormat="1" applyFont="1" applyBorder="1" applyAlignment="1">
      <alignment horizontal="center" vertical="center" wrapText="1"/>
    </xf>
    <xf numFmtId="165" fontId="11" fillId="0" borderId="14" xfId="19" applyNumberFormat="1" applyFont="1" applyBorder="1" applyAlignment="1">
      <alignment horizontal="center" vertical="center" wrapText="1"/>
    </xf>
    <xf numFmtId="3" fontId="11" fillId="0" borderId="16" xfId="19" applyNumberFormat="1" applyFont="1" applyBorder="1" applyAlignment="1">
      <alignment horizontal="center" vertical="center" wrapText="1"/>
    </xf>
    <xf numFmtId="3" fontId="11" fillId="0" borderId="33" xfId="19" applyNumberFormat="1" applyFont="1" applyBorder="1" applyAlignment="1">
      <alignment horizontal="center" vertical="center" wrapText="1"/>
    </xf>
    <xf numFmtId="3" fontId="11" fillId="0" borderId="17" xfId="19" applyNumberFormat="1" applyFont="1" applyBorder="1" applyAlignment="1">
      <alignment horizontal="center" vertical="center" wrapText="1"/>
    </xf>
    <xf numFmtId="9" fontId="11" fillId="0" borderId="9" xfId="5" applyFont="1" applyBorder="1" applyAlignment="1">
      <alignment horizontal="center" vertical="center" wrapText="1"/>
    </xf>
    <xf numFmtId="9" fontId="11" fillId="0" borderId="14" xfId="5" applyFont="1" applyBorder="1" applyAlignment="1">
      <alignment horizontal="center" vertical="center" wrapText="1"/>
    </xf>
    <xf numFmtId="9" fontId="11" fillId="0" borderId="15" xfId="5" applyFont="1" applyBorder="1" applyAlignment="1">
      <alignment horizontal="center" vertical="center" wrapText="1"/>
    </xf>
    <xf numFmtId="0" fontId="11" fillId="0" borderId="2" xfId="19" applyFont="1" applyBorder="1" applyAlignment="1">
      <alignment horizontal="center" vertical="center" wrapText="1"/>
    </xf>
    <xf numFmtId="174" fontId="11" fillId="0" borderId="9" xfId="6" applyNumberFormat="1" applyFont="1" applyBorder="1" applyAlignment="1">
      <alignment vertical="center" wrapText="1"/>
    </xf>
    <xf numFmtId="174" fontId="11" fillId="0" borderId="14" xfId="6" applyNumberFormat="1" applyFont="1" applyBorder="1" applyAlignment="1">
      <alignment vertical="center" wrapText="1"/>
    </xf>
    <xf numFmtId="174" fontId="11" fillId="0" borderId="15" xfId="6" applyNumberFormat="1" applyFont="1" applyBorder="1" applyAlignment="1">
      <alignment vertical="center" wrapText="1"/>
    </xf>
    <xf numFmtId="165" fontId="11" fillId="0" borderId="2" xfId="19" applyNumberFormat="1" applyFont="1" applyBorder="1" applyAlignment="1">
      <alignment horizontal="center" vertical="center" wrapText="1"/>
    </xf>
    <xf numFmtId="182" fontId="11" fillId="7" borderId="9" xfId="19" applyNumberFormat="1" applyFont="1" applyFill="1" applyBorder="1" applyAlignment="1">
      <alignment horizontal="center" vertical="center" wrapText="1"/>
    </xf>
    <xf numFmtId="182" fontId="11" fillId="7" borderId="14" xfId="19" applyNumberFormat="1" applyFont="1" applyFill="1" applyBorder="1" applyAlignment="1">
      <alignment horizontal="center" vertical="center" wrapText="1"/>
    </xf>
    <xf numFmtId="182" fontId="11" fillId="7" borderId="15" xfId="19" applyNumberFormat="1" applyFont="1" applyFill="1" applyBorder="1" applyAlignment="1">
      <alignment horizontal="center" vertical="center" wrapText="1"/>
    </xf>
    <xf numFmtId="1" fontId="11" fillId="7" borderId="16" xfId="19" applyNumberFormat="1" applyFont="1" applyFill="1" applyBorder="1" applyAlignment="1">
      <alignment horizontal="center" vertical="center" wrapText="1"/>
    </xf>
    <xf numFmtId="1" fontId="11" fillId="7" borderId="33" xfId="19" applyNumberFormat="1" applyFont="1" applyFill="1" applyBorder="1" applyAlignment="1">
      <alignment horizontal="center" vertical="center" wrapText="1"/>
    </xf>
    <xf numFmtId="1" fontId="11" fillId="7" borderId="17" xfId="19" applyNumberFormat="1" applyFont="1" applyFill="1" applyBorder="1" applyAlignment="1">
      <alignment horizontal="center" vertical="center" wrapText="1"/>
    </xf>
    <xf numFmtId="165" fontId="11" fillId="7" borderId="2" xfId="19" applyNumberFormat="1" applyFont="1" applyFill="1" applyBorder="1" applyAlignment="1">
      <alignment horizontal="center" vertical="center" wrapText="1"/>
    </xf>
    <xf numFmtId="49" fontId="11" fillId="0" borderId="9" xfId="20" applyNumberFormat="1" applyFont="1" applyBorder="1" applyAlignment="1">
      <alignment horizontal="justify" vertical="center" wrapText="1"/>
    </xf>
    <xf numFmtId="49" fontId="11" fillId="0" borderId="15" xfId="20" applyNumberFormat="1" applyFont="1" applyBorder="1" applyAlignment="1">
      <alignment horizontal="justify" vertical="center" wrapText="1"/>
    </xf>
    <xf numFmtId="0" fontId="12" fillId="0" borderId="8" xfId="19" applyFont="1" applyBorder="1" applyAlignment="1">
      <alignment horizontal="center" vertical="center" wrapText="1"/>
    </xf>
    <xf numFmtId="0" fontId="12" fillId="0" borderId="5" xfId="19" applyFont="1" applyBorder="1" applyAlignment="1">
      <alignment horizontal="center" vertical="center" wrapText="1"/>
    </xf>
    <xf numFmtId="0" fontId="12" fillId="0" borderId="13" xfId="19" applyFont="1" applyBorder="1" applyAlignment="1">
      <alignment horizontal="center" vertical="center" wrapText="1"/>
    </xf>
    <xf numFmtId="0" fontId="12" fillId="0" borderId="0" xfId="19" applyFont="1" applyAlignment="1">
      <alignment horizontal="center" vertical="center" wrapText="1"/>
    </xf>
    <xf numFmtId="0" fontId="12" fillId="0" borderId="7" xfId="19" applyFont="1" applyBorder="1" applyAlignment="1">
      <alignment horizontal="center" vertical="center" wrapText="1"/>
    </xf>
    <xf numFmtId="0" fontId="12" fillId="0" borderId="3" xfId="19" applyFont="1" applyBorder="1" applyAlignment="1">
      <alignment horizontal="center" vertical="center" wrapText="1"/>
    </xf>
    <xf numFmtId="0" fontId="11" fillId="7" borderId="5" xfId="19" applyFont="1" applyFill="1" applyBorder="1" applyAlignment="1">
      <alignment horizontal="center" vertical="center" wrapText="1"/>
    </xf>
    <xf numFmtId="0" fontId="11" fillId="7" borderId="3" xfId="19" applyFont="1" applyFill="1" applyBorder="1" applyAlignment="1">
      <alignment horizontal="center" vertical="center" wrapText="1"/>
    </xf>
    <xf numFmtId="0" fontId="11" fillId="7" borderId="2" xfId="6" applyNumberFormat="1" applyFont="1" applyFill="1" applyBorder="1" applyAlignment="1">
      <alignment horizontal="center" vertical="center" wrapText="1"/>
    </xf>
    <xf numFmtId="0" fontId="11" fillId="7" borderId="6" xfId="19" applyFont="1" applyFill="1" applyBorder="1" applyAlignment="1">
      <alignment horizontal="left" vertical="center" wrapText="1"/>
    </xf>
    <xf numFmtId="0" fontId="11" fillId="7" borderId="4" xfId="19" applyFont="1" applyFill="1" applyBorder="1" applyAlignment="1">
      <alignment horizontal="left" vertical="center" wrapText="1"/>
    </xf>
    <xf numFmtId="1" fontId="11" fillId="7" borderId="2" xfId="19" quotePrefix="1" applyNumberFormat="1" applyFont="1" applyFill="1" applyBorder="1" applyAlignment="1">
      <alignment horizontal="center" vertical="center" wrapText="1"/>
    </xf>
    <xf numFmtId="10" fontId="11" fillId="7" borderId="2" xfId="5" applyNumberFormat="1" applyFont="1" applyFill="1" applyBorder="1" applyAlignment="1">
      <alignment horizontal="center" vertical="center" wrapText="1"/>
    </xf>
    <xf numFmtId="0" fontId="11" fillId="7" borderId="12" xfId="19" applyFont="1" applyFill="1" applyBorder="1" applyAlignment="1">
      <alignment horizontal="justify" vertical="center" wrapText="1"/>
    </xf>
    <xf numFmtId="0" fontId="11" fillId="7" borderId="9" xfId="19" applyFont="1" applyFill="1" applyBorder="1" applyAlignment="1">
      <alignment horizontal="center" vertical="center"/>
    </xf>
    <xf numFmtId="0" fontId="11" fillId="7" borderId="14" xfId="19" applyFont="1" applyFill="1" applyBorder="1" applyAlignment="1">
      <alignment horizontal="center" vertical="center"/>
    </xf>
    <xf numFmtId="43" fontId="8" fillId="0" borderId="9" xfId="6" applyFont="1" applyBorder="1" applyAlignment="1">
      <alignment horizontal="center" vertical="center" wrapText="1"/>
    </xf>
    <xf numFmtId="43" fontId="8" fillId="0" borderId="15" xfId="6" applyFont="1" applyBorder="1" applyAlignment="1">
      <alignment horizontal="center" vertical="center" wrapText="1"/>
    </xf>
    <xf numFmtId="174" fontId="12" fillId="24" borderId="11" xfId="6" applyNumberFormat="1" applyFont="1" applyFill="1" applyBorder="1" applyAlignment="1">
      <alignment horizontal="center" vertical="center" textRotation="180" wrapText="1"/>
    </xf>
    <xf numFmtId="174" fontId="12" fillId="24" borderId="10" xfId="6" applyNumberFormat="1" applyFont="1" applyFill="1" applyBorder="1" applyAlignment="1">
      <alignment horizontal="center" vertical="center" textRotation="180" wrapText="1"/>
    </xf>
    <xf numFmtId="14" fontId="11" fillId="0" borderId="9" xfId="6" applyNumberFormat="1" applyFont="1" applyBorder="1" applyAlignment="1">
      <alignment horizontal="center" vertical="center" wrapText="1"/>
    </xf>
    <xf numFmtId="0" fontId="11" fillId="0" borderId="16" xfId="6" applyNumberFormat="1" applyFont="1" applyBorder="1" applyAlignment="1">
      <alignment horizontal="center" vertical="center" wrapText="1"/>
    </xf>
    <xf numFmtId="0" fontId="11" fillId="0" borderId="33" xfId="6" applyNumberFormat="1" applyFont="1" applyBorder="1" applyAlignment="1">
      <alignment horizontal="center" vertical="center" wrapText="1"/>
    </xf>
    <xf numFmtId="0" fontId="11" fillId="0" borderId="17" xfId="6" applyNumberFormat="1" applyFont="1" applyBorder="1" applyAlignment="1">
      <alignment horizontal="center" vertical="center" wrapText="1"/>
    </xf>
    <xf numFmtId="1" fontId="11" fillId="7" borderId="9" xfId="19" quotePrefix="1" applyNumberFormat="1" applyFont="1" applyFill="1" applyBorder="1" applyAlignment="1">
      <alignment horizontal="center" vertical="center" wrapText="1"/>
    </xf>
    <xf numFmtId="1" fontId="11" fillId="7" borderId="14" xfId="19" quotePrefix="1" applyNumberFormat="1" applyFont="1" applyFill="1" applyBorder="1" applyAlignment="1">
      <alignment horizontal="center" vertical="center" wrapText="1"/>
    </xf>
    <xf numFmtId="1" fontId="11" fillId="7" borderId="15" xfId="19" quotePrefix="1" applyNumberFormat="1" applyFont="1" applyFill="1" applyBorder="1" applyAlignment="1">
      <alignment horizontal="center" vertical="center" wrapText="1"/>
    </xf>
    <xf numFmtId="1" fontId="11" fillId="7" borderId="9" xfId="19" applyNumberFormat="1" applyFont="1" applyFill="1" applyBorder="1" applyAlignment="1">
      <alignment horizontal="center" vertical="center"/>
    </xf>
    <xf numFmtId="1" fontId="11" fillId="7" borderId="14" xfId="19" applyNumberFormat="1" applyFont="1" applyFill="1" applyBorder="1" applyAlignment="1">
      <alignment horizontal="center" vertical="center"/>
    </xf>
    <xf numFmtId="0" fontId="8" fillId="0" borderId="2" xfId="6" applyNumberFormat="1" applyFont="1" applyBorder="1" applyAlignment="1">
      <alignment horizontal="center" vertical="center" wrapText="1"/>
    </xf>
    <xf numFmtId="14" fontId="8" fillId="0" borderId="2" xfId="6" applyNumberFormat="1" applyFont="1" applyBorder="1" applyAlignment="1">
      <alignment horizontal="center" vertical="center" wrapText="1"/>
    </xf>
    <xf numFmtId="0" fontId="11" fillId="0" borderId="19" xfId="19" applyFont="1" applyBorder="1" applyAlignment="1">
      <alignment horizontal="center"/>
    </xf>
    <xf numFmtId="0" fontId="11" fillId="0" borderId="20" xfId="19" applyFont="1" applyBorder="1" applyAlignment="1">
      <alignment horizontal="center"/>
    </xf>
    <xf numFmtId="0" fontId="11" fillId="0" borderId="21" xfId="19" applyFont="1" applyBorder="1" applyAlignment="1">
      <alignment horizontal="center"/>
    </xf>
    <xf numFmtId="0" fontId="11" fillId="0" borderId="2" xfId="19" applyFont="1" applyBorder="1" applyAlignment="1">
      <alignment horizontal="justify" vertical="center" wrapText="1"/>
    </xf>
    <xf numFmtId="1" fontId="11" fillId="7" borderId="2" xfId="19" applyNumberFormat="1" applyFont="1" applyFill="1" applyBorder="1" applyAlignment="1">
      <alignment horizontal="center" vertical="center" wrapText="1"/>
    </xf>
    <xf numFmtId="0" fontId="11" fillId="7" borderId="0" xfId="19" applyFont="1" applyFill="1" applyAlignment="1">
      <alignment horizontal="center" vertical="center" wrapText="1"/>
    </xf>
    <xf numFmtId="3" fontId="11" fillId="7" borderId="52" xfId="19" applyNumberFormat="1" applyFont="1" applyFill="1" applyBorder="1" applyAlignment="1">
      <alignment horizontal="center" vertical="center" wrapText="1"/>
    </xf>
    <xf numFmtId="1" fontId="19" fillId="7" borderId="9" xfId="0" applyNumberFormat="1" applyFont="1" applyFill="1" applyBorder="1" applyAlignment="1">
      <alignment horizontal="center" vertical="center" wrapText="1"/>
    </xf>
    <xf numFmtId="1" fontId="19" fillId="7" borderId="14" xfId="0" applyNumberFormat="1" applyFont="1" applyFill="1" applyBorder="1" applyAlignment="1">
      <alignment horizontal="center" vertical="center" wrapText="1"/>
    </xf>
    <xf numFmtId="1" fontId="19" fillId="7" borderId="15" xfId="0" applyNumberFormat="1" applyFont="1" applyFill="1" applyBorder="1" applyAlignment="1">
      <alignment horizontal="center" vertical="center" wrapText="1"/>
    </xf>
    <xf numFmtId="3" fontId="19" fillId="7" borderId="9" xfId="0" applyNumberFormat="1" applyFont="1" applyFill="1" applyBorder="1" applyAlignment="1">
      <alignment horizontal="justify" vertical="center" wrapText="1"/>
    </xf>
    <xf numFmtId="3" fontId="19" fillId="7" borderId="14" xfId="0" applyNumberFormat="1" applyFont="1" applyFill="1" applyBorder="1" applyAlignment="1">
      <alignment horizontal="justify" vertical="center" wrapText="1"/>
    </xf>
    <xf numFmtId="3" fontId="19" fillId="7" borderId="15" xfId="0" applyNumberFormat="1" applyFont="1" applyFill="1" applyBorder="1" applyAlignment="1">
      <alignment horizontal="justify" vertical="center" wrapText="1"/>
    </xf>
    <xf numFmtId="0" fontId="19" fillId="7" borderId="0" xfId="0" applyFont="1" applyFill="1" applyBorder="1" applyAlignment="1">
      <alignment horizontal="center" vertical="center" wrapText="1"/>
    </xf>
    <xf numFmtId="0" fontId="19" fillId="7" borderId="9" xfId="0" applyFont="1" applyFill="1" applyBorder="1" applyAlignment="1">
      <alignment horizontal="justify" vertical="center" wrapText="1"/>
    </xf>
    <xf numFmtId="0" fontId="19" fillId="7" borderId="15" xfId="0" applyFont="1" applyFill="1" applyBorder="1" applyAlignment="1">
      <alignment horizontal="justify" vertical="center" wrapText="1"/>
    </xf>
    <xf numFmtId="166" fontId="19" fillId="7" borderId="9" xfId="0" applyNumberFormat="1" applyFont="1" applyFill="1" applyBorder="1" applyAlignment="1">
      <alignment horizontal="center" vertical="center" wrapText="1"/>
    </xf>
    <xf numFmtId="166" fontId="19" fillId="7" borderId="14" xfId="0" applyNumberFormat="1" applyFont="1" applyFill="1" applyBorder="1" applyAlignment="1">
      <alignment horizontal="center" vertical="center" wrapText="1"/>
    </xf>
    <xf numFmtId="166" fontId="19" fillId="7" borderId="15" xfId="0" applyNumberFormat="1" applyFont="1" applyFill="1" applyBorder="1" applyAlignment="1">
      <alignment horizontal="center" vertical="center" wrapText="1"/>
    </xf>
    <xf numFmtId="0" fontId="19" fillId="7" borderId="14" xfId="0" applyFont="1" applyFill="1" applyBorder="1" applyAlignment="1">
      <alignment horizontal="justify" vertical="center" wrapText="1"/>
    </xf>
    <xf numFmtId="0" fontId="19" fillId="7" borderId="9"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2" xfId="0" applyFont="1" applyFill="1" applyBorder="1" applyAlignment="1">
      <alignment horizontal="justify" vertical="center" wrapText="1"/>
    </xf>
    <xf numFmtId="0" fontId="19" fillId="0" borderId="2" xfId="0" applyFont="1" applyFill="1" applyBorder="1" applyAlignment="1">
      <alignment horizontal="justify" vertical="center" wrapText="1"/>
    </xf>
    <xf numFmtId="167" fontId="19" fillId="7" borderId="9" xfId="0" applyNumberFormat="1" applyFont="1" applyFill="1" applyBorder="1" applyAlignment="1">
      <alignment horizontal="center" vertical="center" wrapText="1"/>
    </xf>
    <xf numFmtId="167" fontId="19" fillId="7" borderId="14" xfId="0" applyNumberFormat="1" applyFont="1" applyFill="1" applyBorder="1" applyAlignment="1">
      <alignment horizontal="center" vertical="center" wrapText="1"/>
    </xf>
    <xf numFmtId="167" fontId="19" fillId="7" borderId="15" xfId="0" applyNumberFormat="1" applyFont="1" applyFill="1" applyBorder="1" applyAlignment="1">
      <alignment horizontal="center" vertical="center" wrapText="1"/>
    </xf>
    <xf numFmtId="0" fontId="19" fillId="7" borderId="14" xfId="0" applyFont="1" applyFill="1" applyBorder="1" applyAlignment="1">
      <alignment horizontal="center" vertical="center" wrapText="1"/>
    </xf>
    <xf numFmtId="0" fontId="19" fillId="0" borderId="2" xfId="0" applyFont="1" applyFill="1" applyBorder="1" applyAlignment="1">
      <alignment horizontal="center" vertical="center" wrapText="1"/>
    </xf>
    <xf numFmtId="1" fontId="19" fillId="7" borderId="2" xfId="0" applyNumberFormat="1" applyFont="1" applyFill="1" applyBorder="1" applyAlignment="1">
      <alignment horizontal="center" vertical="center" wrapText="1"/>
    </xf>
    <xf numFmtId="166" fontId="19" fillId="7" borderId="2" xfId="0" applyNumberFormat="1" applyFont="1" applyFill="1" applyBorder="1" applyAlignment="1">
      <alignment horizontal="center" vertical="center" wrapText="1"/>
    </xf>
    <xf numFmtId="167" fontId="19" fillId="7" borderId="2" xfId="0" applyNumberFormat="1" applyFont="1" applyFill="1" applyBorder="1" applyAlignment="1">
      <alignment horizontal="center" vertical="center" wrapText="1"/>
    </xf>
    <xf numFmtId="3" fontId="19" fillId="7" borderId="2" xfId="0" applyNumberFormat="1" applyFont="1" applyFill="1" applyBorder="1" applyAlignment="1">
      <alignment horizontal="justify" vertical="center" wrapText="1"/>
    </xf>
    <xf numFmtId="0" fontId="19" fillId="0" borderId="9" xfId="0" applyFont="1" applyFill="1" applyBorder="1" applyAlignment="1">
      <alignment horizontal="justify" vertical="center" wrapText="1"/>
    </xf>
    <xf numFmtId="0" fontId="19" fillId="0" borderId="15" xfId="0" applyFont="1" applyFill="1" applyBorder="1" applyAlignment="1">
      <alignment horizontal="justify" vertical="center" wrapText="1"/>
    </xf>
    <xf numFmtId="0" fontId="26" fillId="7" borderId="9" xfId="0" applyFont="1" applyFill="1" applyBorder="1" applyAlignment="1">
      <alignment horizontal="justify" vertical="center"/>
    </xf>
    <xf numFmtId="0" fontId="26" fillId="7" borderId="15" xfId="0" applyFont="1" applyFill="1" applyBorder="1" applyAlignment="1">
      <alignment horizontal="justify" vertical="center"/>
    </xf>
    <xf numFmtId="167" fontId="19" fillId="7" borderId="9" xfId="0" applyNumberFormat="1" applyFont="1" applyFill="1" applyBorder="1" applyAlignment="1">
      <alignment horizontal="justify" vertical="center" wrapText="1"/>
    </xf>
    <xf numFmtId="167" fontId="19" fillId="7" borderId="14" xfId="0" applyNumberFormat="1" applyFont="1" applyFill="1" applyBorder="1" applyAlignment="1">
      <alignment horizontal="justify" vertical="center" wrapText="1"/>
    </xf>
    <xf numFmtId="167" fontId="19" fillId="7" borderId="15" xfId="0" applyNumberFormat="1"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26" fillId="7" borderId="14" xfId="0" applyFont="1" applyFill="1" applyBorder="1" applyAlignment="1">
      <alignment horizontal="justify" vertical="center"/>
    </xf>
    <xf numFmtId="0" fontId="19" fillId="0" borderId="9" xfId="0" applyFont="1" applyFill="1" applyBorder="1" applyAlignment="1">
      <alignment horizontal="justify" vertical="top" wrapText="1"/>
    </xf>
    <xf numFmtId="0" fontId="19" fillId="0" borderId="14" xfId="0" applyFont="1" applyFill="1" applyBorder="1" applyAlignment="1">
      <alignment horizontal="justify" vertical="top" wrapText="1"/>
    </xf>
    <xf numFmtId="0" fontId="19" fillId="0" borderId="9" xfId="0" applyFont="1" applyFill="1" applyBorder="1" applyAlignment="1">
      <alignment horizontal="center" vertical="center" wrapText="1"/>
    </xf>
    <xf numFmtId="0" fontId="19" fillId="0" borderId="14" xfId="0" applyFont="1" applyFill="1" applyBorder="1" applyAlignment="1">
      <alignment horizontal="center" vertical="center" wrapText="1"/>
    </xf>
    <xf numFmtId="9" fontId="19" fillId="7" borderId="9" xfId="0" applyNumberFormat="1" applyFont="1" applyFill="1" applyBorder="1" applyAlignment="1">
      <alignment horizontal="center" vertical="center" wrapText="1"/>
    </xf>
    <xf numFmtId="9" fontId="19" fillId="7" borderId="15" xfId="0" applyNumberFormat="1"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19" fillId="7" borderId="9" xfId="0" applyFont="1" applyFill="1" applyBorder="1" applyAlignment="1">
      <alignment horizontal="justify" vertical="top" wrapText="1"/>
    </xf>
    <xf numFmtId="0" fontId="19" fillId="7" borderId="15" xfId="0" applyFont="1" applyFill="1" applyBorder="1" applyAlignment="1">
      <alignment horizontal="justify" vertical="top" wrapText="1"/>
    </xf>
    <xf numFmtId="0" fontId="7" fillId="7" borderId="19" xfId="0" applyFont="1" applyFill="1" applyBorder="1" applyAlignment="1">
      <alignment horizontal="center" vertical="center"/>
    </xf>
    <xf numFmtId="0" fontId="7" fillId="7" borderId="20" xfId="0" applyFont="1" applyFill="1" applyBorder="1" applyAlignment="1">
      <alignment horizontal="center" vertical="center"/>
    </xf>
    <xf numFmtId="41" fontId="8" fillId="7" borderId="9" xfId="15" applyFont="1" applyFill="1" applyBorder="1" applyAlignment="1">
      <alignment horizontal="center" vertical="center" wrapText="1"/>
    </xf>
    <xf numFmtId="41" fontId="8" fillId="7" borderId="14" xfId="15" applyFont="1" applyFill="1" applyBorder="1" applyAlignment="1">
      <alignment horizontal="center" vertical="center" wrapText="1"/>
    </xf>
    <xf numFmtId="14" fontId="8" fillId="0" borderId="9" xfId="0" applyNumberFormat="1" applyFont="1" applyBorder="1" applyAlignment="1">
      <alignment horizontal="center" vertical="center" wrapText="1"/>
    </xf>
    <xf numFmtId="14" fontId="8"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9" fontId="8" fillId="0" borderId="9" xfId="5" applyFont="1" applyBorder="1" applyAlignment="1">
      <alignment horizontal="center" vertical="center" wrapText="1"/>
    </xf>
    <xf numFmtId="9" fontId="8" fillId="0" borderId="14" xfId="5" applyFont="1" applyBorder="1" applyAlignment="1">
      <alignment horizontal="center" vertical="center" wrapText="1"/>
    </xf>
    <xf numFmtId="0" fontId="7" fillId="10" borderId="10" xfId="0" applyFont="1" applyFill="1" applyBorder="1" applyAlignment="1">
      <alignment horizontal="left" vertical="center" wrapText="1"/>
    </xf>
    <xf numFmtId="0" fontId="7" fillId="10" borderId="11" xfId="0" applyFont="1" applyFill="1" applyBorder="1" applyAlignment="1">
      <alignment horizontal="left" vertical="center" wrapText="1"/>
    </xf>
    <xf numFmtId="0" fontId="7" fillId="10" borderId="5" xfId="0" applyFont="1" applyFill="1" applyBorder="1" applyAlignment="1">
      <alignment horizontal="left" vertical="center" wrapText="1"/>
    </xf>
    <xf numFmtId="0" fontId="7" fillId="23" borderId="11" xfId="0" applyFont="1" applyFill="1" applyBorder="1" applyAlignment="1">
      <alignment horizontal="left" vertical="center" wrapText="1"/>
    </xf>
    <xf numFmtId="0" fontId="7" fillId="23" borderId="5" xfId="0" applyFont="1" applyFill="1" applyBorder="1" applyAlignment="1">
      <alignment horizontal="left" vertical="center" wrapText="1"/>
    </xf>
    <xf numFmtId="0" fontId="8" fillId="7" borderId="7" xfId="0" applyFont="1" applyFill="1" applyBorder="1" applyAlignment="1">
      <alignment horizontal="center" vertical="center" wrapText="1"/>
    </xf>
    <xf numFmtId="0" fontId="8" fillId="7" borderId="4" xfId="0" applyFont="1" applyFill="1" applyBorder="1" applyAlignment="1">
      <alignment horizontal="center" vertical="center" wrapText="1"/>
    </xf>
    <xf numFmtId="49" fontId="8" fillId="7" borderId="14" xfId="0" applyNumberFormat="1" applyFont="1" applyFill="1" applyBorder="1" applyAlignment="1">
      <alignment horizontal="center" vertical="center"/>
    </xf>
    <xf numFmtId="0" fontId="31" fillId="22" borderId="9" xfId="0" applyFont="1" applyFill="1" applyBorder="1" applyAlignment="1">
      <alignment horizontal="justify" vertical="center" wrapText="1"/>
    </xf>
    <xf numFmtId="0" fontId="31" fillId="22" borderId="14" xfId="0" applyFont="1" applyFill="1" applyBorder="1" applyAlignment="1">
      <alignment horizontal="justify" vertical="center" wrapText="1"/>
    </xf>
    <xf numFmtId="0" fontId="33" fillId="9" borderId="9" xfId="0" applyFont="1" applyFill="1" applyBorder="1" applyAlignment="1">
      <alignment horizontal="center" vertical="center" textRotation="90" wrapText="1"/>
    </xf>
    <xf numFmtId="0" fontId="33" fillId="9" borderId="15" xfId="0" applyFont="1" applyFill="1" applyBorder="1" applyAlignment="1">
      <alignment horizontal="center" vertical="center" textRotation="90" wrapText="1"/>
    </xf>
    <xf numFmtId="0" fontId="31" fillId="22" borderId="9" xfId="0" applyFont="1" applyFill="1" applyBorder="1" applyAlignment="1">
      <alignment horizontal="center" vertical="center" wrapText="1"/>
    </xf>
    <xf numFmtId="0" fontId="31" fillId="22" borderId="14" xfId="0" applyFont="1" applyFill="1" applyBorder="1" applyAlignment="1">
      <alignment horizontal="center" vertical="center" wrapText="1"/>
    </xf>
    <xf numFmtId="3" fontId="32" fillId="22" borderId="9" xfId="0" applyNumberFormat="1" applyFont="1" applyFill="1" applyBorder="1" applyAlignment="1">
      <alignment horizontal="center" vertical="center" wrapText="1"/>
    </xf>
    <xf numFmtId="3" fontId="32" fillId="22" borderId="15" xfId="0" applyNumberFormat="1" applyFont="1" applyFill="1" applyBorder="1" applyAlignment="1">
      <alignment horizontal="center" vertical="center" wrapText="1"/>
    </xf>
    <xf numFmtId="3" fontId="33" fillId="9" borderId="2" xfId="0" applyNumberFormat="1" applyFont="1" applyFill="1" applyBorder="1" applyAlignment="1">
      <alignment horizontal="center" vertical="center" wrapText="1"/>
    </xf>
    <xf numFmtId="0" fontId="33" fillId="9" borderId="2" xfId="0" applyFont="1" applyFill="1" applyBorder="1" applyAlignment="1">
      <alignment horizontal="center" vertical="center" wrapText="1"/>
    </xf>
    <xf numFmtId="0" fontId="33" fillId="9" borderId="10" xfId="0" applyFont="1" applyFill="1" applyBorder="1" applyAlignment="1">
      <alignment horizontal="center" vertical="center"/>
    </xf>
    <xf numFmtId="0" fontId="33" fillId="9" borderId="11" xfId="0" applyFont="1" applyFill="1" applyBorder="1" applyAlignment="1">
      <alignment horizontal="center" vertical="center"/>
    </xf>
    <xf numFmtId="0" fontId="33" fillId="9" borderId="12" xfId="0" applyFont="1" applyFill="1" applyBorder="1" applyAlignment="1">
      <alignment horizontal="center" vertical="center"/>
    </xf>
    <xf numFmtId="0" fontId="31" fillId="22" borderId="9" xfId="0" applyNumberFormat="1" applyFont="1" applyFill="1" applyBorder="1" applyAlignment="1">
      <alignment horizontal="center" vertical="center" wrapText="1"/>
    </xf>
    <xf numFmtId="0" fontId="31" fillId="22" borderId="15"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 xfId="0" applyFont="1" applyFill="1" applyBorder="1" applyAlignment="1">
      <alignment horizontal="center" vertical="center"/>
    </xf>
    <xf numFmtId="14" fontId="31" fillId="22" borderId="9" xfId="0" applyNumberFormat="1" applyFont="1" applyFill="1" applyBorder="1" applyAlignment="1">
      <alignment horizontal="center" vertical="center" wrapText="1"/>
    </xf>
    <xf numFmtId="14" fontId="31" fillId="22" borderId="14" xfId="0" applyNumberFormat="1" applyFont="1" applyFill="1" applyBorder="1" applyAlignment="1">
      <alignment horizontal="center" vertical="center" wrapText="1"/>
    </xf>
    <xf numFmtId="14" fontId="31" fillId="22" borderId="15" xfId="0" applyNumberFormat="1" applyFont="1" applyFill="1" applyBorder="1" applyAlignment="1">
      <alignment horizontal="center" vertical="center" wrapText="1"/>
    </xf>
    <xf numFmtId="0" fontId="31" fillId="22" borderId="9" xfId="0" applyFont="1" applyFill="1" applyBorder="1" applyAlignment="1">
      <alignment horizontal="justify" vertical="center"/>
    </xf>
    <xf numFmtId="0" fontId="31" fillId="22" borderId="15" xfId="0" applyFont="1" applyFill="1" applyBorder="1" applyAlignment="1">
      <alignment horizontal="justify" vertical="center"/>
    </xf>
    <xf numFmtId="0" fontId="31" fillId="22" borderId="8" xfId="0" applyFont="1" applyFill="1" applyBorder="1" applyAlignment="1">
      <alignment horizontal="center" vertical="center"/>
    </xf>
    <xf numFmtId="0" fontId="31" fillId="22" borderId="6" xfId="0" applyFont="1" applyFill="1" applyBorder="1" applyAlignment="1">
      <alignment horizontal="center" vertical="center"/>
    </xf>
    <xf numFmtId="0" fontId="31" fillId="22" borderId="7" xfId="0" applyFont="1" applyFill="1" applyBorder="1" applyAlignment="1">
      <alignment horizontal="center" vertical="center"/>
    </xf>
    <xf numFmtId="0" fontId="31" fillId="22" borderId="4" xfId="0" applyFont="1" applyFill="1" applyBorder="1" applyAlignment="1">
      <alignment horizontal="center" vertical="center"/>
    </xf>
    <xf numFmtId="0" fontId="31" fillId="22" borderId="14" xfId="0" applyFont="1" applyFill="1" applyBorder="1" applyAlignment="1">
      <alignment horizontal="justify" vertical="center"/>
    </xf>
    <xf numFmtId="0" fontId="12" fillId="15" borderId="43" xfId="0" applyFont="1" applyFill="1" applyBorder="1" applyAlignment="1">
      <alignment horizontal="center" vertical="center" wrapText="1"/>
    </xf>
    <xf numFmtId="0" fontId="12" fillId="15" borderId="2" xfId="0" applyFont="1" applyFill="1" applyBorder="1" applyAlignment="1">
      <alignment horizontal="center" vertical="center" wrapText="1"/>
    </xf>
    <xf numFmtId="3" fontId="12" fillId="15" borderId="18" xfId="0" applyNumberFormat="1" applyFont="1" applyFill="1" applyBorder="1" applyAlignment="1">
      <alignment horizontal="center" vertical="center" wrapText="1"/>
    </xf>
    <xf numFmtId="0" fontId="12" fillId="15" borderId="2" xfId="0" applyFont="1" applyFill="1" applyBorder="1" applyAlignment="1">
      <alignment horizontal="center" vertical="center" textRotation="90" wrapText="1"/>
    </xf>
    <xf numFmtId="0" fontId="7" fillId="9" borderId="12" xfId="0" applyFont="1" applyFill="1" applyBorder="1" applyAlignment="1">
      <alignment horizontal="center" vertical="center"/>
    </xf>
    <xf numFmtId="3" fontId="11" fillId="7" borderId="16" xfId="0" applyNumberFormat="1" applyFont="1" applyFill="1" applyBorder="1" applyAlignment="1">
      <alignment horizontal="center" vertical="center" wrapText="1"/>
    </xf>
    <xf numFmtId="3" fontId="11" fillId="7" borderId="33" xfId="0" applyNumberFormat="1" applyFont="1" applyFill="1" applyBorder="1" applyAlignment="1">
      <alignment horizontal="center" vertical="center" wrapText="1"/>
    </xf>
    <xf numFmtId="175" fontId="11" fillId="7" borderId="13" xfId="0" applyNumberFormat="1" applyFont="1" applyFill="1" applyBorder="1" applyAlignment="1">
      <alignment horizontal="center" vertical="center" wrapText="1"/>
    </xf>
  </cellXfs>
  <cellStyles count="24">
    <cellStyle name="Excel Built-in Normal" xfId="16"/>
    <cellStyle name="Excel Built-in Normal 2" xfId="20"/>
    <cellStyle name="Millares" xfId="1" builtinId="3"/>
    <cellStyle name="Millares [0]" xfId="21" builtinId="6"/>
    <cellStyle name="Millares [0] 2" xfId="22"/>
    <cellStyle name="Millares [0] 3" xfId="15"/>
    <cellStyle name="Millares 2" xfId="6"/>
    <cellStyle name="Millares 2 2" xfId="11"/>
    <cellStyle name="Millares 3 2" xfId="23"/>
    <cellStyle name="Millares 3 3" xfId="7"/>
    <cellStyle name="Millares 4" xfId="8"/>
    <cellStyle name="Moneda" xfId="4" builtinId="4"/>
    <cellStyle name="Moneda [0] 2 3" xfId="18"/>
    <cellStyle name="Moneda 2" xfId="12"/>
    <cellStyle name="Normal" xfId="0" builtinId="0"/>
    <cellStyle name="Normal 2 2" xfId="10"/>
    <cellStyle name="Normal 2 2 2" xfId="3"/>
    <cellStyle name="Normal 3" xfId="13"/>
    <cellStyle name="Normal 4" xfId="17"/>
    <cellStyle name="Normal 7" xfId="19"/>
    <cellStyle name="Porcentaje" xfId="2" builtinId="5"/>
    <cellStyle name="Porcentaje 2" xfId="5"/>
    <cellStyle name="Porcentaje 2 2" xfId="9"/>
    <cellStyle name="Porcentual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161925</xdr:colOff>
      <xdr:row>5</xdr:row>
      <xdr:rowOff>9525</xdr:rowOff>
    </xdr:to>
    <xdr:pic>
      <xdr:nvPicPr>
        <xdr:cNvPr id="2" name="Imagen 1" descr="C:\Users\AUXPLANEACION03\Desktop\Gobernacion_del_quindio.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0"/>
          <a:ext cx="5619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1150711</xdr:colOff>
      <xdr:row>4</xdr:row>
      <xdr:rowOff>8857</xdr:rowOff>
    </xdr:to>
    <xdr:pic>
      <xdr:nvPicPr>
        <xdr:cNvPr id="2" name="Imagen 1" descr="C:\Users\AUXPLANEACION03\Desktop\Gobernacion_del_quindio.jpg">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150711" cy="923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038" y="119743"/>
          <a:ext cx="993321" cy="925286"/>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1</xdr:col>
      <xdr:colOff>27215</xdr:colOff>
      <xdr:row>0</xdr:row>
      <xdr:rowOff>204108</xdr:rowOff>
    </xdr:from>
    <xdr:to>
      <xdr:col>2</xdr:col>
      <xdr:colOff>316615</xdr:colOff>
      <xdr:row>1</xdr:row>
      <xdr:rowOff>4083</xdr:rowOff>
    </xdr:to>
    <xdr:pic>
      <xdr:nvPicPr>
        <xdr:cNvPr id="2" name="Imagen 1" descr="C:\Users\AUXPLANEACION03\Desktop\Gobernacion_del_quindio.jpg">
          <a:extLst>
            <a:ext uri="{FF2B5EF4-FFF2-40B4-BE49-F238E27FC236}">
              <a16:creationId xmlns="" xmlns:a16="http://schemas.microsoft.com/office/drawing/2014/main" id="{73F998F3-6473-439D-8E4B-6AE533686A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2115" y="194583"/>
          <a:ext cx="651350" cy="0"/>
        </a:xfrm>
        <a:prstGeom prst="rect">
          <a:avLst/>
        </a:prstGeom>
        <a:noFill/>
        <a:ln>
          <a:noFill/>
        </a:ln>
      </xdr:spPr>
    </xdr:pic>
    <xdr:clientData/>
  </xdr:twoCellAnchor>
  <xdr:oneCellAnchor>
    <xdr:from>
      <xdr:col>1</xdr:col>
      <xdr:colOff>27213</xdr:colOff>
      <xdr:row>0</xdr:row>
      <xdr:rowOff>176893</xdr:rowOff>
    </xdr:from>
    <xdr:ext cx="993321" cy="925286"/>
    <xdr:pic>
      <xdr:nvPicPr>
        <xdr:cNvPr id="3" name="Imagen 2" descr="C:\Users\AUXPLANEACION03\Desktop\Gobernacion_del_quindio.jpg">
          <a:extLst>
            <a:ext uri="{FF2B5EF4-FFF2-40B4-BE49-F238E27FC236}">
              <a16:creationId xmlns="" xmlns:a16="http://schemas.microsoft.com/office/drawing/2014/main" id="{F86A0F31-84D1-4585-A386-9E6F1B6B5A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2113" y="176893"/>
          <a:ext cx="993321" cy="925286"/>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361951</xdr:colOff>
      <xdr:row>0</xdr:row>
      <xdr:rowOff>0</xdr:rowOff>
    </xdr:from>
    <xdr:to>
      <xdr:col>1</xdr:col>
      <xdr:colOff>42864</xdr:colOff>
      <xdr:row>3</xdr:row>
      <xdr:rowOff>125123</xdr:rowOff>
    </xdr:to>
    <xdr:pic>
      <xdr:nvPicPr>
        <xdr:cNvPr id="2" name="Imagen 1" descr="C:\Users\AUXPLANEACION03\Desktop\Gobernacion_del_quindio.jp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0"/>
          <a:ext cx="538163" cy="696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1100941</xdr:colOff>
      <xdr:row>0</xdr:row>
      <xdr:rowOff>72985</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0941" y="72985"/>
          <a:ext cx="993321" cy="925286"/>
        </a:xfrm>
        <a:prstGeom prst="rect">
          <a:avLst/>
        </a:prstGeom>
        <a:noFill/>
        <a:ln>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361950</xdr:colOff>
      <xdr:row>0</xdr:row>
      <xdr:rowOff>0</xdr:rowOff>
    </xdr:from>
    <xdr:ext cx="1030060" cy="1090589"/>
    <xdr:pic>
      <xdr:nvPicPr>
        <xdr:cNvPr id="2" name="Imagen 1" descr="C:\Users\AUXPLANEACION03\Desktop\Gobernacion_del_quindio.jpg">
          <a:extLst>
            <a:ext uri="{FF2B5EF4-FFF2-40B4-BE49-F238E27FC236}">
              <a16:creationId xmlns=""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0"/>
          <a:ext cx="1030060" cy="1090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693965</xdr:colOff>
      <xdr:row>0</xdr:row>
      <xdr:rowOff>0</xdr:rowOff>
    </xdr:from>
    <xdr:to>
      <xdr:col>1</xdr:col>
      <xdr:colOff>476250</xdr:colOff>
      <xdr:row>3</xdr:row>
      <xdr:rowOff>165100</xdr:rowOff>
    </xdr:to>
    <xdr:pic>
      <xdr:nvPicPr>
        <xdr:cNvPr id="2" name="Imagen 1" descr="C:\Users\AUXPLANEACION03\Desktop\Gobernacion_del_quindio.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5" y="0"/>
          <a:ext cx="772885" cy="9080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552449</xdr:colOff>
      <xdr:row>0</xdr:row>
      <xdr:rowOff>0</xdr:rowOff>
    </xdr:from>
    <xdr:to>
      <xdr:col>2</xdr:col>
      <xdr:colOff>46263</xdr:colOff>
      <xdr:row>4</xdr:row>
      <xdr:rowOff>178594</xdr:rowOff>
    </xdr:to>
    <xdr:pic>
      <xdr:nvPicPr>
        <xdr:cNvPr id="2" name="Imagen 1" descr="C:\Users\AUXPLANEACION03\Desktop\Gobernacion_del_quindio.jpg">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49" y="0"/>
          <a:ext cx="722539" cy="940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100693</xdr:colOff>
      <xdr:row>0</xdr:row>
      <xdr:rowOff>84364</xdr:rowOff>
    </xdr:from>
    <xdr:ext cx="606879" cy="666750"/>
    <xdr:pic>
      <xdr:nvPicPr>
        <xdr:cNvPr id="2" name="Imagen 1" descr="C:\Users\AUXPLANEACION03\Desktop\Gobernacion_del_quindio.jpg">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6993" y="84364"/>
          <a:ext cx="606879" cy="66675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888" y="176893"/>
          <a:ext cx="993321" cy="925286"/>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484911</xdr:colOff>
      <xdr:row>0</xdr:row>
      <xdr:rowOff>86591</xdr:rowOff>
    </xdr:from>
    <xdr:to>
      <xdr:col>2</xdr:col>
      <xdr:colOff>167821</xdr:colOff>
      <xdr:row>0</xdr:row>
      <xdr:rowOff>86591</xdr:rowOff>
    </xdr:to>
    <xdr:pic>
      <xdr:nvPicPr>
        <xdr:cNvPr id="2" name="Imagen 1" descr="C:\Users\AUXPLANEACION03\Desktop\Gobernacion_del_quindio.jpg">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911" y="86591"/>
          <a:ext cx="825910" cy="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564698</xdr:colOff>
      <xdr:row>5</xdr:row>
      <xdr:rowOff>35378</xdr:rowOff>
    </xdr:to>
    <xdr:pic>
      <xdr:nvPicPr>
        <xdr:cNvPr id="2" name="Imagen 1" descr="C:\Users\AUXPLANEACION03\Desktop\Gobernacion_del_quindio.jpg">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1" y="0"/>
          <a:ext cx="917122" cy="1035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888" y="176893"/>
          <a:ext cx="993321" cy="925286"/>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1638" y="176893"/>
          <a:ext cx="993321" cy="925286"/>
        </a:xfrm>
        <a:prstGeom prst="rect">
          <a:avLst/>
        </a:prstGeom>
        <a:noFill/>
        <a:ln>
          <a:noFill/>
        </a:ln>
      </xdr:spPr>
    </xdr:pic>
    <xdr:clientData/>
  </xdr:oneCellAnchor>
  <xdr:oneCellAnchor>
    <xdr:from>
      <xdr:col>1</xdr:col>
      <xdr:colOff>27213</xdr:colOff>
      <xdr:row>0</xdr:row>
      <xdr:rowOff>176893</xdr:rowOff>
    </xdr:from>
    <xdr:ext cx="993321" cy="925286"/>
    <xdr:pic>
      <xdr:nvPicPr>
        <xdr:cNvPr id="3" name="Imagen 2" descr="C:\Users\AUXPLANEACION03\Desktop\Gobernacion_del_quindio.jpg">
          <a:extLst>
            <a:ext uri="{FF2B5EF4-FFF2-40B4-BE49-F238E27FC236}">
              <a16:creationId xmlns=""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1638" y="176893"/>
          <a:ext cx="993321" cy="925286"/>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EGO%20RAMIREZ/Dropbox/Edades_Simples_1985-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 de edad"/>
      <sheetName val="Edades simples Total"/>
      <sheetName val="Mpios creados &gt; 1985"/>
      <sheetName val="Hoja1"/>
    </sheetNames>
    <sheetDataSet>
      <sheetData sheetId="0" refreshError="1"/>
      <sheetData sheetId="1" refreshError="1"/>
      <sheetData sheetId="2" refreshError="1"/>
      <sheetData sheetId="3" refreshError="1">
        <row r="11">
          <cell r="H11">
            <v>111093.8</v>
          </cell>
        </row>
        <row r="12">
          <cell r="D12">
            <v>271068.87199999997</v>
          </cell>
          <cell r="E12">
            <v>284400.12800000003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Q30"/>
  <sheetViews>
    <sheetView showGridLines="0" zoomScale="50" zoomScaleNormal="50" workbookViewId="0">
      <selection activeCell="N14" sqref="N14:N16"/>
    </sheetView>
  </sheetViews>
  <sheetFormatPr baseColWidth="10" defaultRowHeight="15" x14ac:dyDescent="0.2"/>
  <cols>
    <col min="1" max="1" width="13.28515625" style="2" customWidth="1"/>
    <col min="2" max="2" width="6" style="2" customWidth="1"/>
    <col min="3" max="3" width="15.5703125" style="2" customWidth="1"/>
    <col min="4" max="4" width="14.140625" style="2" customWidth="1"/>
    <col min="5" max="5" width="7.42578125" style="2" customWidth="1"/>
    <col min="6" max="6" width="12.28515625" style="2" customWidth="1"/>
    <col min="7" max="7" width="13.85546875" style="2" customWidth="1"/>
    <col min="8" max="8" width="24" style="2" customWidth="1"/>
    <col min="9" max="9" width="1" style="2" customWidth="1"/>
    <col min="10" max="10" width="14.28515625" style="104" customWidth="1"/>
    <col min="11" max="11" width="29" style="104" customWidth="1"/>
    <col min="12" max="12" width="21.85546875" style="104" customWidth="1"/>
    <col min="13" max="13" width="22" style="104" customWidth="1"/>
    <col min="14" max="14" width="34.7109375" style="104" customWidth="1"/>
    <col min="15" max="15" width="26.140625" style="104" customWidth="1"/>
    <col min="16" max="16" width="26.5703125" style="104" customWidth="1"/>
    <col min="17" max="17" width="19.28515625" style="105" customWidth="1"/>
    <col min="18" max="18" width="27.85546875" style="104" customWidth="1"/>
    <col min="19" max="19" width="35.140625" style="104" customWidth="1"/>
    <col min="20" max="20" width="36.85546875" style="104" customWidth="1"/>
    <col min="21" max="21" width="37.42578125" style="104" customWidth="1"/>
    <col min="22" max="22" width="29.42578125" style="2" customWidth="1"/>
    <col min="23" max="23" width="13.28515625" style="2" customWidth="1"/>
    <col min="24" max="24" width="17.42578125" style="2" customWidth="1"/>
    <col min="25" max="28" width="11.42578125" style="2"/>
    <col min="29" max="29" width="14" style="2" customWidth="1"/>
    <col min="30" max="40" width="11.42578125" style="2"/>
    <col min="41" max="41" width="16.85546875" style="2" customWidth="1"/>
    <col min="42" max="42" width="21.5703125" style="2" customWidth="1"/>
    <col min="43" max="43" width="28" style="2" customWidth="1"/>
    <col min="44" max="256" width="11.42578125" style="2"/>
    <col min="257" max="257" width="13.28515625" style="2" customWidth="1"/>
    <col min="258" max="258" width="6" style="2" customWidth="1"/>
    <col min="259" max="259" width="15.5703125" style="2" customWidth="1"/>
    <col min="260" max="260" width="14.140625" style="2" customWidth="1"/>
    <col min="261" max="261" width="7.42578125" style="2" customWidth="1"/>
    <col min="262" max="262" width="12.28515625" style="2" customWidth="1"/>
    <col min="263" max="263" width="13.85546875" style="2" customWidth="1"/>
    <col min="264" max="264" width="24" style="2" customWidth="1"/>
    <col min="265" max="265" width="1" style="2" customWidth="1"/>
    <col min="266" max="266" width="14.28515625" style="2" customWidth="1"/>
    <col min="267" max="267" width="29" style="2" customWidth="1"/>
    <col min="268" max="268" width="21.85546875" style="2" customWidth="1"/>
    <col min="269" max="269" width="22" style="2" customWidth="1"/>
    <col min="270" max="270" width="34.7109375" style="2" customWidth="1"/>
    <col min="271" max="271" width="26.140625" style="2" customWidth="1"/>
    <col min="272" max="272" width="18.85546875" style="2" customWidth="1"/>
    <col min="273" max="273" width="13.28515625" style="2" customWidth="1"/>
    <col min="274" max="274" width="27.85546875" style="2" customWidth="1"/>
    <col min="275" max="275" width="29.7109375" style="2" customWidth="1"/>
    <col min="276" max="276" width="30.85546875" style="2" customWidth="1"/>
    <col min="277" max="277" width="34.5703125" style="2" customWidth="1"/>
    <col min="278" max="278" width="29.42578125" style="2" customWidth="1"/>
    <col min="279" max="279" width="13.28515625" style="2" customWidth="1"/>
    <col min="280" max="280" width="17.42578125" style="2" customWidth="1"/>
    <col min="281" max="296" width="11.42578125" style="2"/>
    <col min="297" max="297" width="16.85546875" style="2" customWidth="1"/>
    <col min="298" max="298" width="21.5703125" style="2" customWidth="1"/>
    <col min="299" max="299" width="28" style="2" customWidth="1"/>
    <col min="300" max="512" width="11.42578125" style="2"/>
    <col min="513" max="513" width="13.28515625" style="2" customWidth="1"/>
    <col min="514" max="514" width="6" style="2" customWidth="1"/>
    <col min="515" max="515" width="15.5703125" style="2" customWidth="1"/>
    <col min="516" max="516" width="14.140625" style="2" customWidth="1"/>
    <col min="517" max="517" width="7.42578125" style="2" customWidth="1"/>
    <col min="518" max="518" width="12.28515625" style="2" customWidth="1"/>
    <col min="519" max="519" width="13.85546875" style="2" customWidth="1"/>
    <col min="520" max="520" width="24" style="2" customWidth="1"/>
    <col min="521" max="521" width="1" style="2" customWidth="1"/>
    <col min="522" max="522" width="14.28515625" style="2" customWidth="1"/>
    <col min="523" max="523" width="29" style="2" customWidth="1"/>
    <col min="524" max="524" width="21.85546875" style="2" customWidth="1"/>
    <col min="525" max="525" width="22" style="2" customWidth="1"/>
    <col min="526" max="526" width="34.7109375" style="2" customWidth="1"/>
    <col min="527" max="527" width="26.140625" style="2" customWidth="1"/>
    <col min="528" max="528" width="18.85546875" style="2" customWidth="1"/>
    <col min="529" max="529" width="13.28515625" style="2" customWidth="1"/>
    <col min="530" max="530" width="27.85546875" style="2" customWidth="1"/>
    <col min="531" max="531" width="29.7109375" style="2" customWidth="1"/>
    <col min="532" max="532" width="30.85546875" style="2" customWidth="1"/>
    <col min="533" max="533" width="34.5703125" style="2" customWidth="1"/>
    <col min="534" max="534" width="29.42578125" style="2" customWidth="1"/>
    <col min="535" max="535" width="13.28515625" style="2" customWidth="1"/>
    <col min="536" max="536" width="17.42578125" style="2" customWidth="1"/>
    <col min="537" max="552" width="11.42578125" style="2"/>
    <col min="553" max="553" width="16.85546875" style="2" customWidth="1"/>
    <col min="554" max="554" width="21.5703125" style="2" customWidth="1"/>
    <col min="555" max="555" width="28" style="2" customWidth="1"/>
    <col min="556" max="768" width="11.42578125" style="2"/>
    <col min="769" max="769" width="13.28515625" style="2" customWidth="1"/>
    <col min="770" max="770" width="6" style="2" customWidth="1"/>
    <col min="771" max="771" width="15.5703125" style="2" customWidth="1"/>
    <col min="772" max="772" width="14.140625" style="2" customWidth="1"/>
    <col min="773" max="773" width="7.42578125" style="2" customWidth="1"/>
    <col min="774" max="774" width="12.28515625" style="2" customWidth="1"/>
    <col min="775" max="775" width="13.85546875" style="2" customWidth="1"/>
    <col min="776" max="776" width="24" style="2" customWidth="1"/>
    <col min="777" max="777" width="1" style="2" customWidth="1"/>
    <col min="778" max="778" width="14.28515625" style="2" customWidth="1"/>
    <col min="779" max="779" width="29" style="2" customWidth="1"/>
    <col min="780" max="780" width="21.85546875" style="2" customWidth="1"/>
    <col min="781" max="781" width="22" style="2" customWidth="1"/>
    <col min="782" max="782" width="34.7109375" style="2" customWidth="1"/>
    <col min="783" max="783" width="26.140625" style="2" customWidth="1"/>
    <col min="784" max="784" width="18.85546875" style="2" customWidth="1"/>
    <col min="785" max="785" width="13.28515625" style="2" customWidth="1"/>
    <col min="786" max="786" width="27.85546875" style="2" customWidth="1"/>
    <col min="787" max="787" width="29.7109375" style="2" customWidth="1"/>
    <col min="788" max="788" width="30.85546875" style="2" customWidth="1"/>
    <col min="789" max="789" width="34.5703125" style="2" customWidth="1"/>
    <col min="790" max="790" width="29.42578125" style="2" customWidth="1"/>
    <col min="791" max="791" width="13.28515625" style="2" customWidth="1"/>
    <col min="792" max="792" width="17.42578125" style="2" customWidth="1"/>
    <col min="793" max="808" width="11.42578125" style="2"/>
    <col min="809" max="809" width="16.85546875" style="2" customWidth="1"/>
    <col min="810" max="810" width="21.5703125" style="2" customWidth="1"/>
    <col min="811" max="811" width="28" style="2" customWidth="1"/>
    <col min="812" max="1024" width="11.42578125" style="2"/>
    <col min="1025" max="1025" width="13.28515625" style="2" customWidth="1"/>
    <col min="1026" max="1026" width="6" style="2" customWidth="1"/>
    <col min="1027" max="1027" width="15.5703125" style="2" customWidth="1"/>
    <col min="1028" max="1028" width="14.140625" style="2" customWidth="1"/>
    <col min="1029" max="1029" width="7.42578125" style="2" customWidth="1"/>
    <col min="1030" max="1030" width="12.28515625" style="2" customWidth="1"/>
    <col min="1031" max="1031" width="13.85546875" style="2" customWidth="1"/>
    <col min="1032" max="1032" width="24" style="2" customWidth="1"/>
    <col min="1033" max="1033" width="1" style="2" customWidth="1"/>
    <col min="1034" max="1034" width="14.28515625" style="2" customWidth="1"/>
    <col min="1035" max="1035" width="29" style="2" customWidth="1"/>
    <col min="1036" max="1036" width="21.85546875" style="2" customWidth="1"/>
    <col min="1037" max="1037" width="22" style="2" customWidth="1"/>
    <col min="1038" max="1038" width="34.7109375" style="2" customWidth="1"/>
    <col min="1039" max="1039" width="26.140625" style="2" customWidth="1"/>
    <col min="1040" max="1040" width="18.85546875" style="2" customWidth="1"/>
    <col min="1041" max="1041" width="13.28515625" style="2" customWidth="1"/>
    <col min="1042" max="1042" width="27.85546875" style="2" customWidth="1"/>
    <col min="1043" max="1043" width="29.7109375" style="2" customWidth="1"/>
    <col min="1044" max="1044" width="30.85546875" style="2" customWidth="1"/>
    <col min="1045" max="1045" width="34.5703125" style="2" customWidth="1"/>
    <col min="1046" max="1046" width="29.42578125" style="2" customWidth="1"/>
    <col min="1047" max="1047" width="13.28515625" style="2" customWidth="1"/>
    <col min="1048" max="1048" width="17.42578125" style="2" customWidth="1"/>
    <col min="1049" max="1064" width="11.42578125" style="2"/>
    <col min="1065" max="1065" width="16.85546875" style="2" customWidth="1"/>
    <col min="1066" max="1066" width="21.5703125" style="2" customWidth="1"/>
    <col min="1067" max="1067" width="28" style="2" customWidth="1"/>
    <col min="1068" max="1280" width="11.42578125" style="2"/>
    <col min="1281" max="1281" width="13.28515625" style="2" customWidth="1"/>
    <col min="1282" max="1282" width="6" style="2" customWidth="1"/>
    <col min="1283" max="1283" width="15.5703125" style="2" customWidth="1"/>
    <col min="1284" max="1284" width="14.140625" style="2" customWidth="1"/>
    <col min="1285" max="1285" width="7.42578125" style="2" customWidth="1"/>
    <col min="1286" max="1286" width="12.28515625" style="2" customWidth="1"/>
    <col min="1287" max="1287" width="13.85546875" style="2" customWidth="1"/>
    <col min="1288" max="1288" width="24" style="2" customWidth="1"/>
    <col min="1289" max="1289" width="1" style="2" customWidth="1"/>
    <col min="1290" max="1290" width="14.28515625" style="2" customWidth="1"/>
    <col min="1291" max="1291" width="29" style="2" customWidth="1"/>
    <col min="1292" max="1292" width="21.85546875" style="2" customWidth="1"/>
    <col min="1293" max="1293" width="22" style="2" customWidth="1"/>
    <col min="1294" max="1294" width="34.7109375" style="2" customWidth="1"/>
    <col min="1295" max="1295" width="26.140625" style="2" customWidth="1"/>
    <col min="1296" max="1296" width="18.85546875" style="2" customWidth="1"/>
    <col min="1297" max="1297" width="13.28515625" style="2" customWidth="1"/>
    <col min="1298" max="1298" width="27.85546875" style="2" customWidth="1"/>
    <col min="1299" max="1299" width="29.7109375" style="2" customWidth="1"/>
    <col min="1300" max="1300" width="30.85546875" style="2" customWidth="1"/>
    <col min="1301" max="1301" width="34.5703125" style="2" customWidth="1"/>
    <col min="1302" max="1302" width="29.42578125" style="2" customWidth="1"/>
    <col min="1303" max="1303" width="13.28515625" style="2" customWidth="1"/>
    <col min="1304" max="1304" width="17.42578125" style="2" customWidth="1"/>
    <col min="1305" max="1320" width="11.42578125" style="2"/>
    <col min="1321" max="1321" width="16.85546875" style="2" customWidth="1"/>
    <col min="1322" max="1322" width="21.5703125" style="2" customWidth="1"/>
    <col min="1323" max="1323" width="28" style="2" customWidth="1"/>
    <col min="1324" max="1536" width="11.42578125" style="2"/>
    <col min="1537" max="1537" width="13.28515625" style="2" customWidth="1"/>
    <col min="1538" max="1538" width="6" style="2" customWidth="1"/>
    <col min="1539" max="1539" width="15.5703125" style="2" customWidth="1"/>
    <col min="1540" max="1540" width="14.140625" style="2" customWidth="1"/>
    <col min="1541" max="1541" width="7.42578125" style="2" customWidth="1"/>
    <col min="1542" max="1542" width="12.28515625" style="2" customWidth="1"/>
    <col min="1543" max="1543" width="13.85546875" style="2" customWidth="1"/>
    <col min="1544" max="1544" width="24" style="2" customWidth="1"/>
    <col min="1545" max="1545" width="1" style="2" customWidth="1"/>
    <col min="1546" max="1546" width="14.28515625" style="2" customWidth="1"/>
    <col min="1547" max="1547" width="29" style="2" customWidth="1"/>
    <col min="1548" max="1548" width="21.85546875" style="2" customWidth="1"/>
    <col min="1549" max="1549" width="22" style="2" customWidth="1"/>
    <col min="1550" max="1550" width="34.7109375" style="2" customWidth="1"/>
    <col min="1551" max="1551" width="26.140625" style="2" customWidth="1"/>
    <col min="1552" max="1552" width="18.85546875" style="2" customWidth="1"/>
    <col min="1553" max="1553" width="13.28515625" style="2" customWidth="1"/>
    <col min="1554" max="1554" width="27.85546875" style="2" customWidth="1"/>
    <col min="1555" max="1555" width="29.7109375" style="2" customWidth="1"/>
    <col min="1556" max="1556" width="30.85546875" style="2" customWidth="1"/>
    <col min="1557" max="1557" width="34.5703125" style="2" customWidth="1"/>
    <col min="1558" max="1558" width="29.42578125" style="2" customWidth="1"/>
    <col min="1559" max="1559" width="13.28515625" style="2" customWidth="1"/>
    <col min="1560" max="1560" width="17.42578125" style="2" customWidth="1"/>
    <col min="1561" max="1576" width="11.42578125" style="2"/>
    <col min="1577" max="1577" width="16.85546875" style="2" customWidth="1"/>
    <col min="1578" max="1578" width="21.5703125" style="2" customWidth="1"/>
    <col min="1579" max="1579" width="28" style="2" customWidth="1"/>
    <col min="1580" max="1792" width="11.42578125" style="2"/>
    <col min="1793" max="1793" width="13.28515625" style="2" customWidth="1"/>
    <col min="1794" max="1794" width="6" style="2" customWidth="1"/>
    <col min="1795" max="1795" width="15.5703125" style="2" customWidth="1"/>
    <col min="1796" max="1796" width="14.140625" style="2" customWidth="1"/>
    <col min="1797" max="1797" width="7.42578125" style="2" customWidth="1"/>
    <col min="1798" max="1798" width="12.28515625" style="2" customWidth="1"/>
    <col min="1799" max="1799" width="13.85546875" style="2" customWidth="1"/>
    <col min="1800" max="1800" width="24" style="2" customWidth="1"/>
    <col min="1801" max="1801" width="1" style="2" customWidth="1"/>
    <col min="1802" max="1802" width="14.28515625" style="2" customWidth="1"/>
    <col min="1803" max="1803" width="29" style="2" customWidth="1"/>
    <col min="1804" max="1804" width="21.85546875" style="2" customWidth="1"/>
    <col min="1805" max="1805" width="22" style="2" customWidth="1"/>
    <col min="1806" max="1806" width="34.7109375" style="2" customWidth="1"/>
    <col min="1807" max="1807" width="26.140625" style="2" customWidth="1"/>
    <col min="1808" max="1808" width="18.85546875" style="2" customWidth="1"/>
    <col min="1809" max="1809" width="13.28515625" style="2" customWidth="1"/>
    <col min="1810" max="1810" width="27.85546875" style="2" customWidth="1"/>
    <col min="1811" max="1811" width="29.7109375" style="2" customWidth="1"/>
    <col min="1812" max="1812" width="30.85546875" style="2" customWidth="1"/>
    <col min="1813" max="1813" width="34.5703125" style="2" customWidth="1"/>
    <col min="1814" max="1814" width="29.42578125" style="2" customWidth="1"/>
    <col min="1815" max="1815" width="13.28515625" style="2" customWidth="1"/>
    <col min="1816" max="1816" width="17.42578125" style="2" customWidth="1"/>
    <col min="1817" max="1832" width="11.42578125" style="2"/>
    <col min="1833" max="1833" width="16.85546875" style="2" customWidth="1"/>
    <col min="1834" max="1834" width="21.5703125" style="2" customWidth="1"/>
    <col min="1835" max="1835" width="28" style="2" customWidth="1"/>
    <col min="1836" max="2048" width="11.42578125" style="2"/>
    <col min="2049" max="2049" width="13.28515625" style="2" customWidth="1"/>
    <col min="2050" max="2050" width="6" style="2" customWidth="1"/>
    <col min="2051" max="2051" width="15.5703125" style="2" customWidth="1"/>
    <col min="2052" max="2052" width="14.140625" style="2" customWidth="1"/>
    <col min="2053" max="2053" width="7.42578125" style="2" customWidth="1"/>
    <col min="2054" max="2054" width="12.28515625" style="2" customWidth="1"/>
    <col min="2055" max="2055" width="13.85546875" style="2" customWidth="1"/>
    <col min="2056" max="2056" width="24" style="2" customWidth="1"/>
    <col min="2057" max="2057" width="1" style="2" customWidth="1"/>
    <col min="2058" max="2058" width="14.28515625" style="2" customWidth="1"/>
    <col min="2059" max="2059" width="29" style="2" customWidth="1"/>
    <col min="2060" max="2060" width="21.85546875" style="2" customWidth="1"/>
    <col min="2061" max="2061" width="22" style="2" customWidth="1"/>
    <col min="2062" max="2062" width="34.7109375" style="2" customWidth="1"/>
    <col min="2063" max="2063" width="26.140625" style="2" customWidth="1"/>
    <col min="2064" max="2064" width="18.85546875" style="2" customWidth="1"/>
    <col min="2065" max="2065" width="13.28515625" style="2" customWidth="1"/>
    <col min="2066" max="2066" width="27.85546875" style="2" customWidth="1"/>
    <col min="2067" max="2067" width="29.7109375" style="2" customWidth="1"/>
    <col min="2068" max="2068" width="30.85546875" style="2" customWidth="1"/>
    <col min="2069" max="2069" width="34.5703125" style="2" customWidth="1"/>
    <col min="2070" max="2070" width="29.42578125" style="2" customWidth="1"/>
    <col min="2071" max="2071" width="13.28515625" style="2" customWidth="1"/>
    <col min="2072" max="2072" width="17.42578125" style="2" customWidth="1"/>
    <col min="2073" max="2088" width="11.42578125" style="2"/>
    <col min="2089" max="2089" width="16.85546875" style="2" customWidth="1"/>
    <col min="2090" max="2090" width="21.5703125" style="2" customWidth="1"/>
    <col min="2091" max="2091" width="28" style="2" customWidth="1"/>
    <col min="2092" max="2304" width="11.42578125" style="2"/>
    <col min="2305" max="2305" width="13.28515625" style="2" customWidth="1"/>
    <col min="2306" max="2306" width="6" style="2" customWidth="1"/>
    <col min="2307" max="2307" width="15.5703125" style="2" customWidth="1"/>
    <col min="2308" max="2308" width="14.140625" style="2" customWidth="1"/>
    <col min="2309" max="2309" width="7.42578125" style="2" customWidth="1"/>
    <col min="2310" max="2310" width="12.28515625" style="2" customWidth="1"/>
    <col min="2311" max="2311" width="13.85546875" style="2" customWidth="1"/>
    <col min="2312" max="2312" width="24" style="2" customWidth="1"/>
    <col min="2313" max="2313" width="1" style="2" customWidth="1"/>
    <col min="2314" max="2314" width="14.28515625" style="2" customWidth="1"/>
    <col min="2315" max="2315" width="29" style="2" customWidth="1"/>
    <col min="2316" max="2316" width="21.85546875" style="2" customWidth="1"/>
    <col min="2317" max="2317" width="22" style="2" customWidth="1"/>
    <col min="2318" max="2318" width="34.7109375" style="2" customWidth="1"/>
    <col min="2319" max="2319" width="26.140625" style="2" customWidth="1"/>
    <col min="2320" max="2320" width="18.85546875" style="2" customWidth="1"/>
    <col min="2321" max="2321" width="13.28515625" style="2" customWidth="1"/>
    <col min="2322" max="2322" width="27.85546875" style="2" customWidth="1"/>
    <col min="2323" max="2323" width="29.7109375" style="2" customWidth="1"/>
    <col min="2324" max="2324" width="30.85546875" style="2" customWidth="1"/>
    <col min="2325" max="2325" width="34.5703125" style="2" customWidth="1"/>
    <col min="2326" max="2326" width="29.42578125" style="2" customWidth="1"/>
    <col min="2327" max="2327" width="13.28515625" style="2" customWidth="1"/>
    <col min="2328" max="2328" width="17.42578125" style="2" customWidth="1"/>
    <col min="2329" max="2344" width="11.42578125" style="2"/>
    <col min="2345" max="2345" width="16.85546875" style="2" customWidth="1"/>
    <col min="2346" max="2346" width="21.5703125" style="2" customWidth="1"/>
    <col min="2347" max="2347" width="28" style="2" customWidth="1"/>
    <col min="2348" max="2560" width="11.42578125" style="2"/>
    <col min="2561" max="2561" width="13.28515625" style="2" customWidth="1"/>
    <col min="2562" max="2562" width="6" style="2" customWidth="1"/>
    <col min="2563" max="2563" width="15.5703125" style="2" customWidth="1"/>
    <col min="2564" max="2564" width="14.140625" style="2" customWidth="1"/>
    <col min="2565" max="2565" width="7.42578125" style="2" customWidth="1"/>
    <col min="2566" max="2566" width="12.28515625" style="2" customWidth="1"/>
    <col min="2567" max="2567" width="13.85546875" style="2" customWidth="1"/>
    <col min="2568" max="2568" width="24" style="2" customWidth="1"/>
    <col min="2569" max="2569" width="1" style="2" customWidth="1"/>
    <col min="2570" max="2570" width="14.28515625" style="2" customWidth="1"/>
    <col min="2571" max="2571" width="29" style="2" customWidth="1"/>
    <col min="2572" max="2572" width="21.85546875" style="2" customWidth="1"/>
    <col min="2573" max="2573" width="22" style="2" customWidth="1"/>
    <col min="2574" max="2574" width="34.7109375" style="2" customWidth="1"/>
    <col min="2575" max="2575" width="26.140625" style="2" customWidth="1"/>
    <col min="2576" max="2576" width="18.85546875" style="2" customWidth="1"/>
    <col min="2577" max="2577" width="13.28515625" style="2" customWidth="1"/>
    <col min="2578" max="2578" width="27.85546875" style="2" customWidth="1"/>
    <col min="2579" max="2579" width="29.7109375" style="2" customWidth="1"/>
    <col min="2580" max="2580" width="30.85546875" style="2" customWidth="1"/>
    <col min="2581" max="2581" width="34.5703125" style="2" customWidth="1"/>
    <col min="2582" max="2582" width="29.42578125" style="2" customWidth="1"/>
    <col min="2583" max="2583" width="13.28515625" style="2" customWidth="1"/>
    <col min="2584" max="2584" width="17.42578125" style="2" customWidth="1"/>
    <col min="2585" max="2600" width="11.42578125" style="2"/>
    <col min="2601" max="2601" width="16.85546875" style="2" customWidth="1"/>
    <col min="2602" max="2602" width="21.5703125" style="2" customWidth="1"/>
    <col min="2603" max="2603" width="28" style="2" customWidth="1"/>
    <col min="2604" max="2816" width="11.42578125" style="2"/>
    <col min="2817" max="2817" width="13.28515625" style="2" customWidth="1"/>
    <col min="2818" max="2818" width="6" style="2" customWidth="1"/>
    <col min="2819" max="2819" width="15.5703125" style="2" customWidth="1"/>
    <col min="2820" max="2820" width="14.140625" style="2" customWidth="1"/>
    <col min="2821" max="2821" width="7.42578125" style="2" customWidth="1"/>
    <col min="2822" max="2822" width="12.28515625" style="2" customWidth="1"/>
    <col min="2823" max="2823" width="13.85546875" style="2" customWidth="1"/>
    <col min="2824" max="2824" width="24" style="2" customWidth="1"/>
    <col min="2825" max="2825" width="1" style="2" customWidth="1"/>
    <col min="2826" max="2826" width="14.28515625" style="2" customWidth="1"/>
    <col min="2827" max="2827" width="29" style="2" customWidth="1"/>
    <col min="2828" max="2828" width="21.85546875" style="2" customWidth="1"/>
    <col min="2829" max="2829" width="22" style="2" customWidth="1"/>
    <col min="2830" max="2830" width="34.7109375" style="2" customWidth="1"/>
    <col min="2831" max="2831" width="26.140625" style="2" customWidth="1"/>
    <col min="2832" max="2832" width="18.85546875" style="2" customWidth="1"/>
    <col min="2833" max="2833" width="13.28515625" style="2" customWidth="1"/>
    <col min="2834" max="2834" width="27.85546875" style="2" customWidth="1"/>
    <col min="2835" max="2835" width="29.7109375" style="2" customWidth="1"/>
    <col min="2836" max="2836" width="30.85546875" style="2" customWidth="1"/>
    <col min="2837" max="2837" width="34.5703125" style="2" customWidth="1"/>
    <col min="2838" max="2838" width="29.42578125" style="2" customWidth="1"/>
    <col min="2839" max="2839" width="13.28515625" style="2" customWidth="1"/>
    <col min="2840" max="2840" width="17.42578125" style="2" customWidth="1"/>
    <col min="2841" max="2856" width="11.42578125" style="2"/>
    <col min="2857" max="2857" width="16.85546875" style="2" customWidth="1"/>
    <col min="2858" max="2858" width="21.5703125" style="2" customWidth="1"/>
    <col min="2859" max="2859" width="28" style="2" customWidth="1"/>
    <col min="2860" max="3072" width="11.42578125" style="2"/>
    <col min="3073" max="3073" width="13.28515625" style="2" customWidth="1"/>
    <col min="3074" max="3074" width="6" style="2" customWidth="1"/>
    <col min="3075" max="3075" width="15.5703125" style="2" customWidth="1"/>
    <col min="3076" max="3076" width="14.140625" style="2" customWidth="1"/>
    <col min="3077" max="3077" width="7.42578125" style="2" customWidth="1"/>
    <col min="3078" max="3078" width="12.28515625" style="2" customWidth="1"/>
    <col min="3079" max="3079" width="13.85546875" style="2" customWidth="1"/>
    <col min="3080" max="3080" width="24" style="2" customWidth="1"/>
    <col min="3081" max="3081" width="1" style="2" customWidth="1"/>
    <col min="3082" max="3082" width="14.28515625" style="2" customWidth="1"/>
    <col min="3083" max="3083" width="29" style="2" customWidth="1"/>
    <col min="3084" max="3084" width="21.85546875" style="2" customWidth="1"/>
    <col min="3085" max="3085" width="22" style="2" customWidth="1"/>
    <col min="3086" max="3086" width="34.7109375" style="2" customWidth="1"/>
    <col min="3087" max="3087" width="26.140625" style="2" customWidth="1"/>
    <col min="3088" max="3088" width="18.85546875" style="2" customWidth="1"/>
    <col min="3089" max="3089" width="13.28515625" style="2" customWidth="1"/>
    <col min="3090" max="3090" width="27.85546875" style="2" customWidth="1"/>
    <col min="3091" max="3091" width="29.7109375" style="2" customWidth="1"/>
    <col min="3092" max="3092" width="30.85546875" style="2" customWidth="1"/>
    <col min="3093" max="3093" width="34.5703125" style="2" customWidth="1"/>
    <col min="3094" max="3094" width="29.42578125" style="2" customWidth="1"/>
    <col min="3095" max="3095" width="13.28515625" style="2" customWidth="1"/>
    <col min="3096" max="3096" width="17.42578125" style="2" customWidth="1"/>
    <col min="3097" max="3112" width="11.42578125" style="2"/>
    <col min="3113" max="3113" width="16.85546875" style="2" customWidth="1"/>
    <col min="3114" max="3114" width="21.5703125" style="2" customWidth="1"/>
    <col min="3115" max="3115" width="28" style="2" customWidth="1"/>
    <col min="3116" max="3328" width="11.42578125" style="2"/>
    <col min="3329" max="3329" width="13.28515625" style="2" customWidth="1"/>
    <col min="3330" max="3330" width="6" style="2" customWidth="1"/>
    <col min="3331" max="3331" width="15.5703125" style="2" customWidth="1"/>
    <col min="3332" max="3332" width="14.140625" style="2" customWidth="1"/>
    <col min="3333" max="3333" width="7.42578125" style="2" customWidth="1"/>
    <col min="3334" max="3334" width="12.28515625" style="2" customWidth="1"/>
    <col min="3335" max="3335" width="13.85546875" style="2" customWidth="1"/>
    <col min="3336" max="3336" width="24" style="2" customWidth="1"/>
    <col min="3337" max="3337" width="1" style="2" customWidth="1"/>
    <col min="3338" max="3338" width="14.28515625" style="2" customWidth="1"/>
    <col min="3339" max="3339" width="29" style="2" customWidth="1"/>
    <col min="3340" max="3340" width="21.85546875" style="2" customWidth="1"/>
    <col min="3341" max="3341" width="22" style="2" customWidth="1"/>
    <col min="3342" max="3342" width="34.7109375" style="2" customWidth="1"/>
    <col min="3343" max="3343" width="26.140625" style="2" customWidth="1"/>
    <col min="3344" max="3344" width="18.85546875" style="2" customWidth="1"/>
    <col min="3345" max="3345" width="13.28515625" style="2" customWidth="1"/>
    <col min="3346" max="3346" width="27.85546875" style="2" customWidth="1"/>
    <col min="3347" max="3347" width="29.7109375" style="2" customWidth="1"/>
    <col min="3348" max="3348" width="30.85546875" style="2" customWidth="1"/>
    <col min="3349" max="3349" width="34.5703125" style="2" customWidth="1"/>
    <col min="3350" max="3350" width="29.42578125" style="2" customWidth="1"/>
    <col min="3351" max="3351" width="13.28515625" style="2" customWidth="1"/>
    <col min="3352" max="3352" width="17.42578125" style="2" customWidth="1"/>
    <col min="3353" max="3368" width="11.42578125" style="2"/>
    <col min="3369" max="3369" width="16.85546875" style="2" customWidth="1"/>
    <col min="3370" max="3370" width="21.5703125" style="2" customWidth="1"/>
    <col min="3371" max="3371" width="28" style="2" customWidth="1"/>
    <col min="3372" max="3584" width="11.42578125" style="2"/>
    <col min="3585" max="3585" width="13.28515625" style="2" customWidth="1"/>
    <col min="3586" max="3586" width="6" style="2" customWidth="1"/>
    <col min="3587" max="3587" width="15.5703125" style="2" customWidth="1"/>
    <col min="3588" max="3588" width="14.140625" style="2" customWidth="1"/>
    <col min="3589" max="3589" width="7.42578125" style="2" customWidth="1"/>
    <col min="3590" max="3590" width="12.28515625" style="2" customWidth="1"/>
    <col min="3591" max="3591" width="13.85546875" style="2" customWidth="1"/>
    <col min="3592" max="3592" width="24" style="2" customWidth="1"/>
    <col min="3593" max="3593" width="1" style="2" customWidth="1"/>
    <col min="3594" max="3594" width="14.28515625" style="2" customWidth="1"/>
    <col min="3595" max="3595" width="29" style="2" customWidth="1"/>
    <col min="3596" max="3596" width="21.85546875" style="2" customWidth="1"/>
    <col min="3597" max="3597" width="22" style="2" customWidth="1"/>
    <col min="3598" max="3598" width="34.7109375" style="2" customWidth="1"/>
    <col min="3599" max="3599" width="26.140625" style="2" customWidth="1"/>
    <col min="3600" max="3600" width="18.85546875" style="2" customWidth="1"/>
    <col min="3601" max="3601" width="13.28515625" style="2" customWidth="1"/>
    <col min="3602" max="3602" width="27.85546875" style="2" customWidth="1"/>
    <col min="3603" max="3603" width="29.7109375" style="2" customWidth="1"/>
    <col min="3604" max="3604" width="30.85546875" style="2" customWidth="1"/>
    <col min="3605" max="3605" width="34.5703125" style="2" customWidth="1"/>
    <col min="3606" max="3606" width="29.42578125" style="2" customWidth="1"/>
    <col min="3607" max="3607" width="13.28515625" style="2" customWidth="1"/>
    <col min="3608" max="3608" width="17.42578125" style="2" customWidth="1"/>
    <col min="3609" max="3624" width="11.42578125" style="2"/>
    <col min="3625" max="3625" width="16.85546875" style="2" customWidth="1"/>
    <col min="3626" max="3626" width="21.5703125" style="2" customWidth="1"/>
    <col min="3627" max="3627" width="28" style="2" customWidth="1"/>
    <col min="3628" max="3840" width="11.42578125" style="2"/>
    <col min="3841" max="3841" width="13.28515625" style="2" customWidth="1"/>
    <col min="3842" max="3842" width="6" style="2" customWidth="1"/>
    <col min="3843" max="3843" width="15.5703125" style="2" customWidth="1"/>
    <col min="3844" max="3844" width="14.140625" style="2" customWidth="1"/>
    <col min="3845" max="3845" width="7.42578125" style="2" customWidth="1"/>
    <col min="3846" max="3846" width="12.28515625" style="2" customWidth="1"/>
    <col min="3847" max="3847" width="13.85546875" style="2" customWidth="1"/>
    <col min="3848" max="3848" width="24" style="2" customWidth="1"/>
    <col min="3849" max="3849" width="1" style="2" customWidth="1"/>
    <col min="3850" max="3850" width="14.28515625" style="2" customWidth="1"/>
    <col min="3851" max="3851" width="29" style="2" customWidth="1"/>
    <col min="3852" max="3852" width="21.85546875" style="2" customWidth="1"/>
    <col min="3853" max="3853" width="22" style="2" customWidth="1"/>
    <col min="3854" max="3854" width="34.7109375" style="2" customWidth="1"/>
    <col min="3855" max="3855" width="26.140625" style="2" customWidth="1"/>
    <col min="3856" max="3856" width="18.85546875" style="2" customWidth="1"/>
    <col min="3857" max="3857" width="13.28515625" style="2" customWidth="1"/>
    <col min="3858" max="3858" width="27.85546875" style="2" customWidth="1"/>
    <col min="3859" max="3859" width="29.7109375" style="2" customWidth="1"/>
    <col min="3860" max="3860" width="30.85546875" style="2" customWidth="1"/>
    <col min="3861" max="3861" width="34.5703125" style="2" customWidth="1"/>
    <col min="3862" max="3862" width="29.42578125" style="2" customWidth="1"/>
    <col min="3863" max="3863" width="13.28515625" style="2" customWidth="1"/>
    <col min="3864" max="3864" width="17.42578125" style="2" customWidth="1"/>
    <col min="3865" max="3880" width="11.42578125" style="2"/>
    <col min="3881" max="3881" width="16.85546875" style="2" customWidth="1"/>
    <col min="3882" max="3882" width="21.5703125" style="2" customWidth="1"/>
    <col min="3883" max="3883" width="28" style="2" customWidth="1"/>
    <col min="3884" max="4096" width="11.42578125" style="2"/>
    <col min="4097" max="4097" width="13.28515625" style="2" customWidth="1"/>
    <col min="4098" max="4098" width="6" style="2" customWidth="1"/>
    <col min="4099" max="4099" width="15.5703125" style="2" customWidth="1"/>
    <col min="4100" max="4100" width="14.140625" style="2" customWidth="1"/>
    <col min="4101" max="4101" width="7.42578125" style="2" customWidth="1"/>
    <col min="4102" max="4102" width="12.28515625" style="2" customWidth="1"/>
    <col min="4103" max="4103" width="13.85546875" style="2" customWidth="1"/>
    <col min="4104" max="4104" width="24" style="2" customWidth="1"/>
    <col min="4105" max="4105" width="1" style="2" customWidth="1"/>
    <col min="4106" max="4106" width="14.28515625" style="2" customWidth="1"/>
    <col min="4107" max="4107" width="29" style="2" customWidth="1"/>
    <col min="4108" max="4108" width="21.85546875" style="2" customWidth="1"/>
    <col min="4109" max="4109" width="22" style="2" customWidth="1"/>
    <col min="4110" max="4110" width="34.7109375" style="2" customWidth="1"/>
    <col min="4111" max="4111" width="26.140625" style="2" customWidth="1"/>
    <col min="4112" max="4112" width="18.85546875" style="2" customWidth="1"/>
    <col min="4113" max="4113" width="13.28515625" style="2" customWidth="1"/>
    <col min="4114" max="4114" width="27.85546875" style="2" customWidth="1"/>
    <col min="4115" max="4115" width="29.7109375" style="2" customWidth="1"/>
    <col min="4116" max="4116" width="30.85546875" style="2" customWidth="1"/>
    <col min="4117" max="4117" width="34.5703125" style="2" customWidth="1"/>
    <col min="4118" max="4118" width="29.42578125" style="2" customWidth="1"/>
    <col min="4119" max="4119" width="13.28515625" style="2" customWidth="1"/>
    <col min="4120" max="4120" width="17.42578125" style="2" customWidth="1"/>
    <col min="4121" max="4136" width="11.42578125" style="2"/>
    <col min="4137" max="4137" width="16.85546875" style="2" customWidth="1"/>
    <col min="4138" max="4138" width="21.5703125" style="2" customWidth="1"/>
    <col min="4139" max="4139" width="28" style="2" customWidth="1"/>
    <col min="4140" max="4352" width="11.42578125" style="2"/>
    <col min="4353" max="4353" width="13.28515625" style="2" customWidth="1"/>
    <col min="4354" max="4354" width="6" style="2" customWidth="1"/>
    <col min="4355" max="4355" width="15.5703125" style="2" customWidth="1"/>
    <col min="4356" max="4356" width="14.140625" style="2" customWidth="1"/>
    <col min="4357" max="4357" width="7.42578125" style="2" customWidth="1"/>
    <col min="4358" max="4358" width="12.28515625" style="2" customWidth="1"/>
    <col min="4359" max="4359" width="13.85546875" style="2" customWidth="1"/>
    <col min="4360" max="4360" width="24" style="2" customWidth="1"/>
    <col min="4361" max="4361" width="1" style="2" customWidth="1"/>
    <col min="4362" max="4362" width="14.28515625" style="2" customWidth="1"/>
    <col min="4363" max="4363" width="29" style="2" customWidth="1"/>
    <col min="4364" max="4364" width="21.85546875" style="2" customWidth="1"/>
    <col min="4365" max="4365" width="22" style="2" customWidth="1"/>
    <col min="4366" max="4366" width="34.7109375" style="2" customWidth="1"/>
    <col min="4367" max="4367" width="26.140625" style="2" customWidth="1"/>
    <col min="4368" max="4368" width="18.85546875" style="2" customWidth="1"/>
    <col min="4369" max="4369" width="13.28515625" style="2" customWidth="1"/>
    <col min="4370" max="4370" width="27.85546875" style="2" customWidth="1"/>
    <col min="4371" max="4371" width="29.7109375" style="2" customWidth="1"/>
    <col min="4372" max="4372" width="30.85546875" style="2" customWidth="1"/>
    <col min="4373" max="4373" width="34.5703125" style="2" customWidth="1"/>
    <col min="4374" max="4374" width="29.42578125" style="2" customWidth="1"/>
    <col min="4375" max="4375" width="13.28515625" style="2" customWidth="1"/>
    <col min="4376" max="4376" width="17.42578125" style="2" customWidth="1"/>
    <col min="4377" max="4392" width="11.42578125" style="2"/>
    <col min="4393" max="4393" width="16.85546875" style="2" customWidth="1"/>
    <col min="4394" max="4394" width="21.5703125" style="2" customWidth="1"/>
    <col min="4395" max="4395" width="28" style="2" customWidth="1"/>
    <col min="4396" max="4608" width="11.42578125" style="2"/>
    <col min="4609" max="4609" width="13.28515625" style="2" customWidth="1"/>
    <col min="4610" max="4610" width="6" style="2" customWidth="1"/>
    <col min="4611" max="4611" width="15.5703125" style="2" customWidth="1"/>
    <col min="4612" max="4612" width="14.140625" style="2" customWidth="1"/>
    <col min="4613" max="4613" width="7.42578125" style="2" customWidth="1"/>
    <col min="4614" max="4614" width="12.28515625" style="2" customWidth="1"/>
    <col min="4615" max="4615" width="13.85546875" style="2" customWidth="1"/>
    <col min="4616" max="4616" width="24" style="2" customWidth="1"/>
    <col min="4617" max="4617" width="1" style="2" customWidth="1"/>
    <col min="4618" max="4618" width="14.28515625" style="2" customWidth="1"/>
    <col min="4619" max="4619" width="29" style="2" customWidth="1"/>
    <col min="4620" max="4620" width="21.85546875" style="2" customWidth="1"/>
    <col min="4621" max="4621" width="22" style="2" customWidth="1"/>
    <col min="4622" max="4622" width="34.7109375" style="2" customWidth="1"/>
    <col min="4623" max="4623" width="26.140625" style="2" customWidth="1"/>
    <col min="4624" max="4624" width="18.85546875" style="2" customWidth="1"/>
    <col min="4625" max="4625" width="13.28515625" style="2" customWidth="1"/>
    <col min="4626" max="4626" width="27.85546875" style="2" customWidth="1"/>
    <col min="4627" max="4627" width="29.7109375" style="2" customWidth="1"/>
    <col min="4628" max="4628" width="30.85546875" style="2" customWidth="1"/>
    <col min="4629" max="4629" width="34.5703125" style="2" customWidth="1"/>
    <col min="4630" max="4630" width="29.42578125" style="2" customWidth="1"/>
    <col min="4631" max="4631" width="13.28515625" style="2" customWidth="1"/>
    <col min="4632" max="4632" width="17.42578125" style="2" customWidth="1"/>
    <col min="4633" max="4648" width="11.42578125" style="2"/>
    <col min="4649" max="4649" width="16.85546875" style="2" customWidth="1"/>
    <col min="4650" max="4650" width="21.5703125" style="2" customWidth="1"/>
    <col min="4651" max="4651" width="28" style="2" customWidth="1"/>
    <col min="4652" max="4864" width="11.42578125" style="2"/>
    <col min="4865" max="4865" width="13.28515625" style="2" customWidth="1"/>
    <col min="4866" max="4866" width="6" style="2" customWidth="1"/>
    <col min="4867" max="4867" width="15.5703125" style="2" customWidth="1"/>
    <col min="4868" max="4868" width="14.140625" style="2" customWidth="1"/>
    <col min="4869" max="4869" width="7.42578125" style="2" customWidth="1"/>
    <col min="4870" max="4870" width="12.28515625" style="2" customWidth="1"/>
    <col min="4871" max="4871" width="13.85546875" style="2" customWidth="1"/>
    <col min="4872" max="4872" width="24" style="2" customWidth="1"/>
    <col min="4873" max="4873" width="1" style="2" customWidth="1"/>
    <col min="4874" max="4874" width="14.28515625" style="2" customWidth="1"/>
    <col min="4875" max="4875" width="29" style="2" customWidth="1"/>
    <col min="4876" max="4876" width="21.85546875" style="2" customWidth="1"/>
    <col min="4877" max="4877" width="22" style="2" customWidth="1"/>
    <col min="4878" max="4878" width="34.7109375" style="2" customWidth="1"/>
    <col min="4879" max="4879" width="26.140625" style="2" customWidth="1"/>
    <col min="4880" max="4880" width="18.85546875" style="2" customWidth="1"/>
    <col min="4881" max="4881" width="13.28515625" style="2" customWidth="1"/>
    <col min="4882" max="4882" width="27.85546875" style="2" customWidth="1"/>
    <col min="4883" max="4883" width="29.7109375" style="2" customWidth="1"/>
    <col min="4884" max="4884" width="30.85546875" style="2" customWidth="1"/>
    <col min="4885" max="4885" width="34.5703125" style="2" customWidth="1"/>
    <col min="4886" max="4886" width="29.42578125" style="2" customWidth="1"/>
    <col min="4887" max="4887" width="13.28515625" style="2" customWidth="1"/>
    <col min="4888" max="4888" width="17.42578125" style="2" customWidth="1"/>
    <col min="4889" max="4904" width="11.42578125" style="2"/>
    <col min="4905" max="4905" width="16.85546875" style="2" customWidth="1"/>
    <col min="4906" max="4906" width="21.5703125" style="2" customWidth="1"/>
    <col min="4907" max="4907" width="28" style="2" customWidth="1"/>
    <col min="4908" max="5120" width="11.42578125" style="2"/>
    <col min="5121" max="5121" width="13.28515625" style="2" customWidth="1"/>
    <col min="5122" max="5122" width="6" style="2" customWidth="1"/>
    <col min="5123" max="5123" width="15.5703125" style="2" customWidth="1"/>
    <col min="5124" max="5124" width="14.140625" style="2" customWidth="1"/>
    <col min="5125" max="5125" width="7.42578125" style="2" customWidth="1"/>
    <col min="5126" max="5126" width="12.28515625" style="2" customWidth="1"/>
    <col min="5127" max="5127" width="13.85546875" style="2" customWidth="1"/>
    <col min="5128" max="5128" width="24" style="2" customWidth="1"/>
    <col min="5129" max="5129" width="1" style="2" customWidth="1"/>
    <col min="5130" max="5130" width="14.28515625" style="2" customWidth="1"/>
    <col min="5131" max="5131" width="29" style="2" customWidth="1"/>
    <col min="5132" max="5132" width="21.85546875" style="2" customWidth="1"/>
    <col min="5133" max="5133" width="22" style="2" customWidth="1"/>
    <col min="5134" max="5134" width="34.7109375" style="2" customWidth="1"/>
    <col min="5135" max="5135" width="26.140625" style="2" customWidth="1"/>
    <col min="5136" max="5136" width="18.85546875" style="2" customWidth="1"/>
    <col min="5137" max="5137" width="13.28515625" style="2" customWidth="1"/>
    <col min="5138" max="5138" width="27.85546875" style="2" customWidth="1"/>
    <col min="5139" max="5139" width="29.7109375" style="2" customWidth="1"/>
    <col min="5140" max="5140" width="30.85546875" style="2" customWidth="1"/>
    <col min="5141" max="5141" width="34.5703125" style="2" customWidth="1"/>
    <col min="5142" max="5142" width="29.42578125" style="2" customWidth="1"/>
    <col min="5143" max="5143" width="13.28515625" style="2" customWidth="1"/>
    <col min="5144" max="5144" width="17.42578125" style="2" customWidth="1"/>
    <col min="5145" max="5160" width="11.42578125" style="2"/>
    <col min="5161" max="5161" width="16.85546875" style="2" customWidth="1"/>
    <col min="5162" max="5162" width="21.5703125" style="2" customWidth="1"/>
    <col min="5163" max="5163" width="28" style="2" customWidth="1"/>
    <col min="5164" max="5376" width="11.42578125" style="2"/>
    <col min="5377" max="5377" width="13.28515625" style="2" customWidth="1"/>
    <col min="5378" max="5378" width="6" style="2" customWidth="1"/>
    <col min="5379" max="5379" width="15.5703125" style="2" customWidth="1"/>
    <col min="5380" max="5380" width="14.140625" style="2" customWidth="1"/>
    <col min="5381" max="5381" width="7.42578125" style="2" customWidth="1"/>
    <col min="5382" max="5382" width="12.28515625" style="2" customWidth="1"/>
    <col min="5383" max="5383" width="13.85546875" style="2" customWidth="1"/>
    <col min="5384" max="5384" width="24" style="2" customWidth="1"/>
    <col min="5385" max="5385" width="1" style="2" customWidth="1"/>
    <col min="5386" max="5386" width="14.28515625" style="2" customWidth="1"/>
    <col min="5387" max="5387" width="29" style="2" customWidth="1"/>
    <col min="5388" max="5388" width="21.85546875" style="2" customWidth="1"/>
    <col min="5389" max="5389" width="22" style="2" customWidth="1"/>
    <col min="5390" max="5390" width="34.7109375" style="2" customWidth="1"/>
    <col min="5391" max="5391" width="26.140625" style="2" customWidth="1"/>
    <col min="5392" max="5392" width="18.85546875" style="2" customWidth="1"/>
    <col min="5393" max="5393" width="13.28515625" style="2" customWidth="1"/>
    <col min="5394" max="5394" width="27.85546875" style="2" customWidth="1"/>
    <col min="5395" max="5395" width="29.7109375" style="2" customWidth="1"/>
    <col min="5396" max="5396" width="30.85546875" style="2" customWidth="1"/>
    <col min="5397" max="5397" width="34.5703125" style="2" customWidth="1"/>
    <col min="5398" max="5398" width="29.42578125" style="2" customWidth="1"/>
    <col min="5399" max="5399" width="13.28515625" style="2" customWidth="1"/>
    <col min="5400" max="5400" width="17.42578125" style="2" customWidth="1"/>
    <col min="5401" max="5416" width="11.42578125" style="2"/>
    <col min="5417" max="5417" width="16.85546875" style="2" customWidth="1"/>
    <col min="5418" max="5418" width="21.5703125" style="2" customWidth="1"/>
    <col min="5419" max="5419" width="28" style="2" customWidth="1"/>
    <col min="5420" max="5632" width="11.42578125" style="2"/>
    <col min="5633" max="5633" width="13.28515625" style="2" customWidth="1"/>
    <col min="5634" max="5634" width="6" style="2" customWidth="1"/>
    <col min="5635" max="5635" width="15.5703125" style="2" customWidth="1"/>
    <col min="5636" max="5636" width="14.140625" style="2" customWidth="1"/>
    <col min="5637" max="5637" width="7.42578125" style="2" customWidth="1"/>
    <col min="5638" max="5638" width="12.28515625" style="2" customWidth="1"/>
    <col min="5639" max="5639" width="13.85546875" style="2" customWidth="1"/>
    <col min="5640" max="5640" width="24" style="2" customWidth="1"/>
    <col min="5641" max="5641" width="1" style="2" customWidth="1"/>
    <col min="5642" max="5642" width="14.28515625" style="2" customWidth="1"/>
    <col min="5643" max="5643" width="29" style="2" customWidth="1"/>
    <col min="5644" max="5644" width="21.85546875" style="2" customWidth="1"/>
    <col min="5645" max="5645" width="22" style="2" customWidth="1"/>
    <col min="5646" max="5646" width="34.7109375" style="2" customWidth="1"/>
    <col min="5647" max="5647" width="26.140625" style="2" customWidth="1"/>
    <col min="5648" max="5648" width="18.85546875" style="2" customWidth="1"/>
    <col min="5649" max="5649" width="13.28515625" style="2" customWidth="1"/>
    <col min="5650" max="5650" width="27.85546875" style="2" customWidth="1"/>
    <col min="5651" max="5651" width="29.7109375" style="2" customWidth="1"/>
    <col min="5652" max="5652" width="30.85546875" style="2" customWidth="1"/>
    <col min="5653" max="5653" width="34.5703125" style="2" customWidth="1"/>
    <col min="5654" max="5654" width="29.42578125" style="2" customWidth="1"/>
    <col min="5655" max="5655" width="13.28515625" style="2" customWidth="1"/>
    <col min="5656" max="5656" width="17.42578125" style="2" customWidth="1"/>
    <col min="5657" max="5672" width="11.42578125" style="2"/>
    <col min="5673" max="5673" width="16.85546875" style="2" customWidth="1"/>
    <col min="5674" max="5674" width="21.5703125" style="2" customWidth="1"/>
    <col min="5675" max="5675" width="28" style="2" customWidth="1"/>
    <col min="5676" max="5888" width="11.42578125" style="2"/>
    <col min="5889" max="5889" width="13.28515625" style="2" customWidth="1"/>
    <col min="5890" max="5890" width="6" style="2" customWidth="1"/>
    <col min="5891" max="5891" width="15.5703125" style="2" customWidth="1"/>
    <col min="5892" max="5892" width="14.140625" style="2" customWidth="1"/>
    <col min="5893" max="5893" width="7.42578125" style="2" customWidth="1"/>
    <col min="5894" max="5894" width="12.28515625" style="2" customWidth="1"/>
    <col min="5895" max="5895" width="13.85546875" style="2" customWidth="1"/>
    <col min="5896" max="5896" width="24" style="2" customWidth="1"/>
    <col min="5897" max="5897" width="1" style="2" customWidth="1"/>
    <col min="5898" max="5898" width="14.28515625" style="2" customWidth="1"/>
    <col min="5899" max="5899" width="29" style="2" customWidth="1"/>
    <col min="5900" max="5900" width="21.85546875" style="2" customWidth="1"/>
    <col min="5901" max="5901" width="22" style="2" customWidth="1"/>
    <col min="5902" max="5902" width="34.7109375" style="2" customWidth="1"/>
    <col min="5903" max="5903" width="26.140625" style="2" customWidth="1"/>
    <col min="5904" max="5904" width="18.85546875" style="2" customWidth="1"/>
    <col min="5905" max="5905" width="13.28515625" style="2" customWidth="1"/>
    <col min="5906" max="5906" width="27.85546875" style="2" customWidth="1"/>
    <col min="5907" max="5907" width="29.7109375" style="2" customWidth="1"/>
    <col min="5908" max="5908" width="30.85546875" style="2" customWidth="1"/>
    <col min="5909" max="5909" width="34.5703125" style="2" customWidth="1"/>
    <col min="5910" max="5910" width="29.42578125" style="2" customWidth="1"/>
    <col min="5911" max="5911" width="13.28515625" style="2" customWidth="1"/>
    <col min="5912" max="5912" width="17.42578125" style="2" customWidth="1"/>
    <col min="5913" max="5928" width="11.42578125" style="2"/>
    <col min="5929" max="5929" width="16.85546875" style="2" customWidth="1"/>
    <col min="5930" max="5930" width="21.5703125" style="2" customWidth="1"/>
    <col min="5931" max="5931" width="28" style="2" customWidth="1"/>
    <col min="5932" max="6144" width="11.42578125" style="2"/>
    <col min="6145" max="6145" width="13.28515625" style="2" customWidth="1"/>
    <col min="6146" max="6146" width="6" style="2" customWidth="1"/>
    <col min="6147" max="6147" width="15.5703125" style="2" customWidth="1"/>
    <col min="6148" max="6148" width="14.140625" style="2" customWidth="1"/>
    <col min="6149" max="6149" width="7.42578125" style="2" customWidth="1"/>
    <col min="6150" max="6150" width="12.28515625" style="2" customWidth="1"/>
    <col min="6151" max="6151" width="13.85546875" style="2" customWidth="1"/>
    <col min="6152" max="6152" width="24" style="2" customWidth="1"/>
    <col min="6153" max="6153" width="1" style="2" customWidth="1"/>
    <col min="6154" max="6154" width="14.28515625" style="2" customWidth="1"/>
    <col min="6155" max="6155" width="29" style="2" customWidth="1"/>
    <col min="6156" max="6156" width="21.85546875" style="2" customWidth="1"/>
    <col min="6157" max="6157" width="22" style="2" customWidth="1"/>
    <col min="6158" max="6158" width="34.7109375" style="2" customWidth="1"/>
    <col min="6159" max="6159" width="26.140625" style="2" customWidth="1"/>
    <col min="6160" max="6160" width="18.85546875" style="2" customWidth="1"/>
    <col min="6161" max="6161" width="13.28515625" style="2" customWidth="1"/>
    <col min="6162" max="6162" width="27.85546875" style="2" customWidth="1"/>
    <col min="6163" max="6163" width="29.7109375" style="2" customWidth="1"/>
    <col min="6164" max="6164" width="30.85546875" style="2" customWidth="1"/>
    <col min="6165" max="6165" width="34.5703125" style="2" customWidth="1"/>
    <col min="6166" max="6166" width="29.42578125" style="2" customWidth="1"/>
    <col min="6167" max="6167" width="13.28515625" style="2" customWidth="1"/>
    <col min="6168" max="6168" width="17.42578125" style="2" customWidth="1"/>
    <col min="6169" max="6184" width="11.42578125" style="2"/>
    <col min="6185" max="6185" width="16.85546875" style="2" customWidth="1"/>
    <col min="6186" max="6186" width="21.5703125" style="2" customWidth="1"/>
    <col min="6187" max="6187" width="28" style="2" customWidth="1"/>
    <col min="6188" max="6400" width="11.42578125" style="2"/>
    <col min="6401" max="6401" width="13.28515625" style="2" customWidth="1"/>
    <col min="6402" max="6402" width="6" style="2" customWidth="1"/>
    <col min="6403" max="6403" width="15.5703125" style="2" customWidth="1"/>
    <col min="6404" max="6404" width="14.140625" style="2" customWidth="1"/>
    <col min="6405" max="6405" width="7.42578125" style="2" customWidth="1"/>
    <col min="6406" max="6406" width="12.28515625" style="2" customWidth="1"/>
    <col min="6407" max="6407" width="13.85546875" style="2" customWidth="1"/>
    <col min="6408" max="6408" width="24" style="2" customWidth="1"/>
    <col min="6409" max="6409" width="1" style="2" customWidth="1"/>
    <col min="6410" max="6410" width="14.28515625" style="2" customWidth="1"/>
    <col min="6411" max="6411" width="29" style="2" customWidth="1"/>
    <col min="6412" max="6412" width="21.85546875" style="2" customWidth="1"/>
    <col min="6413" max="6413" width="22" style="2" customWidth="1"/>
    <col min="6414" max="6414" width="34.7109375" style="2" customWidth="1"/>
    <col min="6415" max="6415" width="26.140625" style="2" customWidth="1"/>
    <col min="6416" max="6416" width="18.85546875" style="2" customWidth="1"/>
    <col min="6417" max="6417" width="13.28515625" style="2" customWidth="1"/>
    <col min="6418" max="6418" width="27.85546875" style="2" customWidth="1"/>
    <col min="6419" max="6419" width="29.7109375" style="2" customWidth="1"/>
    <col min="6420" max="6420" width="30.85546875" style="2" customWidth="1"/>
    <col min="6421" max="6421" width="34.5703125" style="2" customWidth="1"/>
    <col min="6422" max="6422" width="29.42578125" style="2" customWidth="1"/>
    <col min="6423" max="6423" width="13.28515625" style="2" customWidth="1"/>
    <col min="6424" max="6424" width="17.42578125" style="2" customWidth="1"/>
    <col min="6425" max="6440" width="11.42578125" style="2"/>
    <col min="6441" max="6441" width="16.85546875" style="2" customWidth="1"/>
    <col min="6442" max="6442" width="21.5703125" style="2" customWidth="1"/>
    <col min="6443" max="6443" width="28" style="2" customWidth="1"/>
    <col min="6444" max="6656" width="11.42578125" style="2"/>
    <col min="6657" max="6657" width="13.28515625" style="2" customWidth="1"/>
    <col min="6658" max="6658" width="6" style="2" customWidth="1"/>
    <col min="6659" max="6659" width="15.5703125" style="2" customWidth="1"/>
    <col min="6660" max="6660" width="14.140625" style="2" customWidth="1"/>
    <col min="6661" max="6661" width="7.42578125" style="2" customWidth="1"/>
    <col min="6662" max="6662" width="12.28515625" style="2" customWidth="1"/>
    <col min="6663" max="6663" width="13.85546875" style="2" customWidth="1"/>
    <col min="6664" max="6664" width="24" style="2" customWidth="1"/>
    <col min="6665" max="6665" width="1" style="2" customWidth="1"/>
    <col min="6666" max="6666" width="14.28515625" style="2" customWidth="1"/>
    <col min="6667" max="6667" width="29" style="2" customWidth="1"/>
    <col min="6668" max="6668" width="21.85546875" style="2" customWidth="1"/>
    <col min="6669" max="6669" width="22" style="2" customWidth="1"/>
    <col min="6670" max="6670" width="34.7109375" style="2" customWidth="1"/>
    <col min="6671" max="6671" width="26.140625" style="2" customWidth="1"/>
    <col min="6672" max="6672" width="18.85546875" style="2" customWidth="1"/>
    <col min="6673" max="6673" width="13.28515625" style="2" customWidth="1"/>
    <col min="6674" max="6674" width="27.85546875" style="2" customWidth="1"/>
    <col min="6675" max="6675" width="29.7109375" style="2" customWidth="1"/>
    <col min="6676" max="6676" width="30.85546875" style="2" customWidth="1"/>
    <col min="6677" max="6677" width="34.5703125" style="2" customWidth="1"/>
    <col min="6678" max="6678" width="29.42578125" style="2" customWidth="1"/>
    <col min="6679" max="6679" width="13.28515625" style="2" customWidth="1"/>
    <col min="6680" max="6680" width="17.42578125" style="2" customWidth="1"/>
    <col min="6681" max="6696" width="11.42578125" style="2"/>
    <col min="6697" max="6697" width="16.85546875" style="2" customWidth="1"/>
    <col min="6698" max="6698" width="21.5703125" style="2" customWidth="1"/>
    <col min="6699" max="6699" width="28" style="2" customWidth="1"/>
    <col min="6700" max="6912" width="11.42578125" style="2"/>
    <col min="6913" max="6913" width="13.28515625" style="2" customWidth="1"/>
    <col min="6914" max="6914" width="6" style="2" customWidth="1"/>
    <col min="6915" max="6915" width="15.5703125" style="2" customWidth="1"/>
    <col min="6916" max="6916" width="14.140625" style="2" customWidth="1"/>
    <col min="6917" max="6917" width="7.42578125" style="2" customWidth="1"/>
    <col min="6918" max="6918" width="12.28515625" style="2" customWidth="1"/>
    <col min="6919" max="6919" width="13.85546875" style="2" customWidth="1"/>
    <col min="6920" max="6920" width="24" style="2" customWidth="1"/>
    <col min="6921" max="6921" width="1" style="2" customWidth="1"/>
    <col min="6922" max="6922" width="14.28515625" style="2" customWidth="1"/>
    <col min="6923" max="6923" width="29" style="2" customWidth="1"/>
    <col min="6924" max="6924" width="21.85546875" style="2" customWidth="1"/>
    <col min="6925" max="6925" width="22" style="2" customWidth="1"/>
    <col min="6926" max="6926" width="34.7109375" style="2" customWidth="1"/>
    <col min="6927" max="6927" width="26.140625" style="2" customWidth="1"/>
    <col min="6928" max="6928" width="18.85546875" style="2" customWidth="1"/>
    <col min="6929" max="6929" width="13.28515625" style="2" customWidth="1"/>
    <col min="6930" max="6930" width="27.85546875" style="2" customWidth="1"/>
    <col min="6931" max="6931" width="29.7109375" style="2" customWidth="1"/>
    <col min="6932" max="6932" width="30.85546875" style="2" customWidth="1"/>
    <col min="6933" max="6933" width="34.5703125" style="2" customWidth="1"/>
    <col min="6934" max="6934" width="29.42578125" style="2" customWidth="1"/>
    <col min="6935" max="6935" width="13.28515625" style="2" customWidth="1"/>
    <col min="6936" max="6936" width="17.42578125" style="2" customWidth="1"/>
    <col min="6937" max="6952" width="11.42578125" style="2"/>
    <col min="6953" max="6953" width="16.85546875" style="2" customWidth="1"/>
    <col min="6954" max="6954" width="21.5703125" style="2" customWidth="1"/>
    <col min="6955" max="6955" width="28" style="2" customWidth="1"/>
    <col min="6956" max="7168" width="11.42578125" style="2"/>
    <col min="7169" max="7169" width="13.28515625" style="2" customWidth="1"/>
    <col min="7170" max="7170" width="6" style="2" customWidth="1"/>
    <col min="7171" max="7171" width="15.5703125" style="2" customWidth="1"/>
    <col min="7172" max="7172" width="14.140625" style="2" customWidth="1"/>
    <col min="7173" max="7173" width="7.42578125" style="2" customWidth="1"/>
    <col min="7174" max="7174" width="12.28515625" style="2" customWidth="1"/>
    <col min="7175" max="7175" width="13.85546875" style="2" customWidth="1"/>
    <col min="7176" max="7176" width="24" style="2" customWidth="1"/>
    <col min="7177" max="7177" width="1" style="2" customWidth="1"/>
    <col min="7178" max="7178" width="14.28515625" style="2" customWidth="1"/>
    <col min="7179" max="7179" width="29" style="2" customWidth="1"/>
    <col min="7180" max="7180" width="21.85546875" style="2" customWidth="1"/>
    <col min="7181" max="7181" width="22" style="2" customWidth="1"/>
    <col min="7182" max="7182" width="34.7109375" style="2" customWidth="1"/>
    <col min="7183" max="7183" width="26.140625" style="2" customWidth="1"/>
    <col min="7184" max="7184" width="18.85546875" style="2" customWidth="1"/>
    <col min="7185" max="7185" width="13.28515625" style="2" customWidth="1"/>
    <col min="7186" max="7186" width="27.85546875" style="2" customWidth="1"/>
    <col min="7187" max="7187" width="29.7109375" style="2" customWidth="1"/>
    <col min="7188" max="7188" width="30.85546875" style="2" customWidth="1"/>
    <col min="7189" max="7189" width="34.5703125" style="2" customWidth="1"/>
    <col min="7190" max="7190" width="29.42578125" style="2" customWidth="1"/>
    <col min="7191" max="7191" width="13.28515625" style="2" customWidth="1"/>
    <col min="7192" max="7192" width="17.42578125" style="2" customWidth="1"/>
    <col min="7193" max="7208" width="11.42578125" style="2"/>
    <col min="7209" max="7209" width="16.85546875" style="2" customWidth="1"/>
    <col min="7210" max="7210" width="21.5703125" style="2" customWidth="1"/>
    <col min="7211" max="7211" width="28" style="2" customWidth="1"/>
    <col min="7212" max="7424" width="11.42578125" style="2"/>
    <col min="7425" max="7425" width="13.28515625" style="2" customWidth="1"/>
    <col min="7426" max="7426" width="6" style="2" customWidth="1"/>
    <col min="7427" max="7427" width="15.5703125" style="2" customWidth="1"/>
    <col min="7428" max="7428" width="14.140625" style="2" customWidth="1"/>
    <col min="7429" max="7429" width="7.42578125" style="2" customWidth="1"/>
    <col min="7430" max="7430" width="12.28515625" style="2" customWidth="1"/>
    <col min="7431" max="7431" width="13.85546875" style="2" customWidth="1"/>
    <col min="7432" max="7432" width="24" style="2" customWidth="1"/>
    <col min="7433" max="7433" width="1" style="2" customWidth="1"/>
    <col min="7434" max="7434" width="14.28515625" style="2" customWidth="1"/>
    <col min="7435" max="7435" width="29" style="2" customWidth="1"/>
    <col min="7436" max="7436" width="21.85546875" style="2" customWidth="1"/>
    <col min="7437" max="7437" width="22" style="2" customWidth="1"/>
    <col min="7438" max="7438" width="34.7109375" style="2" customWidth="1"/>
    <col min="7439" max="7439" width="26.140625" style="2" customWidth="1"/>
    <col min="7440" max="7440" width="18.85546875" style="2" customWidth="1"/>
    <col min="7441" max="7441" width="13.28515625" style="2" customWidth="1"/>
    <col min="7442" max="7442" width="27.85546875" style="2" customWidth="1"/>
    <col min="7443" max="7443" width="29.7109375" style="2" customWidth="1"/>
    <col min="7444" max="7444" width="30.85546875" style="2" customWidth="1"/>
    <col min="7445" max="7445" width="34.5703125" style="2" customWidth="1"/>
    <col min="7446" max="7446" width="29.42578125" style="2" customWidth="1"/>
    <col min="7447" max="7447" width="13.28515625" style="2" customWidth="1"/>
    <col min="7448" max="7448" width="17.42578125" style="2" customWidth="1"/>
    <col min="7449" max="7464" width="11.42578125" style="2"/>
    <col min="7465" max="7465" width="16.85546875" style="2" customWidth="1"/>
    <col min="7466" max="7466" width="21.5703125" style="2" customWidth="1"/>
    <col min="7467" max="7467" width="28" style="2" customWidth="1"/>
    <col min="7468" max="7680" width="11.42578125" style="2"/>
    <col min="7681" max="7681" width="13.28515625" style="2" customWidth="1"/>
    <col min="7682" max="7682" width="6" style="2" customWidth="1"/>
    <col min="7683" max="7683" width="15.5703125" style="2" customWidth="1"/>
    <col min="7684" max="7684" width="14.140625" style="2" customWidth="1"/>
    <col min="7685" max="7685" width="7.42578125" style="2" customWidth="1"/>
    <col min="7686" max="7686" width="12.28515625" style="2" customWidth="1"/>
    <col min="7687" max="7687" width="13.85546875" style="2" customWidth="1"/>
    <col min="7688" max="7688" width="24" style="2" customWidth="1"/>
    <col min="7689" max="7689" width="1" style="2" customWidth="1"/>
    <col min="7690" max="7690" width="14.28515625" style="2" customWidth="1"/>
    <col min="7691" max="7691" width="29" style="2" customWidth="1"/>
    <col min="7692" max="7692" width="21.85546875" style="2" customWidth="1"/>
    <col min="7693" max="7693" width="22" style="2" customWidth="1"/>
    <col min="7694" max="7694" width="34.7109375" style="2" customWidth="1"/>
    <col min="7695" max="7695" width="26.140625" style="2" customWidth="1"/>
    <col min="7696" max="7696" width="18.85546875" style="2" customWidth="1"/>
    <col min="7697" max="7697" width="13.28515625" style="2" customWidth="1"/>
    <col min="7698" max="7698" width="27.85546875" style="2" customWidth="1"/>
    <col min="7699" max="7699" width="29.7109375" style="2" customWidth="1"/>
    <col min="7700" max="7700" width="30.85546875" style="2" customWidth="1"/>
    <col min="7701" max="7701" width="34.5703125" style="2" customWidth="1"/>
    <col min="7702" max="7702" width="29.42578125" style="2" customWidth="1"/>
    <col min="7703" max="7703" width="13.28515625" style="2" customWidth="1"/>
    <col min="7704" max="7704" width="17.42578125" style="2" customWidth="1"/>
    <col min="7705" max="7720" width="11.42578125" style="2"/>
    <col min="7721" max="7721" width="16.85546875" style="2" customWidth="1"/>
    <col min="7722" max="7722" width="21.5703125" style="2" customWidth="1"/>
    <col min="7723" max="7723" width="28" style="2" customWidth="1"/>
    <col min="7724" max="7936" width="11.42578125" style="2"/>
    <col min="7937" max="7937" width="13.28515625" style="2" customWidth="1"/>
    <col min="7938" max="7938" width="6" style="2" customWidth="1"/>
    <col min="7939" max="7939" width="15.5703125" style="2" customWidth="1"/>
    <col min="7940" max="7940" width="14.140625" style="2" customWidth="1"/>
    <col min="7941" max="7941" width="7.42578125" style="2" customWidth="1"/>
    <col min="7942" max="7942" width="12.28515625" style="2" customWidth="1"/>
    <col min="7943" max="7943" width="13.85546875" style="2" customWidth="1"/>
    <col min="7944" max="7944" width="24" style="2" customWidth="1"/>
    <col min="7945" max="7945" width="1" style="2" customWidth="1"/>
    <col min="7946" max="7946" width="14.28515625" style="2" customWidth="1"/>
    <col min="7947" max="7947" width="29" style="2" customWidth="1"/>
    <col min="7948" max="7948" width="21.85546875" style="2" customWidth="1"/>
    <col min="7949" max="7949" width="22" style="2" customWidth="1"/>
    <col min="7950" max="7950" width="34.7109375" style="2" customWidth="1"/>
    <col min="7951" max="7951" width="26.140625" style="2" customWidth="1"/>
    <col min="7952" max="7952" width="18.85546875" style="2" customWidth="1"/>
    <col min="7953" max="7953" width="13.28515625" style="2" customWidth="1"/>
    <col min="7954" max="7954" width="27.85546875" style="2" customWidth="1"/>
    <col min="7955" max="7955" width="29.7109375" style="2" customWidth="1"/>
    <col min="7956" max="7956" width="30.85546875" style="2" customWidth="1"/>
    <col min="7957" max="7957" width="34.5703125" style="2" customWidth="1"/>
    <col min="7958" max="7958" width="29.42578125" style="2" customWidth="1"/>
    <col min="7959" max="7959" width="13.28515625" style="2" customWidth="1"/>
    <col min="7960" max="7960" width="17.42578125" style="2" customWidth="1"/>
    <col min="7961" max="7976" width="11.42578125" style="2"/>
    <col min="7977" max="7977" width="16.85546875" style="2" customWidth="1"/>
    <col min="7978" max="7978" width="21.5703125" style="2" customWidth="1"/>
    <col min="7979" max="7979" width="28" style="2" customWidth="1"/>
    <col min="7980" max="8192" width="11.42578125" style="2"/>
    <col min="8193" max="8193" width="13.28515625" style="2" customWidth="1"/>
    <col min="8194" max="8194" width="6" style="2" customWidth="1"/>
    <col min="8195" max="8195" width="15.5703125" style="2" customWidth="1"/>
    <col min="8196" max="8196" width="14.140625" style="2" customWidth="1"/>
    <col min="8197" max="8197" width="7.42578125" style="2" customWidth="1"/>
    <col min="8198" max="8198" width="12.28515625" style="2" customWidth="1"/>
    <col min="8199" max="8199" width="13.85546875" style="2" customWidth="1"/>
    <col min="8200" max="8200" width="24" style="2" customWidth="1"/>
    <col min="8201" max="8201" width="1" style="2" customWidth="1"/>
    <col min="8202" max="8202" width="14.28515625" style="2" customWidth="1"/>
    <col min="8203" max="8203" width="29" style="2" customWidth="1"/>
    <col min="8204" max="8204" width="21.85546875" style="2" customWidth="1"/>
    <col min="8205" max="8205" width="22" style="2" customWidth="1"/>
    <col min="8206" max="8206" width="34.7109375" style="2" customWidth="1"/>
    <col min="8207" max="8207" width="26.140625" style="2" customWidth="1"/>
    <col min="8208" max="8208" width="18.85546875" style="2" customWidth="1"/>
    <col min="8209" max="8209" width="13.28515625" style="2" customWidth="1"/>
    <col min="8210" max="8210" width="27.85546875" style="2" customWidth="1"/>
    <col min="8211" max="8211" width="29.7109375" style="2" customWidth="1"/>
    <col min="8212" max="8212" width="30.85546875" style="2" customWidth="1"/>
    <col min="8213" max="8213" width="34.5703125" style="2" customWidth="1"/>
    <col min="8214" max="8214" width="29.42578125" style="2" customWidth="1"/>
    <col min="8215" max="8215" width="13.28515625" style="2" customWidth="1"/>
    <col min="8216" max="8216" width="17.42578125" style="2" customWidth="1"/>
    <col min="8217" max="8232" width="11.42578125" style="2"/>
    <col min="8233" max="8233" width="16.85546875" style="2" customWidth="1"/>
    <col min="8234" max="8234" width="21.5703125" style="2" customWidth="1"/>
    <col min="8235" max="8235" width="28" style="2" customWidth="1"/>
    <col min="8236" max="8448" width="11.42578125" style="2"/>
    <col min="8449" max="8449" width="13.28515625" style="2" customWidth="1"/>
    <col min="8450" max="8450" width="6" style="2" customWidth="1"/>
    <col min="8451" max="8451" width="15.5703125" style="2" customWidth="1"/>
    <col min="8452" max="8452" width="14.140625" style="2" customWidth="1"/>
    <col min="8453" max="8453" width="7.42578125" style="2" customWidth="1"/>
    <col min="8454" max="8454" width="12.28515625" style="2" customWidth="1"/>
    <col min="8455" max="8455" width="13.85546875" style="2" customWidth="1"/>
    <col min="8456" max="8456" width="24" style="2" customWidth="1"/>
    <col min="8457" max="8457" width="1" style="2" customWidth="1"/>
    <col min="8458" max="8458" width="14.28515625" style="2" customWidth="1"/>
    <col min="8459" max="8459" width="29" style="2" customWidth="1"/>
    <col min="8460" max="8460" width="21.85546875" style="2" customWidth="1"/>
    <col min="8461" max="8461" width="22" style="2" customWidth="1"/>
    <col min="8462" max="8462" width="34.7109375" style="2" customWidth="1"/>
    <col min="8463" max="8463" width="26.140625" style="2" customWidth="1"/>
    <col min="8464" max="8464" width="18.85546875" style="2" customWidth="1"/>
    <col min="8465" max="8465" width="13.28515625" style="2" customWidth="1"/>
    <col min="8466" max="8466" width="27.85546875" style="2" customWidth="1"/>
    <col min="8467" max="8467" width="29.7109375" style="2" customWidth="1"/>
    <col min="8468" max="8468" width="30.85546875" style="2" customWidth="1"/>
    <col min="8469" max="8469" width="34.5703125" style="2" customWidth="1"/>
    <col min="8470" max="8470" width="29.42578125" style="2" customWidth="1"/>
    <col min="8471" max="8471" width="13.28515625" style="2" customWidth="1"/>
    <col min="8472" max="8472" width="17.42578125" style="2" customWidth="1"/>
    <col min="8473" max="8488" width="11.42578125" style="2"/>
    <col min="8489" max="8489" width="16.85546875" style="2" customWidth="1"/>
    <col min="8490" max="8490" width="21.5703125" style="2" customWidth="1"/>
    <col min="8491" max="8491" width="28" style="2" customWidth="1"/>
    <col min="8492" max="8704" width="11.42578125" style="2"/>
    <col min="8705" max="8705" width="13.28515625" style="2" customWidth="1"/>
    <col min="8706" max="8706" width="6" style="2" customWidth="1"/>
    <col min="8707" max="8707" width="15.5703125" style="2" customWidth="1"/>
    <col min="8708" max="8708" width="14.140625" style="2" customWidth="1"/>
    <col min="8709" max="8709" width="7.42578125" style="2" customWidth="1"/>
    <col min="8710" max="8710" width="12.28515625" style="2" customWidth="1"/>
    <col min="8711" max="8711" width="13.85546875" style="2" customWidth="1"/>
    <col min="8712" max="8712" width="24" style="2" customWidth="1"/>
    <col min="8713" max="8713" width="1" style="2" customWidth="1"/>
    <col min="8714" max="8714" width="14.28515625" style="2" customWidth="1"/>
    <col min="8715" max="8715" width="29" style="2" customWidth="1"/>
    <col min="8716" max="8716" width="21.85546875" style="2" customWidth="1"/>
    <col min="8717" max="8717" width="22" style="2" customWidth="1"/>
    <col min="8718" max="8718" width="34.7109375" style="2" customWidth="1"/>
    <col min="8719" max="8719" width="26.140625" style="2" customWidth="1"/>
    <col min="8720" max="8720" width="18.85546875" style="2" customWidth="1"/>
    <col min="8721" max="8721" width="13.28515625" style="2" customWidth="1"/>
    <col min="8722" max="8722" width="27.85546875" style="2" customWidth="1"/>
    <col min="8723" max="8723" width="29.7109375" style="2" customWidth="1"/>
    <col min="8724" max="8724" width="30.85546875" style="2" customWidth="1"/>
    <col min="8725" max="8725" width="34.5703125" style="2" customWidth="1"/>
    <col min="8726" max="8726" width="29.42578125" style="2" customWidth="1"/>
    <col min="8727" max="8727" width="13.28515625" style="2" customWidth="1"/>
    <col min="8728" max="8728" width="17.42578125" style="2" customWidth="1"/>
    <col min="8729" max="8744" width="11.42578125" style="2"/>
    <col min="8745" max="8745" width="16.85546875" style="2" customWidth="1"/>
    <col min="8746" max="8746" width="21.5703125" style="2" customWidth="1"/>
    <col min="8747" max="8747" width="28" style="2" customWidth="1"/>
    <col min="8748" max="8960" width="11.42578125" style="2"/>
    <col min="8961" max="8961" width="13.28515625" style="2" customWidth="1"/>
    <col min="8962" max="8962" width="6" style="2" customWidth="1"/>
    <col min="8963" max="8963" width="15.5703125" style="2" customWidth="1"/>
    <col min="8964" max="8964" width="14.140625" style="2" customWidth="1"/>
    <col min="8965" max="8965" width="7.42578125" style="2" customWidth="1"/>
    <col min="8966" max="8966" width="12.28515625" style="2" customWidth="1"/>
    <col min="8967" max="8967" width="13.85546875" style="2" customWidth="1"/>
    <col min="8968" max="8968" width="24" style="2" customWidth="1"/>
    <col min="8969" max="8969" width="1" style="2" customWidth="1"/>
    <col min="8970" max="8970" width="14.28515625" style="2" customWidth="1"/>
    <col min="8971" max="8971" width="29" style="2" customWidth="1"/>
    <col min="8972" max="8972" width="21.85546875" style="2" customWidth="1"/>
    <col min="8973" max="8973" width="22" style="2" customWidth="1"/>
    <col min="8974" max="8974" width="34.7109375" style="2" customWidth="1"/>
    <col min="8975" max="8975" width="26.140625" style="2" customWidth="1"/>
    <col min="8976" max="8976" width="18.85546875" style="2" customWidth="1"/>
    <col min="8977" max="8977" width="13.28515625" style="2" customWidth="1"/>
    <col min="8978" max="8978" width="27.85546875" style="2" customWidth="1"/>
    <col min="8979" max="8979" width="29.7109375" style="2" customWidth="1"/>
    <col min="8980" max="8980" width="30.85546875" style="2" customWidth="1"/>
    <col min="8981" max="8981" width="34.5703125" style="2" customWidth="1"/>
    <col min="8982" max="8982" width="29.42578125" style="2" customWidth="1"/>
    <col min="8983" max="8983" width="13.28515625" style="2" customWidth="1"/>
    <col min="8984" max="8984" width="17.42578125" style="2" customWidth="1"/>
    <col min="8985" max="9000" width="11.42578125" style="2"/>
    <col min="9001" max="9001" width="16.85546875" style="2" customWidth="1"/>
    <col min="9002" max="9002" width="21.5703125" style="2" customWidth="1"/>
    <col min="9003" max="9003" width="28" style="2" customWidth="1"/>
    <col min="9004" max="9216" width="11.42578125" style="2"/>
    <col min="9217" max="9217" width="13.28515625" style="2" customWidth="1"/>
    <col min="9218" max="9218" width="6" style="2" customWidth="1"/>
    <col min="9219" max="9219" width="15.5703125" style="2" customWidth="1"/>
    <col min="9220" max="9220" width="14.140625" style="2" customWidth="1"/>
    <col min="9221" max="9221" width="7.42578125" style="2" customWidth="1"/>
    <col min="9222" max="9222" width="12.28515625" style="2" customWidth="1"/>
    <col min="9223" max="9223" width="13.85546875" style="2" customWidth="1"/>
    <col min="9224" max="9224" width="24" style="2" customWidth="1"/>
    <col min="9225" max="9225" width="1" style="2" customWidth="1"/>
    <col min="9226" max="9226" width="14.28515625" style="2" customWidth="1"/>
    <col min="9227" max="9227" width="29" style="2" customWidth="1"/>
    <col min="9228" max="9228" width="21.85546875" style="2" customWidth="1"/>
    <col min="9229" max="9229" width="22" style="2" customWidth="1"/>
    <col min="9230" max="9230" width="34.7109375" style="2" customWidth="1"/>
    <col min="9231" max="9231" width="26.140625" style="2" customWidth="1"/>
    <col min="9232" max="9232" width="18.85546875" style="2" customWidth="1"/>
    <col min="9233" max="9233" width="13.28515625" style="2" customWidth="1"/>
    <col min="9234" max="9234" width="27.85546875" style="2" customWidth="1"/>
    <col min="9235" max="9235" width="29.7109375" style="2" customWidth="1"/>
    <col min="9236" max="9236" width="30.85546875" style="2" customWidth="1"/>
    <col min="9237" max="9237" width="34.5703125" style="2" customWidth="1"/>
    <col min="9238" max="9238" width="29.42578125" style="2" customWidth="1"/>
    <col min="9239" max="9239" width="13.28515625" style="2" customWidth="1"/>
    <col min="9240" max="9240" width="17.42578125" style="2" customWidth="1"/>
    <col min="9241" max="9256" width="11.42578125" style="2"/>
    <col min="9257" max="9257" width="16.85546875" style="2" customWidth="1"/>
    <col min="9258" max="9258" width="21.5703125" style="2" customWidth="1"/>
    <col min="9259" max="9259" width="28" style="2" customWidth="1"/>
    <col min="9260" max="9472" width="11.42578125" style="2"/>
    <col min="9473" max="9473" width="13.28515625" style="2" customWidth="1"/>
    <col min="9474" max="9474" width="6" style="2" customWidth="1"/>
    <col min="9475" max="9475" width="15.5703125" style="2" customWidth="1"/>
    <col min="9476" max="9476" width="14.140625" style="2" customWidth="1"/>
    <col min="9477" max="9477" width="7.42578125" style="2" customWidth="1"/>
    <col min="9478" max="9478" width="12.28515625" style="2" customWidth="1"/>
    <col min="9479" max="9479" width="13.85546875" style="2" customWidth="1"/>
    <col min="9480" max="9480" width="24" style="2" customWidth="1"/>
    <col min="9481" max="9481" width="1" style="2" customWidth="1"/>
    <col min="9482" max="9482" width="14.28515625" style="2" customWidth="1"/>
    <col min="9483" max="9483" width="29" style="2" customWidth="1"/>
    <col min="9484" max="9484" width="21.85546875" style="2" customWidth="1"/>
    <col min="9485" max="9485" width="22" style="2" customWidth="1"/>
    <col min="9486" max="9486" width="34.7109375" style="2" customWidth="1"/>
    <col min="9487" max="9487" width="26.140625" style="2" customWidth="1"/>
    <col min="9488" max="9488" width="18.85546875" style="2" customWidth="1"/>
    <col min="9489" max="9489" width="13.28515625" style="2" customWidth="1"/>
    <col min="9490" max="9490" width="27.85546875" style="2" customWidth="1"/>
    <col min="9491" max="9491" width="29.7109375" style="2" customWidth="1"/>
    <col min="9492" max="9492" width="30.85546875" style="2" customWidth="1"/>
    <col min="9493" max="9493" width="34.5703125" style="2" customWidth="1"/>
    <col min="9494" max="9494" width="29.42578125" style="2" customWidth="1"/>
    <col min="9495" max="9495" width="13.28515625" style="2" customWidth="1"/>
    <col min="9496" max="9496" width="17.42578125" style="2" customWidth="1"/>
    <col min="9497" max="9512" width="11.42578125" style="2"/>
    <col min="9513" max="9513" width="16.85546875" style="2" customWidth="1"/>
    <col min="9514" max="9514" width="21.5703125" style="2" customWidth="1"/>
    <col min="9515" max="9515" width="28" style="2" customWidth="1"/>
    <col min="9516" max="9728" width="11.42578125" style="2"/>
    <col min="9729" max="9729" width="13.28515625" style="2" customWidth="1"/>
    <col min="9730" max="9730" width="6" style="2" customWidth="1"/>
    <col min="9731" max="9731" width="15.5703125" style="2" customWidth="1"/>
    <col min="9732" max="9732" width="14.140625" style="2" customWidth="1"/>
    <col min="9733" max="9733" width="7.42578125" style="2" customWidth="1"/>
    <col min="9734" max="9734" width="12.28515625" style="2" customWidth="1"/>
    <col min="9735" max="9735" width="13.85546875" style="2" customWidth="1"/>
    <col min="9736" max="9736" width="24" style="2" customWidth="1"/>
    <col min="9737" max="9737" width="1" style="2" customWidth="1"/>
    <col min="9738" max="9738" width="14.28515625" style="2" customWidth="1"/>
    <col min="9739" max="9739" width="29" style="2" customWidth="1"/>
    <col min="9740" max="9740" width="21.85546875" style="2" customWidth="1"/>
    <col min="9741" max="9741" width="22" style="2" customWidth="1"/>
    <col min="9742" max="9742" width="34.7109375" style="2" customWidth="1"/>
    <col min="9743" max="9743" width="26.140625" style="2" customWidth="1"/>
    <col min="9744" max="9744" width="18.85546875" style="2" customWidth="1"/>
    <col min="9745" max="9745" width="13.28515625" style="2" customWidth="1"/>
    <col min="9746" max="9746" width="27.85546875" style="2" customWidth="1"/>
    <col min="9747" max="9747" width="29.7109375" style="2" customWidth="1"/>
    <col min="9748" max="9748" width="30.85546875" style="2" customWidth="1"/>
    <col min="9749" max="9749" width="34.5703125" style="2" customWidth="1"/>
    <col min="9750" max="9750" width="29.42578125" style="2" customWidth="1"/>
    <col min="9751" max="9751" width="13.28515625" style="2" customWidth="1"/>
    <col min="9752" max="9752" width="17.42578125" style="2" customWidth="1"/>
    <col min="9753" max="9768" width="11.42578125" style="2"/>
    <col min="9769" max="9769" width="16.85546875" style="2" customWidth="1"/>
    <col min="9770" max="9770" width="21.5703125" style="2" customWidth="1"/>
    <col min="9771" max="9771" width="28" style="2" customWidth="1"/>
    <col min="9772" max="9984" width="11.42578125" style="2"/>
    <col min="9985" max="9985" width="13.28515625" style="2" customWidth="1"/>
    <col min="9986" max="9986" width="6" style="2" customWidth="1"/>
    <col min="9987" max="9987" width="15.5703125" style="2" customWidth="1"/>
    <col min="9988" max="9988" width="14.140625" style="2" customWidth="1"/>
    <col min="9989" max="9989" width="7.42578125" style="2" customWidth="1"/>
    <col min="9990" max="9990" width="12.28515625" style="2" customWidth="1"/>
    <col min="9991" max="9991" width="13.85546875" style="2" customWidth="1"/>
    <col min="9992" max="9992" width="24" style="2" customWidth="1"/>
    <col min="9993" max="9993" width="1" style="2" customWidth="1"/>
    <col min="9994" max="9994" width="14.28515625" style="2" customWidth="1"/>
    <col min="9995" max="9995" width="29" style="2" customWidth="1"/>
    <col min="9996" max="9996" width="21.85546875" style="2" customWidth="1"/>
    <col min="9997" max="9997" width="22" style="2" customWidth="1"/>
    <col min="9998" max="9998" width="34.7109375" style="2" customWidth="1"/>
    <col min="9999" max="9999" width="26.140625" style="2" customWidth="1"/>
    <col min="10000" max="10000" width="18.85546875" style="2" customWidth="1"/>
    <col min="10001" max="10001" width="13.28515625" style="2" customWidth="1"/>
    <col min="10002" max="10002" width="27.85546875" style="2" customWidth="1"/>
    <col min="10003" max="10003" width="29.7109375" style="2" customWidth="1"/>
    <col min="10004" max="10004" width="30.85546875" style="2" customWidth="1"/>
    <col min="10005" max="10005" width="34.5703125" style="2" customWidth="1"/>
    <col min="10006" max="10006" width="29.42578125" style="2" customWidth="1"/>
    <col min="10007" max="10007" width="13.28515625" style="2" customWidth="1"/>
    <col min="10008" max="10008" width="17.42578125" style="2" customWidth="1"/>
    <col min="10009" max="10024" width="11.42578125" style="2"/>
    <col min="10025" max="10025" width="16.85546875" style="2" customWidth="1"/>
    <col min="10026" max="10026" width="21.5703125" style="2" customWidth="1"/>
    <col min="10027" max="10027" width="28" style="2" customWidth="1"/>
    <col min="10028" max="10240" width="11.42578125" style="2"/>
    <col min="10241" max="10241" width="13.28515625" style="2" customWidth="1"/>
    <col min="10242" max="10242" width="6" style="2" customWidth="1"/>
    <col min="10243" max="10243" width="15.5703125" style="2" customWidth="1"/>
    <col min="10244" max="10244" width="14.140625" style="2" customWidth="1"/>
    <col min="10245" max="10245" width="7.42578125" style="2" customWidth="1"/>
    <col min="10246" max="10246" width="12.28515625" style="2" customWidth="1"/>
    <col min="10247" max="10247" width="13.85546875" style="2" customWidth="1"/>
    <col min="10248" max="10248" width="24" style="2" customWidth="1"/>
    <col min="10249" max="10249" width="1" style="2" customWidth="1"/>
    <col min="10250" max="10250" width="14.28515625" style="2" customWidth="1"/>
    <col min="10251" max="10251" width="29" style="2" customWidth="1"/>
    <col min="10252" max="10252" width="21.85546875" style="2" customWidth="1"/>
    <col min="10253" max="10253" width="22" style="2" customWidth="1"/>
    <col min="10254" max="10254" width="34.7109375" style="2" customWidth="1"/>
    <col min="10255" max="10255" width="26.140625" style="2" customWidth="1"/>
    <col min="10256" max="10256" width="18.85546875" style="2" customWidth="1"/>
    <col min="10257" max="10257" width="13.28515625" style="2" customWidth="1"/>
    <col min="10258" max="10258" width="27.85546875" style="2" customWidth="1"/>
    <col min="10259" max="10259" width="29.7109375" style="2" customWidth="1"/>
    <col min="10260" max="10260" width="30.85546875" style="2" customWidth="1"/>
    <col min="10261" max="10261" width="34.5703125" style="2" customWidth="1"/>
    <col min="10262" max="10262" width="29.42578125" style="2" customWidth="1"/>
    <col min="10263" max="10263" width="13.28515625" style="2" customWidth="1"/>
    <col min="10264" max="10264" width="17.42578125" style="2" customWidth="1"/>
    <col min="10265" max="10280" width="11.42578125" style="2"/>
    <col min="10281" max="10281" width="16.85546875" style="2" customWidth="1"/>
    <col min="10282" max="10282" width="21.5703125" style="2" customWidth="1"/>
    <col min="10283" max="10283" width="28" style="2" customWidth="1"/>
    <col min="10284" max="10496" width="11.42578125" style="2"/>
    <col min="10497" max="10497" width="13.28515625" style="2" customWidth="1"/>
    <col min="10498" max="10498" width="6" style="2" customWidth="1"/>
    <col min="10499" max="10499" width="15.5703125" style="2" customWidth="1"/>
    <col min="10500" max="10500" width="14.140625" style="2" customWidth="1"/>
    <col min="10501" max="10501" width="7.42578125" style="2" customWidth="1"/>
    <col min="10502" max="10502" width="12.28515625" style="2" customWidth="1"/>
    <col min="10503" max="10503" width="13.85546875" style="2" customWidth="1"/>
    <col min="10504" max="10504" width="24" style="2" customWidth="1"/>
    <col min="10505" max="10505" width="1" style="2" customWidth="1"/>
    <col min="10506" max="10506" width="14.28515625" style="2" customWidth="1"/>
    <col min="10507" max="10507" width="29" style="2" customWidth="1"/>
    <col min="10508" max="10508" width="21.85546875" style="2" customWidth="1"/>
    <col min="10509" max="10509" width="22" style="2" customWidth="1"/>
    <col min="10510" max="10510" width="34.7109375" style="2" customWidth="1"/>
    <col min="10511" max="10511" width="26.140625" style="2" customWidth="1"/>
    <col min="10512" max="10512" width="18.85546875" style="2" customWidth="1"/>
    <col min="10513" max="10513" width="13.28515625" style="2" customWidth="1"/>
    <col min="10514" max="10514" width="27.85546875" style="2" customWidth="1"/>
    <col min="10515" max="10515" width="29.7109375" style="2" customWidth="1"/>
    <col min="10516" max="10516" width="30.85546875" style="2" customWidth="1"/>
    <col min="10517" max="10517" width="34.5703125" style="2" customWidth="1"/>
    <col min="10518" max="10518" width="29.42578125" style="2" customWidth="1"/>
    <col min="10519" max="10519" width="13.28515625" style="2" customWidth="1"/>
    <col min="10520" max="10520" width="17.42578125" style="2" customWidth="1"/>
    <col min="10521" max="10536" width="11.42578125" style="2"/>
    <col min="10537" max="10537" width="16.85546875" style="2" customWidth="1"/>
    <col min="10538" max="10538" width="21.5703125" style="2" customWidth="1"/>
    <col min="10539" max="10539" width="28" style="2" customWidth="1"/>
    <col min="10540" max="10752" width="11.42578125" style="2"/>
    <col min="10753" max="10753" width="13.28515625" style="2" customWidth="1"/>
    <col min="10754" max="10754" width="6" style="2" customWidth="1"/>
    <col min="10755" max="10755" width="15.5703125" style="2" customWidth="1"/>
    <col min="10756" max="10756" width="14.140625" style="2" customWidth="1"/>
    <col min="10757" max="10757" width="7.42578125" style="2" customWidth="1"/>
    <col min="10758" max="10758" width="12.28515625" style="2" customWidth="1"/>
    <col min="10759" max="10759" width="13.85546875" style="2" customWidth="1"/>
    <col min="10760" max="10760" width="24" style="2" customWidth="1"/>
    <col min="10761" max="10761" width="1" style="2" customWidth="1"/>
    <col min="10762" max="10762" width="14.28515625" style="2" customWidth="1"/>
    <col min="10763" max="10763" width="29" style="2" customWidth="1"/>
    <col min="10764" max="10764" width="21.85546875" style="2" customWidth="1"/>
    <col min="10765" max="10765" width="22" style="2" customWidth="1"/>
    <col min="10766" max="10766" width="34.7109375" style="2" customWidth="1"/>
    <col min="10767" max="10767" width="26.140625" style="2" customWidth="1"/>
    <col min="10768" max="10768" width="18.85546875" style="2" customWidth="1"/>
    <col min="10769" max="10769" width="13.28515625" style="2" customWidth="1"/>
    <col min="10770" max="10770" width="27.85546875" style="2" customWidth="1"/>
    <col min="10771" max="10771" width="29.7109375" style="2" customWidth="1"/>
    <col min="10772" max="10772" width="30.85546875" style="2" customWidth="1"/>
    <col min="10773" max="10773" width="34.5703125" style="2" customWidth="1"/>
    <col min="10774" max="10774" width="29.42578125" style="2" customWidth="1"/>
    <col min="10775" max="10775" width="13.28515625" style="2" customWidth="1"/>
    <col min="10776" max="10776" width="17.42578125" style="2" customWidth="1"/>
    <col min="10777" max="10792" width="11.42578125" style="2"/>
    <col min="10793" max="10793" width="16.85546875" style="2" customWidth="1"/>
    <col min="10794" max="10794" width="21.5703125" style="2" customWidth="1"/>
    <col min="10795" max="10795" width="28" style="2" customWidth="1"/>
    <col min="10796" max="11008" width="11.42578125" style="2"/>
    <col min="11009" max="11009" width="13.28515625" style="2" customWidth="1"/>
    <col min="11010" max="11010" width="6" style="2" customWidth="1"/>
    <col min="11011" max="11011" width="15.5703125" style="2" customWidth="1"/>
    <col min="11012" max="11012" width="14.140625" style="2" customWidth="1"/>
    <col min="11013" max="11013" width="7.42578125" style="2" customWidth="1"/>
    <col min="11014" max="11014" width="12.28515625" style="2" customWidth="1"/>
    <col min="11015" max="11015" width="13.85546875" style="2" customWidth="1"/>
    <col min="11016" max="11016" width="24" style="2" customWidth="1"/>
    <col min="11017" max="11017" width="1" style="2" customWidth="1"/>
    <col min="11018" max="11018" width="14.28515625" style="2" customWidth="1"/>
    <col min="11019" max="11019" width="29" style="2" customWidth="1"/>
    <col min="11020" max="11020" width="21.85546875" style="2" customWidth="1"/>
    <col min="11021" max="11021" width="22" style="2" customWidth="1"/>
    <col min="11022" max="11022" width="34.7109375" style="2" customWidth="1"/>
    <col min="11023" max="11023" width="26.140625" style="2" customWidth="1"/>
    <col min="11024" max="11024" width="18.85546875" style="2" customWidth="1"/>
    <col min="11025" max="11025" width="13.28515625" style="2" customWidth="1"/>
    <col min="11026" max="11026" width="27.85546875" style="2" customWidth="1"/>
    <col min="11027" max="11027" width="29.7109375" style="2" customWidth="1"/>
    <col min="11028" max="11028" width="30.85546875" style="2" customWidth="1"/>
    <col min="11029" max="11029" width="34.5703125" style="2" customWidth="1"/>
    <col min="11030" max="11030" width="29.42578125" style="2" customWidth="1"/>
    <col min="11031" max="11031" width="13.28515625" style="2" customWidth="1"/>
    <col min="11032" max="11032" width="17.42578125" style="2" customWidth="1"/>
    <col min="11033" max="11048" width="11.42578125" style="2"/>
    <col min="11049" max="11049" width="16.85546875" style="2" customWidth="1"/>
    <col min="11050" max="11050" width="21.5703125" style="2" customWidth="1"/>
    <col min="11051" max="11051" width="28" style="2" customWidth="1"/>
    <col min="11052" max="11264" width="11.42578125" style="2"/>
    <col min="11265" max="11265" width="13.28515625" style="2" customWidth="1"/>
    <col min="11266" max="11266" width="6" style="2" customWidth="1"/>
    <col min="11267" max="11267" width="15.5703125" style="2" customWidth="1"/>
    <col min="11268" max="11268" width="14.140625" style="2" customWidth="1"/>
    <col min="11269" max="11269" width="7.42578125" style="2" customWidth="1"/>
    <col min="11270" max="11270" width="12.28515625" style="2" customWidth="1"/>
    <col min="11271" max="11271" width="13.85546875" style="2" customWidth="1"/>
    <col min="11272" max="11272" width="24" style="2" customWidth="1"/>
    <col min="11273" max="11273" width="1" style="2" customWidth="1"/>
    <col min="11274" max="11274" width="14.28515625" style="2" customWidth="1"/>
    <col min="11275" max="11275" width="29" style="2" customWidth="1"/>
    <col min="11276" max="11276" width="21.85546875" style="2" customWidth="1"/>
    <col min="11277" max="11277" width="22" style="2" customWidth="1"/>
    <col min="11278" max="11278" width="34.7109375" style="2" customWidth="1"/>
    <col min="11279" max="11279" width="26.140625" style="2" customWidth="1"/>
    <col min="11280" max="11280" width="18.85546875" style="2" customWidth="1"/>
    <col min="11281" max="11281" width="13.28515625" style="2" customWidth="1"/>
    <col min="11282" max="11282" width="27.85546875" style="2" customWidth="1"/>
    <col min="11283" max="11283" width="29.7109375" style="2" customWidth="1"/>
    <col min="11284" max="11284" width="30.85546875" style="2" customWidth="1"/>
    <col min="11285" max="11285" width="34.5703125" style="2" customWidth="1"/>
    <col min="11286" max="11286" width="29.42578125" style="2" customWidth="1"/>
    <col min="11287" max="11287" width="13.28515625" style="2" customWidth="1"/>
    <col min="11288" max="11288" width="17.42578125" style="2" customWidth="1"/>
    <col min="11289" max="11304" width="11.42578125" style="2"/>
    <col min="11305" max="11305" width="16.85546875" style="2" customWidth="1"/>
    <col min="11306" max="11306" width="21.5703125" style="2" customWidth="1"/>
    <col min="11307" max="11307" width="28" style="2" customWidth="1"/>
    <col min="11308" max="11520" width="11.42578125" style="2"/>
    <col min="11521" max="11521" width="13.28515625" style="2" customWidth="1"/>
    <col min="11522" max="11522" width="6" style="2" customWidth="1"/>
    <col min="11523" max="11523" width="15.5703125" style="2" customWidth="1"/>
    <col min="11524" max="11524" width="14.140625" style="2" customWidth="1"/>
    <col min="11525" max="11525" width="7.42578125" style="2" customWidth="1"/>
    <col min="11526" max="11526" width="12.28515625" style="2" customWidth="1"/>
    <col min="11527" max="11527" width="13.85546875" style="2" customWidth="1"/>
    <col min="11528" max="11528" width="24" style="2" customWidth="1"/>
    <col min="11529" max="11529" width="1" style="2" customWidth="1"/>
    <col min="11530" max="11530" width="14.28515625" style="2" customWidth="1"/>
    <col min="11531" max="11531" width="29" style="2" customWidth="1"/>
    <col min="11532" max="11532" width="21.85546875" style="2" customWidth="1"/>
    <col min="11533" max="11533" width="22" style="2" customWidth="1"/>
    <col min="11534" max="11534" width="34.7109375" style="2" customWidth="1"/>
    <col min="11535" max="11535" width="26.140625" style="2" customWidth="1"/>
    <col min="11536" max="11536" width="18.85546875" style="2" customWidth="1"/>
    <col min="11537" max="11537" width="13.28515625" style="2" customWidth="1"/>
    <col min="11538" max="11538" width="27.85546875" style="2" customWidth="1"/>
    <col min="11539" max="11539" width="29.7109375" style="2" customWidth="1"/>
    <col min="11540" max="11540" width="30.85546875" style="2" customWidth="1"/>
    <col min="11541" max="11541" width="34.5703125" style="2" customWidth="1"/>
    <col min="11542" max="11542" width="29.42578125" style="2" customWidth="1"/>
    <col min="11543" max="11543" width="13.28515625" style="2" customWidth="1"/>
    <col min="11544" max="11544" width="17.42578125" style="2" customWidth="1"/>
    <col min="11545" max="11560" width="11.42578125" style="2"/>
    <col min="11561" max="11561" width="16.85546875" style="2" customWidth="1"/>
    <col min="11562" max="11562" width="21.5703125" style="2" customWidth="1"/>
    <col min="11563" max="11563" width="28" style="2" customWidth="1"/>
    <col min="11564" max="11776" width="11.42578125" style="2"/>
    <col min="11777" max="11777" width="13.28515625" style="2" customWidth="1"/>
    <col min="11778" max="11778" width="6" style="2" customWidth="1"/>
    <col min="11779" max="11779" width="15.5703125" style="2" customWidth="1"/>
    <col min="11780" max="11780" width="14.140625" style="2" customWidth="1"/>
    <col min="11781" max="11781" width="7.42578125" style="2" customWidth="1"/>
    <col min="11782" max="11782" width="12.28515625" style="2" customWidth="1"/>
    <col min="11783" max="11783" width="13.85546875" style="2" customWidth="1"/>
    <col min="11784" max="11784" width="24" style="2" customWidth="1"/>
    <col min="11785" max="11785" width="1" style="2" customWidth="1"/>
    <col min="11786" max="11786" width="14.28515625" style="2" customWidth="1"/>
    <col min="11787" max="11787" width="29" style="2" customWidth="1"/>
    <col min="11788" max="11788" width="21.85546875" style="2" customWidth="1"/>
    <col min="11789" max="11789" width="22" style="2" customWidth="1"/>
    <col min="11790" max="11790" width="34.7109375" style="2" customWidth="1"/>
    <col min="11791" max="11791" width="26.140625" style="2" customWidth="1"/>
    <col min="11792" max="11792" width="18.85546875" style="2" customWidth="1"/>
    <col min="11793" max="11793" width="13.28515625" style="2" customWidth="1"/>
    <col min="11794" max="11794" width="27.85546875" style="2" customWidth="1"/>
    <col min="11795" max="11795" width="29.7109375" style="2" customWidth="1"/>
    <col min="11796" max="11796" width="30.85546875" style="2" customWidth="1"/>
    <col min="11797" max="11797" width="34.5703125" style="2" customWidth="1"/>
    <col min="11798" max="11798" width="29.42578125" style="2" customWidth="1"/>
    <col min="11799" max="11799" width="13.28515625" style="2" customWidth="1"/>
    <col min="11800" max="11800" width="17.42578125" style="2" customWidth="1"/>
    <col min="11801" max="11816" width="11.42578125" style="2"/>
    <col min="11817" max="11817" width="16.85546875" style="2" customWidth="1"/>
    <col min="11818" max="11818" width="21.5703125" style="2" customWidth="1"/>
    <col min="11819" max="11819" width="28" style="2" customWidth="1"/>
    <col min="11820" max="12032" width="11.42578125" style="2"/>
    <col min="12033" max="12033" width="13.28515625" style="2" customWidth="1"/>
    <col min="12034" max="12034" width="6" style="2" customWidth="1"/>
    <col min="12035" max="12035" width="15.5703125" style="2" customWidth="1"/>
    <col min="12036" max="12036" width="14.140625" style="2" customWidth="1"/>
    <col min="12037" max="12037" width="7.42578125" style="2" customWidth="1"/>
    <col min="12038" max="12038" width="12.28515625" style="2" customWidth="1"/>
    <col min="12039" max="12039" width="13.85546875" style="2" customWidth="1"/>
    <col min="12040" max="12040" width="24" style="2" customWidth="1"/>
    <col min="12041" max="12041" width="1" style="2" customWidth="1"/>
    <col min="12042" max="12042" width="14.28515625" style="2" customWidth="1"/>
    <col min="12043" max="12043" width="29" style="2" customWidth="1"/>
    <col min="12044" max="12044" width="21.85546875" style="2" customWidth="1"/>
    <col min="12045" max="12045" width="22" style="2" customWidth="1"/>
    <col min="12046" max="12046" width="34.7109375" style="2" customWidth="1"/>
    <col min="12047" max="12047" width="26.140625" style="2" customWidth="1"/>
    <col min="12048" max="12048" width="18.85546875" style="2" customWidth="1"/>
    <col min="12049" max="12049" width="13.28515625" style="2" customWidth="1"/>
    <col min="12050" max="12050" width="27.85546875" style="2" customWidth="1"/>
    <col min="12051" max="12051" width="29.7109375" style="2" customWidth="1"/>
    <col min="12052" max="12052" width="30.85546875" style="2" customWidth="1"/>
    <col min="12053" max="12053" width="34.5703125" style="2" customWidth="1"/>
    <col min="12054" max="12054" width="29.42578125" style="2" customWidth="1"/>
    <col min="12055" max="12055" width="13.28515625" style="2" customWidth="1"/>
    <col min="12056" max="12056" width="17.42578125" style="2" customWidth="1"/>
    <col min="12057" max="12072" width="11.42578125" style="2"/>
    <col min="12073" max="12073" width="16.85546875" style="2" customWidth="1"/>
    <col min="12074" max="12074" width="21.5703125" style="2" customWidth="1"/>
    <col min="12075" max="12075" width="28" style="2" customWidth="1"/>
    <col min="12076" max="12288" width="11.42578125" style="2"/>
    <col min="12289" max="12289" width="13.28515625" style="2" customWidth="1"/>
    <col min="12290" max="12290" width="6" style="2" customWidth="1"/>
    <col min="12291" max="12291" width="15.5703125" style="2" customWidth="1"/>
    <col min="12292" max="12292" width="14.140625" style="2" customWidth="1"/>
    <col min="12293" max="12293" width="7.42578125" style="2" customWidth="1"/>
    <col min="12294" max="12294" width="12.28515625" style="2" customWidth="1"/>
    <col min="12295" max="12295" width="13.85546875" style="2" customWidth="1"/>
    <col min="12296" max="12296" width="24" style="2" customWidth="1"/>
    <col min="12297" max="12297" width="1" style="2" customWidth="1"/>
    <col min="12298" max="12298" width="14.28515625" style="2" customWidth="1"/>
    <col min="12299" max="12299" width="29" style="2" customWidth="1"/>
    <col min="12300" max="12300" width="21.85546875" style="2" customWidth="1"/>
    <col min="12301" max="12301" width="22" style="2" customWidth="1"/>
    <col min="12302" max="12302" width="34.7109375" style="2" customWidth="1"/>
    <col min="12303" max="12303" width="26.140625" style="2" customWidth="1"/>
    <col min="12304" max="12304" width="18.85546875" style="2" customWidth="1"/>
    <col min="12305" max="12305" width="13.28515625" style="2" customWidth="1"/>
    <col min="12306" max="12306" width="27.85546875" style="2" customWidth="1"/>
    <col min="12307" max="12307" width="29.7109375" style="2" customWidth="1"/>
    <col min="12308" max="12308" width="30.85546875" style="2" customWidth="1"/>
    <col min="12309" max="12309" width="34.5703125" style="2" customWidth="1"/>
    <col min="12310" max="12310" width="29.42578125" style="2" customWidth="1"/>
    <col min="12311" max="12311" width="13.28515625" style="2" customWidth="1"/>
    <col min="12312" max="12312" width="17.42578125" style="2" customWidth="1"/>
    <col min="12313" max="12328" width="11.42578125" style="2"/>
    <col min="12329" max="12329" width="16.85546875" style="2" customWidth="1"/>
    <col min="12330" max="12330" width="21.5703125" style="2" customWidth="1"/>
    <col min="12331" max="12331" width="28" style="2" customWidth="1"/>
    <col min="12332" max="12544" width="11.42578125" style="2"/>
    <col min="12545" max="12545" width="13.28515625" style="2" customWidth="1"/>
    <col min="12546" max="12546" width="6" style="2" customWidth="1"/>
    <col min="12547" max="12547" width="15.5703125" style="2" customWidth="1"/>
    <col min="12548" max="12548" width="14.140625" style="2" customWidth="1"/>
    <col min="12549" max="12549" width="7.42578125" style="2" customWidth="1"/>
    <col min="12550" max="12550" width="12.28515625" style="2" customWidth="1"/>
    <col min="12551" max="12551" width="13.85546875" style="2" customWidth="1"/>
    <col min="12552" max="12552" width="24" style="2" customWidth="1"/>
    <col min="12553" max="12553" width="1" style="2" customWidth="1"/>
    <col min="12554" max="12554" width="14.28515625" style="2" customWidth="1"/>
    <col min="12555" max="12555" width="29" style="2" customWidth="1"/>
    <col min="12556" max="12556" width="21.85546875" style="2" customWidth="1"/>
    <col min="12557" max="12557" width="22" style="2" customWidth="1"/>
    <col min="12558" max="12558" width="34.7109375" style="2" customWidth="1"/>
    <col min="12559" max="12559" width="26.140625" style="2" customWidth="1"/>
    <col min="12560" max="12560" width="18.85546875" style="2" customWidth="1"/>
    <col min="12561" max="12561" width="13.28515625" style="2" customWidth="1"/>
    <col min="12562" max="12562" width="27.85546875" style="2" customWidth="1"/>
    <col min="12563" max="12563" width="29.7109375" style="2" customWidth="1"/>
    <col min="12564" max="12564" width="30.85546875" style="2" customWidth="1"/>
    <col min="12565" max="12565" width="34.5703125" style="2" customWidth="1"/>
    <col min="12566" max="12566" width="29.42578125" style="2" customWidth="1"/>
    <col min="12567" max="12567" width="13.28515625" style="2" customWidth="1"/>
    <col min="12568" max="12568" width="17.42578125" style="2" customWidth="1"/>
    <col min="12569" max="12584" width="11.42578125" style="2"/>
    <col min="12585" max="12585" width="16.85546875" style="2" customWidth="1"/>
    <col min="12586" max="12586" width="21.5703125" style="2" customWidth="1"/>
    <col min="12587" max="12587" width="28" style="2" customWidth="1"/>
    <col min="12588" max="12800" width="11.42578125" style="2"/>
    <col min="12801" max="12801" width="13.28515625" style="2" customWidth="1"/>
    <col min="12802" max="12802" width="6" style="2" customWidth="1"/>
    <col min="12803" max="12803" width="15.5703125" style="2" customWidth="1"/>
    <col min="12804" max="12804" width="14.140625" style="2" customWidth="1"/>
    <col min="12805" max="12805" width="7.42578125" style="2" customWidth="1"/>
    <col min="12806" max="12806" width="12.28515625" style="2" customWidth="1"/>
    <col min="12807" max="12807" width="13.85546875" style="2" customWidth="1"/>
    <col min="12808" max="12808" width="24" style="2" customWidth="1"/>
    <col min="12809" max="12809" width="1" style="2" customWidth="1"/>
    <col min="12810" max="12810" width="14.28515625" style="2" customWidth="1"/>
    <col min="12811" max="12811" width="29" style="2" customWidth="1"/>
    <col min="12812" max="12812" width="21.85546875" style="2" customWidth="1"/>
    <col min="12813" max="12813" width="22" style="2" customWidth="1"/>
    <col min="12814" max="12814" width="34.7109375" style="2" customWidth="1"/>
    <col min="12815" max="12815" width="26.140625" style="2" customWidth="1"/>
    <col min="12816" max="12816" width="18.85546875" style="2" customWidth="1"/>
    <col min="12817" max="12817" width="13.28515625" style="2" customWidth="1"/>
    <col min="12818" max="12818" width="27.85546875" style="2" customWidth="1"/>
    <col min="12819" max="12819" width="29.7109375" style="2" customWidth="1"/>
    <col min="12820" max="12820" width="30.85546875" style="2" customWidth="1"/>
    <col min="12821" max="12821" width="34.5703125" style="2" customWidth="1"/>
    <col min="12822" max="12822" width="29.42578125" style="2" customWidth="1"/>
    <col min="12823" max="12823" width="13.28515625" style="2" customWidth="1"/>
    <col min="12824" max="12824" width="17.42578125" style="2" customWidth="1"/>
    <col min="12825" max="12840" width="11.42578125" style="2"/>
    <col min="12841" max="12841" width="16.85546875" style="2" customWidth="1"/>
    <col min="12842" max="12842" width="21.5703125" style="2" customWidth="1"/>
    <col min="12843" max="12843" width="28" style="2" customWidth="1"/>
    <col min="12844" max="13056" width="11.42578125" style="2"/>
    <col min="13057" max="13057" width="13.28515625" style="2" customWidth="1"/>
    <col min="13058" max="13058" width="6" style="2" customWidth="1"/>
    <col min="13059" max="13059" width="15.5703125" style="2" customWidth="1"/>
    <col min="13060" max="13060" width="14.140625" style="2" customWidth="1"/>
    <col min="13061" max="13061" width="7.42578125" style="2" customWidth="1"/>
    <col min="13062" max="13062" width="12.28515625" style="2" customWidth="1"/>
    <col min="13063" max="13063" width="13.85546875" style="2" customWidth="1"/>
    <col min="13064" max="13064" width="24" style="2" customWidth="1"/>
    <col min="13065" max="13065" width="1" style="2" customWidth="1"/>
    <col min="13066" max="13066" width="14.28515625" style="2" customWidth="1"/>
    <col min="13067" max="13067" width="29" style="2" customWidth="1"/>
    <col min="13068" max="13068" width="21.85546875" style="2" customWidth="1"/>
    <col min="13069" max="13069" width="22" style="2" customWidth="1"/>
    <col min="13070" max="13070" width="34.7109375" style="2" customWidth="1"/>
    <col min="13071" max="13071" width="26.140625" style="2" customWidth="1"/>
    <col min="13072" max="13072" width="18.85546875" style="2" customWidth="1"/>
    <col min="13073" max="13073" width="13.28515625" style="2" customWidth="1"/>
    <col min="13074" max="13074" width="27.85546875" style="2" customWidth="1"/>
    <col min="13075" max="13075" width="29.7109375" style="2" customWidth="1"/>
    <col min="13076" max="13076" width="30.85546875" style="2" customWidth="1"/>
    <col min="13077" max="13077" width="34.5703125" style="2" customWidth="1"/>
    <col min="13078" max="13078" width="29.42578125" style="2" customWidth="1"/>
    <col min="13079" max="13079" width="13.28515625" style="2" customWidth="1"/>
    <col min="13080" max="13080" width="17.42578125" style="2" customWidth="1"/>
    <col min="13081" max="13096" width="11.42578125" style="2"/>
    <col min="13097" max="13097" width="16.85546875" style="2" customWidth="1"/>
    <col min="13098" max="13098" width="21.5703125" style="2" customWidth="1"/>
    <col min="13099" max="13099" width="28" style="2" customWidth="1"/>
    <col min="13100" max="13312" width="11.42578125" style="2"/>
    <col min="13313" max="13313" width="13.28515625" style="2" customWidth="1"/>
    <col min="13314" max="13314" width="6" style="2" customWidth="1"/>
    <col min="13315" max="13315" width="15.5703125" style="2" customWidth="1"/>
    <col min="13316" max="13316" width="14.140625" style="2" customWidth="1"/>
    <col min="13317" max="13317" width="7.42578125" style="2" customWidth="1"/>
    <col min="13318" max="13318" width="12.28515625" style="2" customWidth="1"/>
    <col min="13319" max="13319" width="13.85546875" style="2" customWidth="1"/>
    <col min="13320" max="13320" width="24" style="2" customWidth="1"/>
    <col min="13321" max="13321" width="1" style="2" customWidth="1"/>
    <col min="13322" max="13322" width="14.28515625" style="2" customWidth="1"/>
    <col min="13323" max="13323" width="29" style="2" customWidth="1"/>
    <col min="13324" max="13324" width="21.85546875" style="2" customWidth="1"/>
    <col min="13325" max="13325" width="22" style="2" customWidth="1"/>
    <col min="13326" max="13326" width="34.7109375" style="2" customWidth="1"/>
    <col min="13327" max="13327" width="26.140625" style="2" customWidth="1"/>
    <col min="13328" max="13328" width="18.85546875" style="2" customWidth="1"/>
    <col min="13329" max="13329" width="13.28515625" style="2" customWidth="1"/>
    <col min="13330" max="13330" width="27.85546875" style="2" customWidth="1"/>
    <col min="13331" max="13331" width="29.7109375" style="2" customWidth="1"/>
    <col min="13332" max="13332" width="30.85546875" style="2" customWidth="1"/>
    <col min="13333" max="13333" width="34.5703125" style="2" customWidth="1"/>
    <col min="13334" max="13334" width="29.42578125" style="2" customWidth="1"/>
    <col min="13335" max="13335" width="13.28515625" style="2" customWidth="1"/>
    <col min="13336" max="13336" width="17.42578125" style="2" customWidth="1"/>
    <col min="13337" max="13352" width="11.42578125" style="2"/>
    <col min="13353" max="13353" width="16.85546875" style="2" customWidth="1"/>
    <col min="13354" max="13354" width="21.5703125" style="2" customWidth="1"/>
    <col min="13355" max="13355" width="28" style="2" customWidth="1"/>
    <col min="13356" max="13568" width="11.42578125" style="2"/>
    <col min="13569" max="13569" width="13.28515625" style="2" customWidth="1"/>
    <col min="13570" max="13570" width="6" style="2" customWidth="1"/>
    <col min="13571" max="13571" width="15.5703125" style="2" customWidth="1"/>
    <col min="13572" max="13572" width="14.140625" style="2" customWidth="1"/>
    <col min="13573" max="13573" width="7.42578125" style="2" customWidth="1"/>
    <col min="13574" max="13574" width="12.28515625" style="2" customWidth="1"/>
    <col min="13575" max="13575" width="13.85546875" style="2" customWidth="1"/>
    <col min="13576" max="13576" width="24" style="2" customWidth="1"/>
    <col min="13577" max="13577" width="1" style="2" customWidth="1"/>
    <col min="13578" max="13578" width="14.28515625" style="2" customWidth="1"/>
    <col min="13579" max="13579" width="29" style="2" customWidth="1"/>
    <col min="13580" max="13580" width="21.85546875" style="2" customWidth="1"/>
    <col min="13581" max="13581" width="22" style="2" customWidth="1"/>
    <col min="13582" max="13582" width="34.7109375" style="2" customWidth="1"/>
    <col min="13583" max="13583" width="26.140625" style="2" customWidth="1"/>
    <col min="13584" max="13584" width="18.85546875" style="2" customWidth="1"/>
    <col min="13585" max="13585" width="13.28515625" style="2" customWidth="1"/>
    <col min="13586" max="13586" width="27.85546875" style="2" customWidth="1"/>
    <col min="13587" max="13587" width="29.7109375" style="2" customWidth="1"/>
    <col min="13588" max="13588" width="30.85546875" style="2" customWidth="1"/>
    <col min="13589" max="13589" width="34.5703125" style="2" customWidth="1"/>
    <col min="13590" max="13590" width="29.42578125" style="2" customWidth="1"/>
    <col min="13591" max="13591" width="13.28515625" style="2" customWidth="1"/>
    <col min="13592" max="13592" width="17.42578125" style="2" customWidth="1"/>
    <col min="13593" max="13608" width="11.42578125" style="2"/>
    <col min="13609" max="13609" width="16.85546875" style="2" customWidth="1"/>
    <col min="13610" max="13610" width="21.5703125" style="2" customWidth="1"/>
    <col min="13611" max="13611" width="28" style="2" customWidth="1"/>
    <col min="13612" max="13824" width="11.42578125" style="2"/>
    <col min="13825" max="13825" width="13.28515625" style="2" customWidth="1"/>
    <col min="13826" max="13826" width="6" style="2" customWidth="1"/>
    <col min="13827" max="13827" width="15.5703125" style="2" customWidth="1"/>
    <col min="13828" max="13828" width="14.140625" style="2" customWidth="1"/>
    <col min="13829" max="13829" width="7.42578125" style="2" customWidth="1"/>
    <col min="13830" max="13830" width="12.28515625" style="2" customWidth="1"/>
    <col min="13831" max="13831" width="13.85546875" style="2" customWidth="1"/>
    <col min="13832" max="13832" width="24" style="2" customWidth="1"/>
    <col min="13833" max="13833" width="1" style="2" customWidth="1"/>
    <col min="13834" max="13834" width="14.28515625" style="2" customWidth="1"/>
    <col min="13835" max="13835" width="29" style="2" customWidth="1"/>
    <col min="13836" max="13836" width="21.85546875" style="2" customWidth="1"/>
    <col min="13837" max="13837" width="22" style="2" customWidth="1"/>
    <col min="13838" max="13838" width="34.7109375" style="2" customWidth="1"/>
    <col min="13839" max="13839" width="26.140625" style="2" customWidth="1"/>
    <col min="13840" max="13840" width="18.85546875" style="2" customWidth="1"/>
    <col min="13841" max="13841" width="13.28515625" style="2" customWidth="1"/>
    <col min="13842" max="13842" width="27.85546875" style="2" customWidth="1"/>
    <col min="13843" max="13843" width="29.7109375" style="2" customWidth="1"/>
    <col min="13844" max="13844" width="30.85546875" style="2" customWidth="1"/>
    <col min="13845" max="13845" width="34.5703125" style="2" customWidth="1"/>
    <col min="13846" max="13846" width="29.42578125" style="2" customWidth="1"/>
    <col min="13847" max="13847" width="13.28515625" style="2" customWidth="1"/>
    <col min="13848" max="13848" width="17.42578125" style="2" customWidth="1"/>
    <col min="13849" max="13864" width="11.42578125" style="2"/>
    <col min="13865" max="13865" width="16.85546875" style="2" customWidth="1"/>
    <col min="13866" max="13866" width="21.5703125" style="2" customWidth="1"/>
    <col min="13867" max="13867" width="28" style="2" customWidth="1"/>
    <col min="13868" max="14080" width="11.42578125" style="2"/>
    <col min="14081" max="14081" width="13.28515625" style="2" customWidth="1"/>
    <col min="14082" max="14082" width="6" style="2" customWidth="1"/>
    <col min="14083" max="14083" width="15.5703125" style="2" customWidth="1"/>
    <col min="14084" max="14084" width="14.140625" style="2" customWidth="1"/>
    <col min="14085" max="14085" width="7.42578125" style="2" customWidth="1"/>
    <col min="14086" max="14086" width="12.28515625" style="2" customWidth="1"/>
    <col min="14087" max="14087" width="13.85546875" style="2" customWidth="1"/>
    <col min="14088" max="14088" width="24" style="2" customWidth="1"/>
    <col min="14089" max="14089" width="1" style="2" customWidth="1"/>
    <col min="14090" max="14090" width="14.28515625" style="2" customWidth="1"/>
    <col min="14091" max="14091" width="29" style="2" customWidth="1"/>
    <col min="14092" max="14092" width="21.85546875" style="2" customWidth="1"/>
    <col min="14093" max="14093" width="22" style="2" customWidth="1"/>
    <col min="14094" max="14094" width="34.7109375" style="2" customWidth="1"/>
    <col min="14095" max="14095" width="26.140625" style="2" customWidth="1"/>
    <col min="14096" max="14096" width="18.85546875" style="2" customWidth="1"/>
    <col min="14097" max="14097" width="13.28515625" style="2" customWidth="1"/>
    <col min="14098" max="14098" width="27.85546875" style="2" customWidth="1"/>
    <col min="14099" max="14099" width="29.7109375" style="2" customWidth="1"/>
    <col min="14100" max="14100" width="30.85546875" style="2" customWidth="1"/>
    <col min="14101" max="14101" width="34.5703125" style="2" customWidth="1"/>
    <col min="14102" max="14102" width="29.42578125" style="2" customWidth="1"/>
    <col min="14103" max="14103" width="13.28515625" style="2" customWidth="1"/>
    <col min="14104" max="14104" width="17.42578125" style="2" customWidth="1"/>
    <col min="14105" max="14120" width="11.42578125" style="2"/>
    <col min="14121" max="14121" width="16.85546875" style="2" customWidth="1"/>
    <col min="14122" max="14122" width="21.5703125" style="2" customWidth="1"/>
    <col min="14123" max="14123" width="28" style="2" customWidth="1"/>
    <col min="14124" max="14336" width="11.42578125" style="2"/>
    <col min="14337" max="14337" width="13.28515625" style="2" customWidth="1"/>
    <col min="14338" max="14338" width="6" style="2" customWidth="1"/>
    <col min="14339" max="14339" width="15.5703125" style="2" customWidth="1"/>
    <col min="14340" max="14340" width="14.140625" style="2" customWidth="1"/>
    <col min="14341" max="14341" width="7.42578125" style="2" customWidth="1"/>
    <col min="14342" max="14342" width="12.28515625" style="2" customWidth="1"/>
    <col min="14343" max="14343" width="13.85546875" style="2" customWidth="1"/>
    <col min="14344" max="14344" width="24" style="2" customWidth="1"/>
    <col min="14345" max="14345" width="1" style="2" customWidth="1"/>
    <col min="14346" max="14346" width="14.28515625" style="2" customWidth="1"/>
    <col min="14347" max="14347" width="29" style="2" customWidth="1"/>
    <col min="14348" max="14348" width="21.85546875" style="2" customWidth="1"/>
    <col min="14349" max="14349" width="22" style="2" customWidth="1"/>
    <col min="14350" max="14350" width="34.7109375" style="2" customWidth="1"/>
    <col min="14351" max="14351" width="26.140625" style="2" customWidth="1"/>
    <col min="14352" max="14352" width="18.85546875" style="2" customWidth="1"/>
    <col min="14353" max="14353" width="13.28515625" style="2" customWidth="1"/>
    <col min="14354" max="14354" width="27.85546875" style="2" customWidth="1"/>
    <col min="14355" max="14355" width="29.7109375" style="2" customWidth="1"/>
    <col min="14356" max="14356" width="30.85546875" style="2" customWidth="1"/>
    <col min="14357" max="14357" width="34.5703125" style="2" customWidth="1"/>
    <col min="14358" max="14358" width="29.42578125" style="2" customWidth="1"/>
    <col min="14359" max="14359" width="13.28515625" style="2" customWidth="1"/>
    <col min="14360" max="14360" width="17.42578125" style="2" customWidth="1"/>
    <col min="14361" max="14376" width="11.42578125" style="2"/>
    <col min="14377" max="14377" width="16.85546875" style="2" customWidth="1"/>
    <col min="14378" max="14378" width="21.5703125" style="2" customWidth="1"/>
    <col min="14379" max="14379" width="28" style="2" customWidth="1"/>
    <col min="14380" max="14592" width="11.42578125" style="2"/>
    <col min="14593" max="14593" width="13.28515625" style="2" customWidth="1"/>
    <col min="14594" max="14594" width="6" style="2" customWidth="1"/>
    <col min="14595" max="14595" width="15.5703125" style="2" customWidth="1"/>
    <col min="14596" max="14596" width="14.140625" style="2" customWidth="1"/>
    <col min="14597" max="14597" width="7.42578125" style="2" customWidth="1"/>
    <col min="14598" max="14598" width="12.28515625" style="2" customWidth="1"/>
    <col min="14599" max="14599" width="13.85546875" style="2" customWidth="1"/>
    <col min="14600" max="14600" width="24" style="2" customWidth="1"/>
    <col min="14601" max="14601" width="1" style="2" customWidth="1"/>
    <col min="14602" max="14602" width="14.28515625" style="2" customWidth="1"/>
    <col min="14603" max="14603" width="29" style="2" customWidth="1"/>
    <col min="14604" max="14604" width="21.85546875" style="2" customWidth="1"/>
    <col min="14605" max="14605" width="22" style="2" customWidth="1"/>
    <col min="14606" max="14606" width="34.7109375" style="2" customWidth="1"/>
    <col min="14607" max="14607" width="26.140625" style="2" customWidth="1"/>
    <col min="14608" max="14608" width="18.85546875" style="2" customWidth="1"/>
    <col min="14609" max="14609" width="13.28515625" style="2" customWidth="1"/>
    <col min="14610" max="14610" width="27.85546875" style="2" customWidth="1"/>
    <col min="14611" max="14611" width="29.7109375" style="2" customWidth="1"/>
    <col min="14612" max="14612" width="30.85546875" style="2" customWidth="1"/>
    <col min="14613" max="14613" width="34.5703125" style="2" customWidth="1"/>
    <col min="14614" max="14614" width="29.42578125" style="2" customWidth="1"/>
    <col min="14615" max="14615" width="13.28515625" style="2" customWidth="1"/>
    <col min="14616" max="14616" width="17.42578125" style="2" customWidth="1"/>
    <col min="14617" max="14632" width="11.42578125" style="2"/>
    <col min="14633" max="14633" width="16.85546875" style="2" customWidth="1"/>
    <col min="14634" max="14634" width="21.5703125" style="2" customWidth="1"/>
    <col min="14635" max="14635" width="28" style="2" customWidth="1"/>
    <col min="14636" max="14848" width="11.42578125" style="2"/>
    <col min="14849" max="14849" width="13.28515625" style="2" customWidth="1"/>
    <col min="14850" max="14850" width="6" style="2" customWidth="1"/>
    <col min="14851" max="14851" width="15.5703125" style="2" customWidth="1"/>
    <col min="14852" max="14852" width="14.140625" style="2" customWidth="1"/>
    <col min="14853" max="14853" width="7.42578125" style="2" customWidth="1"/>
    <col min="14854" max="14854" width="12.28515625" style="2" customWidth="1"/>
    <col min="14855" max="14855" width="13.85546875" style="2" customWidth="1"/>
    <col min="14856" max="14856" width="24" style="2" customWidth="1"/>
    <col min="14857" max="14857" width="1" style="2" customWidth="1"/>
    <col min="14858" max="14858" width="14.28515625" style="2" customWidth="1"/>
    <col min="14859" max="14859" width="29" style="2" customWidth="1"/>
    <col min="14860" max="14860" width="21.85546875" style="2" customWidth="1"/>
    <col min="14861" max="14861" width="22" style="2" customWidth="1"/>
    <col min="14862" max="14862" width="34.7109375" style="2" customWidth="1"/>
    <col min="14863" max="14863" width="26.140625" style="2" customWidth="1"/>
    <col min="14864" max="14864" width="18.85546875" style="2" customWidth="1"/>
    <col min="14865" max="14865" width="13.28515625" style="2" customWidth="1"/>
    <col min="14866" max="14866" width="27.85546875" style="2" customWidth="1"/>
    <col min="14867" max="14867" width="29.7109375" style="2" customWidth="1"/>
    <col min="14868" max="14868" width="30.85546875" style="2" customWidth="1"/>
    <col min="14869" max="14869" width="34.5703125" style="2" customWidth="1"/>
    <col min="14870" max="14870" width="29.42578125" style="2" customWidth="1"/>
    <col min="14871" max="14871" width="13.28515625" style="2" customWidth="1"/>
    <col min="14872" max="14872" width="17.42578125" style="2" customWidth="1"/>
    <col min="14873" max="14888" width="11.42578125" style="2"/>
    <col min="14889" max="14889" width="16.85546875" style="2" customWidth="1"/>
    <col min="14890" max="14890" width="21.5703125" style="2" customWidth="1"/>
    <col min="14891" max="14891" width="28" style="2" customWidth="1"/>
    <col min="14892" max="15104" width="11.42578125" style="2"/>
    <col min="15105" max="15105" width="13.28515625" style="2" customWidth="1"/>
    <col min="15106" max="15106" width="6" style="2" customWidth="1"/>
    <col min="15107" max="15107" width="15.5703125" style="2" customWidth="1"/>
    <col min="15108" max="15108" width="14.140625" style="2" customWidth="1"/>
    <col min="15109" max="15109" width="7.42578125" style="2" customWidth="1"/>
    <col min="15110" max="15110" width="12.28515625" style="2" customWidth="1"/>
    <col min="15111" max="15111" width="13.85546875" style="2" customWidth="1"/>
    <col min="15112" max="15112" width="24" style="2" customWidth="1"/>
    <col min="15113" max="15113" width="1" style="2" customWidth="1"/>
    <col min="15114" max="15114" width="14.28515625" style="2" customWidth="1"/>
    <col min="15115" max="15115" width="29" style="2" customWidth="1"/>
    <col min="15116" max="15116" width="21.85546875" style="2" customWidth="1"/>
    <col min="15117" max="15117" width="22" style="2" customWidth="1"/>
    <col min="15118" max="15118" width="34.7109375" style="2" customWidth="1"/>
    <col min="15119" max="15119" width="26.140625" style="2" customWidth="1"/>
    <col min="15120" max="15120" width="18.85546875" style="2" customWidth="1"/>
    <col min="15121" max="15121" width="13.28515625" style="2" customWidth="1"/>
    <col min="15122" max="15122" width="27.85546875" style="2" customWidth="1"/>
    <col min="15123" max="15123" width="29.7109375" style="2" customWidth="1"/>
    <col min="15124" max="15124" width="30.85546875" style="2" customWidth="1"/>
    <col min="15125" max="15125" width="34.5703125" style="2" customWidth="1"/>
    <col min="15126" max="15126" width="29.42578125" style="2" customWidth="1"/>
    <col min="15127" max="15127" width="13.28515625" style="2" customWidth="1"/>
    <col min="15128" max="15128" width="17.42578125" style="2" customWidth="1"/>
    <col min="15129" max="15144" width="11.42578125" style="2"/>
    <col min="15145" max="15145" width="16.85546875" style="2" customWidth="1"/>
    <col min="15146" max="15146" width="21.5703125" style="2" customWidth="1"/>
    <col min="15147" max="15147" width="28" style="2" customWidth="1"/>
    <col min="15148" max="15360" width="11.42578125" style="2"/>
    <col min="15361" max="15361" width="13.28515625" style="2" customWidth="1"/>
    <col min="15362" max="15362" width="6" style="2" customWidth="1"/>
    <col min="15363" max="15363" width="15.5703125" style="2" customWidth="1"/>
    <col min="15364" max="15364" width="14.140625" style="2" customWidth="1"/>
    <col min="15365" max="15365" width="7.42578125" style="2" customWidth="1"/>
    <col min="15366" max="15366" width="12.28515625" style="2" customWidth="1"/>
    <col min="15367" max="15367" width="13.85546875" style="2" customWidth="1"/>
    <col min="15368" max="15368" width="24" style="2" customWidth="1"/>
    <col min="15369" max="15369" width="1" style="2" customWidth="1"/>
    <col min="15370" max="15370" width="14.28515625" style="2" customWidth="1"/>
    <col min="15371" max="15371" width="29" style="2" customWidth="1"/>
    <col min="15372" max="15372" width="21.85546875" style="2" customWidth="1"/>
    <col min="15373" max="15373" width="22" style="2" customWidth="1"/>
    <col min="15374" max="15374" width="34.7109375" style="2" customWidth="1"/>
    <col min="15375" max="15375" width="26.140625" style="2" customWidth="1"/>
    <col min="15376" max="15376" width="18.85546875" style="2" customWidth="1"/>
    <col min="15377" max="15377" width="13.28515625" style="2" customWidth="1"/>
    <col min="15378" max="15378" width="27.85546875" style="2" customWidth="1"/>
    <col min="15379" max="15379" width="29.7109375" style="2" customWidth="1"/>
    <col min="15380" max="15380" width="30.85546875" style="2" customWidth="1"/>
    <col min="15381" max="15381" width="34.5703125" style="2" customWidth="1"/>
    <col min="15382" max="15382" width="29.42578125" style="2" customWidth="1"/>
    <col min="15383" max="15383" width="13.28515625" style="2" customWidth="1"/>
    <col min="15384" max="15384" width="17.42578125" style="2" customWidth="1"/>
    <col min="15385" max="15400" width="11.42578125" style="2"/>
    <col min="15401" max="15401" width="16.85546875" style="2" customWidth="1"/>
    <col min="15402" max="15402" width="21.5703125" style="2" customWidth="1"/>
    <col min="15403" max="15403" width="28" style="2" customWidth="1"/>
    <col min="15404" max="15616" width="11.42578125" style="2"/>
    <col min="15617" max="15617" width="13.28515625" style="2" customWidth="1"/>
    <col min="15618" max="15618" width="6" style="2" customWidth="1"/>
    <col min="15619" max="15619" width="15.5703125" style="2" customWidth="1"/>
    <col min="15620" max="15620" width="14.140625" style="2" customWidth="1"/>
    <col min="15621" max="15621" width="7.42578125" style="2" customWidth="1"/>
    <col min="15622" max="15622" width="12.28515625" style="2" customWidth="1"/>
    <col min="15623" max="15623" width="13.85546875" style="2" customWidth="1"/>
    <col min="15624" max="15624" width="24" style="2" customWidth="1"/>
    <col min="15625" max="15625" width="1" style="2" customWidth="1"/>
    <col min="15626" max="15626" width="14.28515625" style="2" customWidth="1"/>
    <col min="15627" max="15627" width="29" style="2" customWidth="1"/>
    <col min="15628" max="15628" width="21.85546875" style="2" customWidth="1"/>
    <col min="15629" max="15629" width="22" style="2" customWidth="1"/>
    <col min="15630" max="15630" width="34.7109375" style="2" customWidth="1"/>
    <col min="15631" max="15631" width="26.140625" style="2" customWidth="1"/>
    <col min="15632" max="15632" width="18.85546875" style="2" customWidth="1"/>
    <col min="15633" max="15633" width="13.28515625" style="2" customWidth="1"/>
    <col min="15634" max="15634" width="27.85546875" style="2" customWidth="1"/>
    <col min="15635" max="15635" width="29.7109375" style="2" customWidth="1"/>
    <col min="15636" max="15636" width="30.85546875" style="2" customWidth="1"/>
    <col min="15637" max="15637" width="34.5703125" style="2" customWidth="1"/>
    <col min="15638" max="15638" width="29.42578125" style="2" customWidth="1"/>
    <col min="15639" max="15639" width="13.28515625" style="2" customWidth="1"/>
    <col min="15640" max="15640" width="17.42578125" style="2" customWidth="1"/>
    <col min="15641" max="15656" width="11.42578125" style="2"/>
    <col min="15657" max="15657" width="16.85546875" style="2" customWidth="1"/>
    <col min="15658" max="15658" width="21.5703125" style="2" customWidth="1"/>
    <col min="15659" max="15659" width="28" style="2" customWidth="1"/>
    <col min="15660" max="15872" width="11.42578125" style="2"/>
    <col min="15873" max="15873" width="13.28515625" style="2" customWidth="1"/>
    <col min="15874" max="15874" width="6" style="2" customWidth="1"/>
    <col min="15875" max="15875" width="15.5703125" style="2" customWidth="1"/>
    <col min="15876" max="15876" width="14.140625" style="2" customWidth="1"/>
    <col min="15877" max="15877" width="7.42578125" style="2" customWidth="1"/>
    <col min="15878" max="15878" width="12.28515625" style="2" customWidth="1"/>
    <col min="15879" max="15879" width="13.85546875" style="2" customWidth="1"/>
    <col min="15880" max="15880" width="24" style="2" customWidth="1"/>
    <col min="15881" max="15881" width="1" style="2" customWidth="1"/>
    <col min="15882" max="15882" width="14.28515625" style="2" customWidth="1"/>
    <col min="15883" max="15883" width="29" style="2" customWidth="1"/>
    <col min="15884" max="15884" width="21.85546875" style="2" customWidth="1"/>
    <col min="15885" max="15885" width="22" style="2" customWidth="1"/>
    <col min="15886" max="15886" width="34.7109375" style="2" customWidth="1"/>
    <col min="15887" max="15887" width="26.140625" style="2" customWidth="1"/>
    <col min="15888" max="15888" width="18.85546875" style="2" customWidth="1"/>
    <col min="15889" max="15889" width="13.28515625" style="2" customWidth="1"/>
    <col min="15890" max="15890" width="27.85546875" style="2" customWidth="1"/>
    <col min="15891" max="15891" width="29.7109375" style="2" customWidth="1"/>
    <col min="15892" max="15892" width="30.85546875" style="2" customWidth="1"/>
    <col min="15893" max="15893" width="34.5703125" style="2" customWidth="1"/>
    <col min="15894" max="15894" width="29.42578125" style="2" customWidth="1"/>
    <col min="15895" max="15895" width="13.28515625" style="2" customWidth="1"/>
    <col min="15896" max="15896" width="17.42578125" style="2" customWidth="1"/>
    <col min="15897" max="15912" width="11.42578125" style="2"/>
    <col min="15913" max="15913" width="16.85546875" style="2" customWidth="1"/>
    <col min="15914" max="15914" width="21.5703125" style="2" customWidth="1"/>
    <col min="15915" max="15915" width="28" style="2" customWidth="1"/>
    <col min="15916" max="16128" width="11.42578125" style="2"/>
    <col min="16129" max="16129" width="13.28515625" style="2" customWidth="1"/>
    <col min="16130" max="16130" width="6" style="2" customWidth="1"/>
    <col min="16131" max="16131" width="15.5703125" style="2" customWidth="1"/>
    <col min="16132" max="16132" width="14.140625" style="2" customWidth="1"/>
    <col min="16133" max="16133" width="7.42578125" style="2" customWidth="1"/>
    <col min="16134" max="16134" width="12.28515625" style="2" customWidth="1"/>
    <col min="16135" max="16135" width="13.85546875" style="2" customWidth="1"/>
    <col min="16136" max="16136" width="24" style="2" customWidth="1"/>
    <col min="16137" max="16137" width="1" style="2" customWidth="1"/>
    <col min="16138" max="16138" width="14.28515625" style="2" customWidth="1"/>
    <col min="16139" max="16139" width="29" style="2" customWidth="1"/>
    <col min="16140" max="16140" width="21.85546875" style="2" customWidth="1"/>
    <col min="16141" max="16141" width="22" style="2" customWidth="1"/>
    <col min="16142" max="16142" width="34.7109375" style="2" customWidth="1"/>
    <col min="16143" max="16143" width="26.140625" style="2" customWidth="1"/>
    <col min="16144" max="16144" width="18.85546875" style="2" customWidth="1"/>
    <col min="16145" max="16145" width="13.28515625" style="2" customWidth="1"/>
    <col min="16146" max="16146" width="27.85546875" style="2" customWidth="1"/>
    <col min="16147" max="16147" width="29.7109375" style="2" customWidth="1"/>
    <col min="16148" max="16148" width="30.85546875" style="2" customWidth="1"/>
    <col min="16149" max="16149" width="34.5703125" style="2" customWidth="1"/>
    <col min="16150" max="16150" width="29.42578125" style="2" customWidth="1"/>
    <col min="16151" max="16151" width="13.28515625" style="2" customWidth="1"/>
    <col min="16152" max="16152" width="17.42578125" style="2" customWidth="1"/>
    <col min="16153" max="16168" width="11.42578125" style="2"/>
    <col min="16169" max="16169" width="16.85546875" style="2" customWidth="1"/>
    <col min="16170" max="16170" width="21.5703125" style="2" customWidth="1"/>
    <col min="16171" max="16171" width="28" style="2" customWidth="1"/>
    <col min="16172" max="16384" width="11.42578125" style="2"/>
  </cols>
  <sheetData>
    <row r="1" spans="1:43" x14ac:dyDescent="0.2">
      <c r="A1" s="2055" t="s">
        <v>223</v>
      </c>
      <c r="B1" s="2056"/>
      <c r="C1" s="2056"/>
      <c r="D1" s="2056"/>
      <c r="E1" s="2056"/>
      <c r="F1" s="2056"/>
      <c r="G1" s="2056"/>
      <c r="H1" s="2056"/>
      <c r="I1" s="2056"/>
      <c r="J1" s="2056"/>
      <c r="K1" s="2056"/>
      <c r="L1" s="2056"/>
      <c r="M1" s="2056"/>
      <c r="N1" s="2056"/>
      <c r="O1" s="2056"/>
      <c r="P1" s="2056"/>
      <c r="Q1" s="2056"/>
      <c r="R1" s="2056"/>
      <c r="S1" s="2056"/>
      <c r="T1" s="2056"/>
      <c r="U1" s="2056"/>
      <c r="V1" s="2056"/>
      <c r="W1" s="2056"/>
      <c r="X1" s="2056"/>
      <c r="Y1" s="2056"/>
      <c r="Z1" s="2056"/>
      <c r="AA1" s="2056"/>
      <c r="AB1" s="2056"/>
      <c r="AC1" s="2056"/>
      <c r="AD1" s="2056"/>
      <c r="AE1" s="2056"/>
      <c r="AF1" s="2056"/>
      <c r="AG1" s="2056"/>
      <c r="AH1" s="2056"/>
      <c r="AI1" s="2056"/>
      <c r="AJ1" s="2056"/>
      <c r="AK1" s="2056"/>
      <c r="AL1" s="2056"/>
      <c r="AM1" s="2056"/>
      <c r="AN1" s="2056"/>
      <c r="AO1" s="2056"/>
      <c r="AP1" s="2057"/>
      <c r="AQ1" s="1" t="s">
        <v>131</v>
      </c>
    </row>
    <row r="2" spans="1:43" x14ac:dyDescent="0.2">
      <c r="A2" s="2056"/>
      <c r="B2" s="2056"/>
      <c r="C2" s="2056"/>
      <c r="D2" s="2056"/>
      <c r="E2" s="2056"/>
      <c r="F2" s="2056"/>
      <c r="G2" s="2056"/>
      <c r="H2" s="2056"/>
      <c r="I2" s="2056"/>
      <c r="J2" s="2056"/>
      <c r="K2" s="2056"/>
      <c r="L2" s="2056"/>
      <c r="M2" s="2056"/>
      <c r="N2" s="2056"/>
      <c r="O2" s="2056"/>
      <c r="P2" s="2056"/>
      <c r="Q2" s="2056"/>
      <c r="R2" s="2056"/>
      <c r="S2" s="2056"/>
      <c r="T2" s="2056"/>
      <c r="U2" s="2056"/>
      <c r="V2" s="2056"/>
      <c r="W2" s="2056"/>
      <c r="X2" s="2056"/>
      <c r="Y2" s="2056"/>
      <c r="Z2" s="2056"/>
      <c r="AA2" s="2056"/>
      <c r="AB2" s="2056"/>
      <c r="AC2" s="2056"/>
      <c r="AD2" s="2056"/>
      <c r="AE2" s="2056"/>
      <c r="AF2" s="2056"/>
      <c r="AG2" s="2056"/>
      <c r="AH2" s="2056"/>
      <c r="AI2" s="2056"/>
      <c r="AJ2" s="2056"/>
      <c r="AK2" s="2056"/>
      <c r="AL2" s="2056"/>
      <c r="AM2" s="2056"/>
      <c r="AN2" s="2056"/>
      <c r="AO2" s="2056"/>
      <c r="AP2" s="2057"/>
      <c r="AQ2" s="3" t="s">
        <v>0</v>
      </c>
    </row>
    <row r="3" spans="1:43" x14ac:dyDescent="0.2">
      <c r="A3" s="2056"/>
      <c r="B3" s="2056"/>
      <c r="C3" s="2056"/>
      <c r="D3" s="2056"/>
      <c r="E3" s="2056"/>
      <c r="F3" s="2056"/>
      <c r="G3" s="2056"/>
      <c r="H3" s="2056"/>
      <c r="I3" s="2056"/>
      <c r="J3" s="2056"/>
      <c r="K3" s="2056"/>
      <c r="L3" s="2056"/>
      <c r="M3" s="2056"/>
      <c r="N3" s="2056"/>
      <c r="O3" s="2056"/>
      <c r="P3" s="2056"/>
      <c r="Q3" s="2056"/>
      <c r="R3" s="2056"/>
      <c r="S3" s="2056"/>
      <c r="T3" s="2056"/>
      <c r="U3" s="2056"/>
      <c r="V3" s="2056"/>
      <c r="W3" s="2056"/>
      <c r="X3" s="2056"/>
      <c r="Y3" s="2056"/>
      <c r="Z3" s="2056"/>
      <c r="AA3" s="2056"/>
      <c r="AB3" s="2056"/>
      <c r="AC3" s="2056"/>
      <c r="AD3" s="2056"/>
      <c r="AE3" s="2056"/>
      <c r="AF3" s="2056"/>
      <c r="AG3" s="2056"/>
      <c r="AH3" s="2056"/>
      <c r="AI3" s="2056"/>
      <c r="AJ3" s="2056"/>
      <c r="AK3" s="2056"/>
      <c r="AL3" s="2056"/>
      <c r="AM3" s="2056"/>
      <c r="AN3" s="2056"/>
      <c r="AO3" s="2056"/>
      <c r="AP3" s="2057"/>
      <c r="AQ3" s="4" t="s">
        <v>132</v>
      </c>
    </row>
    <row r="4" spans="1:43" x14ac:dyDescent="0.2">
      <c r="A4" s="2058"/>
      <c r="B4" s="2058"/>
      <c r="C4" s="2058"/>
      <c r="D4" s="2058"/>
      <c r="E4" s="2058"/>
      <c r="F4" s="2058"/>
      <c r="G4" s="2058"/>
      <c r="H4" s="2058"/>
      <c r="I4" s="2058"/>
      <c r="J4" s="2058"/>
      <c r="K4" s="2058"/>
      <c r="L4" s="2058"/>
      <c r="M4" s="2058"/>
      <c r="N4" s="2058"/>
      <c r="O4" s="2058"/>
      <c r="P4" s="2058"/>
      <c r="Q4" s="2058"/>
      <c r="R4" s="2058"/>
      <c r="S4" s="2058"/>
      <c r="T4" s="2058"/>
      <c r="U4" s="2058"/>
      <c r="V4" s="2058"/>
      <c r="W4" s="2058"/>
      <c r="X4" s="2058"/>
      <c r="Y4" s="2058"/>
      <c r="Z4" s="2058"/>
      <c r="AA4" s="2058"/>
      <c r="AB4" s="2058"/>
      <c r="AC4" s="2058"/>
      <c r="AD4" s="2058"/>
      <c r="AE4" s="2058"/>
      <c r="AF4" s="2058"/>
      <c r="AG4" s="2058"/>
      <c r="AH4" s="2058"/>
      <c r="AI4" s="2058"/>
      <c r="AJ4" s="2058"/>
      <c r="AK4" s="2058"/>
      <c r="AL4" s="2058"/>
      <c r="AM4" s="2058"/>
      <c r="AN4" s="2058"/>
      <c r="AO4" s="2058"/>
      <c r="AP4" s="2059"/>
      <c r="AQ4" s="5" t="s">
        <v>1</v>
      </c>
    </row>
    <row r="5" spans="1:43" ht="15.75" x14ac:dyDescent="0.2">
      <c r="A5" s="2060" t="s">
        <v>2</v>
      </c>
      <c r="B5" s="2060"/>
      <c r="C5" s="2060"/>
      <c r="D5" s="2060"/>
      <c r="E5" s="2060"/>
      <c r="F5" s="2060"/>
      <c r="G5" s="2060"/>
      <c r="H5" s="2060"/>
      <c r="I5" s="2060"/>
      <c r="J5" s="2060"/>
      <c r="K5" s="2060"/>
      <c r="L5" s="2060"/>
      <c r="M5" s="2060"/>
      <c r="N5" s="2062" t="s">
        <v>3</v>
      </c>
      <c r="O5" s="2062"/>
      <c r="P5" s="2062"/>
      <c r="Q5" s="2062"/>
      <c r="R5" s="2062"/>
      <c r="S5" s="2062"/>
      <c r="T5" s="2062"/>
      <c r="U5" s="2062"/>
      <c r="V5" s="2062"/>
      <c r="W5" s="2062"/>
      <c r="X5" s="2062"/>
      <c r="Y5" s="2062"/>
      <c r="Z5" s="2062"/>
      <c r="AA5" s="2062"/>
      <c r="AB5" s="2062"/>
      <c r="AC5" s="2062"/>
      <c r="AD5" s="2062"/>
      <c r="AE5" s="2062"/>
      <c r="AF5" s="2062"/>
      <c r="AG5" s="2062"/>
      <c r="AH5" s="2062"/>
      <c r="AI5" s="2062"/>
      <c r="AJ5" s="2062"/>
      <c r="AK5" s="2062"/>
      <c r="AL5" s="2062"/>
      <c r="AM5" s="2062"/>
      <c r="AN5" s="2062"/>
      <c r="AO5" s="2062"/>
      <c r="AP5" s="2062"/>
      <c r="AQ5" s="2062"/>
    </row>
    <row r="6" spans="1:43" ht="15.75" x14ac:dyDescent="0.2">
      <c r="A6" s="2061"/>
      <c r="B6" s="2061"/>
      <c r="C6" s="2061"/>
      <c r="D6" s="2061"/>
      <c r="E6" s="2061"/>
      <c r="F6" s="2061"/>
      <c r="G6" s="2061"/>
      <c r="H6" s="2061"/>
      <c r="I6" s="2061"/>
      <c r="J6" s="2061"/>
      <c r="K6" s="2061"/>
      <c r="L6" s="2061"/>
      <c r="M6" s="2061"/>
      <c r="N6" s="6"/>
      <c r="O6" s="7"/>
      <c r="P6" s="7"/>
      <c r="Q6" s="8"/>
      <c r="R6" s="7"/>
      <c r="S6" s="7"/>
      <c r="T6" s="7"/>
      <c r="U6" s="7"/>
      <c r="V6" s="9"/>
      <c r="W6" s="9"/>
      <c r="X6" s="9"/>
      <c r="Y6" s="2063" t="s">
        <v>4</v>
      </c>
      <c r="Z6" s="2061"/>
      <c r="AA6" s="2061"/>
      <c r="AB6" s="2061"/>
      <c r="AC6" s="2061"/>
      <c r="AD6" s="2061"/>
      <c r="AE6" s="2061"/>
      <c r="AF6" s="2061"/>
      <c r="AG6" s="2061"/>
      <c r="AH6" s="2061"/>
      <c r="AI6" s="2061"/>
      <c r="AJ6" s="2061"/>
      <c r="AK6" s="2061"/>
      <c r="AL6" s="2061"/>
      <c r="AM6" s="2064"/>
      <c r="AN6" s="10"/>
      <c r="AO6" s="9"/>
      <c r="AP6" s="9"/>
      <c r="AQ6" s="11"/>
    </row>
    <row r="7" spans="1:43" ht="15.75" customHeight="1" x14ac:dyDescent="0.2">
      <c r="A7" s="2065" t="s">
        <v>5</v>
      </c>
      <c r="B7" s="2067" t="s">
        <v>6</v>
      </c>
      <c r="C7" s="2068"/>
      <c r="D7" s="2068" t="s">
        <v>5</v>
      </c>
      <c r="E7" s="2067" t="s">
        <v>7</v>
      </c>
      <c r="F7" s="2068"/>
      <c r="G7" s="2068" t="s">
        <v>5</v>
      </c>
      <c r="H7" s="2067" t="s">
        <v>8</v>
      </c>
      <c r="I7" s="2068"/>
      <c r="J7" s="2068" t="s">
        <v>5</v>
      </c>
      <c r="K7" s="2067" t="s">
        <v>9</v>
      </c>
      <c r="L7" s="2053" t="s">
        <v>10</v>
      </c>
      <c r="M7" s="2053" t="s">
        <v>11</v>
      </c>
      <c r="N7" s="2053" t="s">
        <v>12</v>
      </c>
      <c r="O7" s="2053" t="s">
        <v>13</v>
      </c>
      <c r="P7" s="2053" t="s">
        <v>3</v>
      </c>
      <c r="Q7" s="2083" t="s">
        <v>14</v>
      </c>
      <c r="R7" s="2085" t="s">
        <v>15</v>
      </c>
      <c r="S7" s="2053" t="s">
        <v>16</v>
      </c>
      <c r="T7" s="2053" t="s">
        <v>17</v>
      </c>
      <c r="U7" s="2053" t="s">
        <v>18</v>
      </c>
      <c r="V7" s="2053" t="s">
        <v>15</v>
      </c>
      <c r="W7" s="12"/>
      <c r="X7" s="2053" t="s">
        <v>19</v>
      </c>
      <c r="Y7" s="2077" t="s">
        <v>20</v>
      </c>
      <c r="Z7" s="2078"/>
      <c r="AA7" s="2079" t="s">
        <v>21</v>
      </c>
      <c r="AB7" s="2080"/>
      <c r="AC7" s="2080"/>
      <c r="AD7" s="2080"/>
      <c r="AE7" s="2081" t="s">
        <v>22</v>
      </c>
      <c r="AF7" s="2082"/>
      <c r="AG7" s="2082"/>
      <c r="AH7" s="2082"/>
      <c r="AI7" s="2082"/>
      <c r="AJ7" s="2082"/>
      <c r="AK7" s="2079" t="s">
        <v>23</v>
      </c>
      <c r="AL7" s="2080"/>
      <c r="AM7" s="2080"/>
      <c r="AN7" s="2071" t="s">
        <v>24</v>
      </c>
      <c r="AO7" s="2073" t="s">
        <v>25</v>
      </c>
      <c r="AP7" s="2073" t="s">
        <v>26</v>
      </c>
      <c r="AQ7" s="2075" t="s">
        <v>27</v>
      </c>
    </row>
    <row r="8" spans="1:43" ht="129" customHeight="1" x14ac:dyDescent="0.2">
      <c r="A8" s="2066"/>
      <c r="B8" s="2069"/>
      <c r="C8" s="2070"/>
      <c r="D8" s="2070"/>
      <c r="E8" s="2069"/>
      <c r="F8" s="2070"/>
      <c r="G8" s="2070"/>
      <c r="H8" s="2069"/>
      <c r="I8" s="2070"/>
      <c r="J8" s="2070"/>
      <c r="K8" s="2069"/>
      <c r="L8" s="2054"/>
      <c r="M8" s="2054"/>
      <c r="N8" s="2054"/>
      <c r="O8" s="2054"/>
      <c r="P8" s="2054"/>
      <c r="Q8" s="2084"/>
      <c r="R8" s="2086"/>
      <c r="S8" s="2054"/>
      <c r="T8" s="2054"/>
      <c r="U8" s="2054"/>
      <c r="V8" s="2054"/>
      <c r="W8" s="217" t="s">
        <v>5</v>
      </c>
      <c r="X8" s="2054"/>
      <c r="Y8" s="13" t="s">
        <v>28</v>
      </c>
      <c r="Z8" s="14" t="s">
        <v>29</v>
      </c>
      <c r="AA8" s="13" t="s">
        <v>30</v>
      </c>
      <c r="AB8" s="13" t="s">
        <v>31</v>
      </c>
      <c r="AC8" s="13" t="s">
        <v>224</v>
      </c>
      <c r="AD8" s="13" t="s">
        <v>225</v>
      </c>
      <c r="AE8" s="13" t="s">
        <v>33</v>
      </c>
      <c r="AF8" s="13" t="s">
        <v>34</v>
      </c>
      <c r="AG8" s="13" t="s">
        <v>35</v>
      </c>
      <c r="AH8" s="13" t="s">
        <v>36</v>
      </c>
      <c r="AI8" s="13" t="s">
        <v>37</v>
      </c>
      <c r="AJ8" s="13" t="s">
        <v>227</v>
      </c>
      <c r="AK8" s="13" t="s">
        <v>39</v>
      </c>
      <c r="AL8" s="13" t="s">
        <v>226</v>
      </c>
      <c r="AM8" s="13" t="s">
        <v>41</v>
      </c>
      <c r="AN8" s="2072"/>
      <c r="AO8" s="2074"/>
      <c r="AP8" s="2074"/>
      <c r="AQ8" s="2076"/>
    </row>
    <row r="9" spans="1:43" ht="15.75" x14ac:dyDescent="0.2">
      <c r="A9" s="15">
        <v>5</v>
      </c>
      <c r="B9" s="16" t="s">
        <v>43</v>
      </c>
      <c r="C9" s="16"/>
      <c r="D9" s="16"/>
      <c r="E9" s="16"/>
      <c r="F9" s="16"/>
      <c r="G9" s="16"/>
      <c r="H9" s="16"/>
      <c r="I9" s="16"/>
      <c r="J9" s="17"/>
      <c r="K9" s="17"/>
      <c r="L9" s="17"/>
      <c r="M9" s="17"/>
      <c r="N9" s="17"/>
      <c r="O9" s="17"/>
      <c r="P9" s="17"/>
      <c r="Q9" s="18"/>
      <c r="R9" s="19"/>
      <c r="S9" s="17"/>
      <c r="T9" s="17"/>
      <c r="U9" s="17"/>
      <c r="V9" s="20"/>
      <c r="W9" s="21"/>
      <c r="X9" s="22"/>
      <c r="Y9" s="16"/>
      <c r="Z9" s="16"/>
      <c r="AA9" s="16"/>
      <c r="AB9" s="16"/>
      <c r="AC9" s="16"/>
      <c r="AD9" s="16"/>
      <c r="AE9" s="16"/>
      <c r="AF9" s="16"/>
      <c r="AG9" s="16"/>
      <c r="AH9" s="16"/>
      <c r="AI9" s="16"/>
      <c r="AJ9" s="16"/>
      <c r="AK9" s="16"/>
      <c r="AL9" s="16"/>
      <c r="AM9" s="16"/>
      <c r="AN9" s="16"/>
      <c r="AO9" s="23"/>
      <c r="AP9" s="23"/>
      <c r="AQ9" s="24"/>
    </row>
    <row r="10" spans="1:43" ht="15.75" x14ac:dyDescent="0.2">
      <c r="A10" s="2087"/>
      <c r="B10" s="2088"/>
      <c r="C10" s="2089"/>
      <c r="D10" s="25">
        <v>28</v>
      </c>
      <c r="E10" s="26" t="s">
        <v>44</v>
      </c>
      <c r="F10" s="26"/>
      <c r="G10" s="26"/>
      <c r="H10" s="26"/>
      <c r="I10" s="26"/>
      <c r="J10" s="27"/>
      <c r="K10" s="27"/>
      <c r="L10" s="27"/>
      <c r="M10" s="27"/>
      <c r="N10" s="27"/>
      <c r="O10" s="27"/>
      <c r="P10" s="27"/>
      <c r="Q10" s="28"/>
      <c r="R10" s="29"/>
      <c r="S10" s="27"/>
      <c r="T10" s="27"/>
      <c r="U10" s="27"/>
      <c r="V10" s="30"/>
      <c r="W10" s="31"/>
      <c r="X10" s="32"/>
      <c r="Y10" s="26"/>
      <c r="Z10" s="26"/>
      <c r="AA10" s="26"/>
      <c r="AB10" s="26"/>
      <c r="AC10" s="26"/>
      <c r="AD10" s="26"/>
      <c r="AE10" s="26"/>
      <c r="AF10" s="26"/>
      <c r="AG10" s="26"/>
      <c r="AH10" s="26"/>
      <c r="AI10" s="26"/>
      <c r="AJ10" s="26"/>
      <c r="AK10" s="26"/>
      <c r="AL10" s="26"/>
      <c r="AM10" s="26"/>
      <c r="AN10" s="26"/>
      <c r="AO10" s="33"/>
      <c r="AP10" s="33"/>
      <c r="AQ10" s="34"/>
    </row>
    <row r="11" spans="1:43" ht="15.75" x14ac:dyDescent="0.2">
      <c r="A11" s="2090"/>
      <c r="B11" s="2091"/>
      <c r="C11" s="2092"/>
      <c r="D11" s="2093"/>
      <c r="E11" s="2094"/>
      <c r="F11" s="2095"/>
      <c r="G11" s="35">
        <v>89</v>
      </c>
      <c r="H11" s="36" t="s">
        <v>45</v>
      </c>
      <c r="I11" s="36"/>
      <c r="J11" s="37"/>
      <c r="K11" s="37"/>
      <c r="L11" s="37"/>
      <c r="M11" s="37"/>
      <c r="N11" s="37"/>
      <c r="O11" s="37"/>
      <c r="P11" s="37"/>
      <c r="Q11" s="38"/>
      <c r="R11" s="39"/>
      <c r="S11" s="37"/>
      <c r="T11" s="37"/>
      <c r="U11" s="37"/>
      <c r="V11" s="40"/>
      <c r="W11" s="41"/>
      <c r="X11" s="42"/>
      <c r="Y11" s="36"/>
      <c r="Z11" s="36"/>
      <c r="AA11" s="36"/>
      <c r="AB11" s="36"/>
      <c r="AC11" s="36"/>
      <c r="AD11" s="36"/>
      <c r="AE11" s="36"/>
      <c r="AF11" s="36"/>
      <c r="AG11" s="36"/>
      <c r="AH11" s="36"/>
      <c r="AI11" s="36"/>
      <c r="AJ11" s="36"/>
      <c r="AK11" s="36"/>
      <c r="AL11" s="36"/>
      <c r="AM11" s="36"/>
      <c r="AN11" s="36"/>
      <c r="AO11" s="43"/>
      <c r="AP11" s="43"/>
      <c r="AQ11" s="44"/>
    </row>
    <row r="12" spans="1:43" ht="60" x14ac:dyDescent="0.2">
      <c r="A12" s="2090"/>
      <c r="B12" s="2091"/>
      <c r="C12" s="2092"/>
      <c r="D12" s="2096"/>
      <c r="E12" s="2097"/>
      <c r="F12" s="2098"/>
      <c r="G12" s="2099"/>
      <c r="H12" s="2100"/>
      <c r="I12" s="2101"/>
      <c r="J12" s="2105">
        <v>282</v>
      </c>
      <c r="K12" s="2107" t="s">
        <v>46</v>
      </c>
      <c r="L12" s="2107" t="s">
        <v>47</v>
      </c>
      <c r="M12" s="2105">
        <v>2</v>
      </c>
      <c r="N12" s="2105" t="s">
        <v>48</v>
      </c>
      <c r="O12" s="2105" t="s">
        <v>49</v>
      </c>
      <c r="P12" s="2118" t="s">
        <v>50</v>
      </c>
      <c r="Q12" s="2120">
        <f>+(V12+V13)/R12</f>
        <v>1</v>
      </c>
      <c r="R12" s="2127">
        <f>V12+V13</f>
        <v>110000000</v>
      </c>
      <c r="S12" s="2109" t="s">
        <v>51</v>
      </c>
      <c r="T12" s="2109" t="s">
        <v>52</v>
      </c>
      <c r="U12" s="48" t="s">
        <v>53</v>
      </c>
      <c r="V12" s="45">
        <f>80000000-5000000</f>
        <v>75000000</v>
      </c>
      <c r="W12" s="2114" t="s">
        <v>54</v>
      </c>
      <c r="X12" s="46" t="s">
        <v>55</v>
      </c>
      <c r="Y12" s="2116">
        <v>292684</v>
      </c>
      <c r="Z12" s="2116">
        <v>282326</v>
      </c>
      <c r="AA12" s="2116">
        <v>135912</v>
      </c>
      <c r="AB12" s="2116">
        <v>45122</v>
      </c>
      <c r="AC12" s="2116">
        <v>307101</v>
      </c>
      <c r="AD12" s="2116">
        <v>86875</v>
      </c>
      <c r="AE12" s="2116">
        <v>2145</v>
      </c>
      <c r="AF12" s="2116">
        <v>12718</v>
      </c>
      <c r="AG12" s="2116">
        <v>26</v>
      </c>
      <c r="AH12" s="2116">
        <v>37</v>
      </c>
      <c r="AI12" s="2116">
        <v>0</v>
      </c>
      <c r="AJ12" s="2116">
        <v>0</v>
      </c>
      <c r="AK12" s="2116">
        <v>53164</v>
      </c>
      <c r="AL12" s="2116">
        <v>16982</v>
      </c>
      <c r="AM12" s="2116">
        <v>60013</v>
      </c>
      <c r="AN12" s="2116">
        <v>575010</v>
      </c>
      <c r="AO12" s="2122">
        <v>43101</v>
      </c>
      <c r="AP12" s="2122">
        <v>43465</v>
      </c>
      <c r="AQ12" s="2124" t="s">
        <v>56</v>
      </c>
    </row>
    <row r="13" spans="1:43" ht="45" x14ac:dyDescent="0.2">
      <c r="A13" s="2090"/>
      <c r="B13" s="2091"/>
      <c r="C13" s="2092"/>
      <c r="D13" s="2096"/>
      <c r="E13" s="2097"/>
      <c r="F13" s="2098"/>
      <c r="G13" s="2102"/>
      <c r="H13" s="2103"/>
      <c r="I13" s="2104"/>
      <c r="J13" s="2106"/>
      <c r="K13" s="2108"/>
      <c r="L13" s="2108"/>
      <c r="M13" s="2106"/>
      <c r="N13" s="2106"/>
      <c r="O13" s="2106"/>
      <c r="P13" s="2119"/>
      <c r="Q13" s="2121"/>
      <c r="R13" s="2128"/>
      <c r="S13" s="2110"/>
      <c r="T13" s="2110"/>
      <c r="U13" s="48" t="s">
        <v>57</v>
      </c>
      <c r="V13" s="45">
        <f>30000000+5000000</f>
        <v>35000000</v>
      </c>
      <c r="W13" s="2115"/>
      <c r="X13" s="47" t="s">
        <v>58</v>
      </c>
      <c r="Y13" s="2117"/>
      <c r="Z13" s="2117"/>
      <c r="AA13" s="2117"/>
      <c r="AB13" s="2117"/>
      <c r="AC13" s="2117"/>
      <c r="AD13" s="2117"/>
      <c r="AE13" s="2117"/>
      <c r="AF13" s="2117"/>
      <c r="AG13" s="2117"/>
      <c r="AH13" s="2117"/>
      <c r="AI13" s="2117"/>
      <c r="AJ13" s="2117"/>
      <c r="AK13" s="2117"/>
      <c r="AL13" s="2117"/>
      <c r="AM13" s="2117"/>
      <c r="AN13" s="2117"/>
      <c r="AO13" s="2123"/>
      <c r="AP13" s="2123"/>
      <c r="AQ13" s="2125"/>
    </row>
    <row r="14" spans="1:43" ht="103.5" customHeight="1" x14ac:dyDescent="0.2">
      <c r="A14" s="2090"/>
      <c r="B14" s="2091"/>
      <c r="C14" s="2092"/>
      <c r="D14" s="2096"/>
      <c r="E14" s="2097"/>
      <c r="F14" s="2098"/>
      <c r="G14" s="2102"/>
      <c r="H14" s="2103"/>
      <c r="I14" s="2104"/>
      <c r="J14" s="2126">
        <v>283</v>
      </c>
      <c r="K14" s="2113" t="s">
        <v>59</v>
      </c>
      <c r="L14" s="2113" t="s">
        <v>60</v>
      </c>
      <c r="M14" s="2126">
        <v>1</v>
      </c>
      <c r="N14" s="2113" t="s">
        <v>61</v>
      </c>
      <c r="O14" s="2126" t="s">
        <v>62</v>
      </c>
      <c r="P14" s="2113" t="s">
        <v>63</v>
      </c>
      <c r="Q14" s="2130">
        <f>+(V14+V15+V16)/R14</f>
        <v>1</v>
      </c>
      <c r="R14" s="2112">
        <f>SUM(V14:V16)</f>
        <v>85000000</v>
      </c>
      <c r="S14" s="2113" t="s">
        <v>64</v>
      </c>
      <c r="T14" s="49" t="s">
        <v>65</v>
      </c>
      <c r="U14" s="48" t="s">
        <v>66</v>
      </c>
      <c r="V14" s="67">
        <f>26250000+50000000</f>
        <v>76250000</v>
      </c>
      <c r="W14" s="50" t="s">
        <v>67</v>
      </c>
      <c r="X14" s="51" t="s">
        <v>68</v>
      </c>
      <c r="Y14" s="2129">
        <v>850</v>
      </c>
      <c r="Z14" s="2129">
        <v>550</v>
      </c>
      <c r="AA14" s="2129">
        <v>400</v>
      </c>
      <c r="AB14" s="2129">
        <v>0</v>
      </c>
      <c r="AC14" s="2129">
        <v>950</v>
      </c>
      <c r="AD14" s="2129">
        <v>50</v>
      </c>
      <c r="AE14" s="2129">
        <v>0</v>
      </c>
      <c r="AF14" s="2129">
        <v>30</v>
      </c>
      <c r="AG14" s="2129">
        <v>0</v>
      </c>
      <c r="AH14" s="2129">
        <v>0</v>
      </c>
      <c r="AI14" s="2129">
        <v>0</v>
      </c>
      <c r="AJ14" s="2129">
        <v>0</v>
      </c>
      <c r="AK14" s="2129">
        <v>0</v>
      </c>
      <c r="AL14" s="2129">
        <v>0</v>
      </c>
      <c r="AM14" s="2129">
        <v>0</v>
      </c>
      <c r="AN14" s="2129">
        <v>1400</v>
      </c>
      <c r="AO14" s="2131">
        <v>43101</v>
      </c>
      <c r="AP14" s="2131">
        <v>43465</v>
      </c>
      <c r="AQ14" s="2132" t="s">
        <v>69</v>
      </c>
    </row>
    <row r="15" spans="1:43" ht="93" customHeight="1" x14ac:dyDescent="0.2">
      <c r="A15" s="2090"/>
      <c r="B15" s="2091"/>
      <c r="C15" s="2092"/>
      <c r="D15" s="2096"/>
      <c r="E15" s="2097"/>
      <c r="F15" s="2098"/>
      <c r="G15" s="2102"/>
      <c r="H15" s="2103"/>
      <c r="I15" s="2104"/>
      <c r="J15" s="2126"/>
      <c r="K15" s="2113"/>
      <c r="L15" s="2113"/>
      <c r="M15" s="2126"/>
      <c r="N15" s="2113"/>
      <c r="O15" s="2126"/>
      <c r="P15" s="2113"/>
      <c r="Q15" s="2130"/>
      <c r="R15" s="2112"/>
      <c r="S15" s="2113"/>
      <c r="T15" s="48" t="s">
        <v>70</v>
      </c>
      <c r="U15" s="48" t="s">
        <v>71</v>
      </c>
      <c r="V15" s="67">
        <v>7000000</v>
      </c>
      <c r="W15" s="50">
        <v>20</v>
      </c>
      <c r="X15" s="51" t="s">
        <v>72</v>
      </c>
      <c r="Y15" s="2129"/>
      <c r="Z15" s="2129"/>
      <c r="AA15" s="2129"/>
      <c r="AB15" s="2129"/>
      <c r="AC15" s="2129"/>
      <c r="AD15" s="2129"/>
      <c r="AE15" s="2129"/>
      <c r="AF15" s="2129"/>
      <c r="AG15" s="2129"/>
      <c r="AH15" s="2129"/>
      <c r="AI15" s="2129"/>
      <c r="AJ15" s="2129"/>
      <c r="AK15" s="2129"/>
      <c r="AL15" s="2129"/>
      <c r="AM15" s="2129"/>
      <c r="AN15" s="2129"/>
      <c r="AO15" s="2131"/>
      <c r="AP15" s="2131"/>
      <c r="AQ15" s="2132"/>
    </row>
    <row r="16" spans="1:43" ht="60" x14ac:dyDescent="0.2">
      <c r="A16" s="2090"/>
      <c r="B16" s="2091"/>
      <c r="C16" s="2092"/>
      <c r="D16" s="2096"/>
      <c r="E16" s="2097"/>
      <c r="F16" s="2098"/>
      <c r="G16" s="2102"/>
      <c r="H16" s="2103"/>
      <c r="I16" s="2104"/>
      <c r="J16" s="2126"/>
      <c r="K16" s="2113"/>
      <c r="L16" s="2113"/>
      <c r="M16" s="2126"/>
      <c r="N16" s="2113"/>
      <c r="O16" s="2126"/>
      <c r="P16" s="2113"/>
      <c r="Q16" s="2130"/>
      <c r="R16" s="2112"/>
      <c r="S16" s="2113"/>
      <c r="T16" s="48" t="s">
        <v>73</v>
      </c>
      <c r="U16" s="48" t="s">
        <v>74</v>
      </c>
      <c r="V16" s="67">
        <v>1750000</v>
      </c>
      <c r="W16" s="52">
        <v>20</v>
      </c>
      <c r="X16" s="53" t="s">
        <v>72</v>
      </c>
      <c r="Y16" s="2129"/>
      <c r="Z16" s="2129"/>
      <c r="AA16" s="2129"/>
      <c r="AB16" s="2129"/>
      <c r="AC16" s="2129"/>
      <c r="AD16" s="2129"/>
      <c r="AE16" s="2129"/>
      <c r="AF16" s="2129"/>
      <c r="AG16" s="2129"/>
      <c r="AH16" s="2129"/>
      <c r="AI16" s="2129"/>
      <c r="AJ16" s="2129"/>
      <c r="AK16" s="2129"/>
      <c r="AL16" s="2129"/>
      <c r="AM16" s="2129"/>
      <c r="AN16" s="2129"/>
      <c r="AO16" s="2131"/>
      <c r="AP16" s="2131"/>
      <c r="AQ16" s="2132"/>
    </row>
    <row r="17" spans="1:43" ht="90" x14ac:dyDescent="0.2">
      <c r="A17" s="2090"/>
      <c r="B17" s="2091"/>
      <c r="C17" s="2092"/>
      <c r="D17" s="2096"/>
      <c r="E17" s="2097"/>
      <c r="F17" s="2098"/>
      <c r="G17" s="2102"/>
      <c r="H17" s="2103"/>
      <c r="I17" s="2104"/>
      <c r="J17" s="2134">
        <v>284</v>
      </c>
      <c r="K17" s="2135" t="s">
        <v>75</v>
      </c>
      <c r="L17" s="2113" t="s">
        <v>76</v>
      </c>
      <c r="M17" s="2126">
        <v>1</v>
      </c>
      <c r="N17" s="2113" t="s">
        <v>77</v>
      </c>
      <c r="O17" s="2126" t="s">
        <v>78</v>
      </c>
      <c r="P17" s="2113" t="s">
        <v>79</v>
      </c>
      <c r="Q17" s="2111">
        <f>+(V17+V18)/R17</f>
        <v>1</v>
      </c>
      <c r="R17" s="2112">
        <f>SUM(V17:V18)</f>
        <v>173000000</v>
      </c>
      <c r="S17" s="2113" t="s">
        <v>80</v>
      </c>
      <c r="T17" s="54" t="s">
        <v>51</v>
      </c>
      <c r="U17" s="55" t="s">
        <v>81</v>
      </c>
      <c r="V17" s="45">
        <f>73000000+90000000</f>
        <v>163000000</v>
      </c>
      <c r="W17" s="56" t="s">
        <v>67</v>
      </c>
      <c r="X17" s="57" t="s">
        <v>82</v>
      </c>
      <c r="Y17" s="2133">
        <v>292684</v>
      </c>
      <c r="Z17" s="2129">
        <v>282326</v>
      </c>
      <c r="AA17" s="2129">
        <v>135912</v>
      </c>
      <c r="AB17" s="2129">
        <v>45122</v>
      </c>
      <c r="AC17" s="2129">
        <v>307101</v>
      </c>
      <c r="AD17" s="2129">
        <v>86875</v>
      </c>
      <c r="AE17" s="2129">
        <v>2145</v>
      </c>
      <c r="AF17" s="2129">
        <v>12718</v>
      </c>
      <c r="AG17" s="2129">
        <v>26</v>
      </c>
      <c r="AH17" s="2129">
        <v>37</v>
      </c>
      <c r="AI17" s="2129">
        <v>0</v>
      </c>
      <c r="AJ17" s="2129">
        <v>0</v>
      </c>
      <c r="AK17" s="2129">
        <v>53164</v>
      </c>
      <c r="AL17" s="2129">
        <v>16982</v>
      </c>
      <c r="AM17" s="2129">
        <v>60013</v>
      </c>
      <c r="AN17" s="2129">
        <v>575010</v>
      </c>
      <c r="AO17" s="2131">
        <v>43101</v>
      </c>
      <c r="AP17" s="2131">
        <v>43465</v>
      </c>
      <c r="AQ17" s="2132" t="s">
        <v>83</v>
      </c>
    </row>
    <row r="18" spans="1:43" ht="90" x14ac:dyDescent="0.2">
      <c r="A18" s="2090"/>
      <c r="B18" s="2091"/>
      <c r="C18" s="2092"/>
      <c r="D18" s="2096"/>
      <c r="E18" s="2097"/>
      <c r="F18" s="2098"/>
      <c r="G18" s="2102"/>
      <c r="H18" s="2103"/>
      <c r="I18" s="2104"/>
      <c r="J18" s="2134"/>
      <c r="K18" s="2135"/>
      <c r="L18" s="2113"/>
      <c r="M18" s="2126"/>
      <c r="N18" s="2113"/>
      <c r="O18" s="2126"/>
      <c r="P18" s="2113"/>
      <c r="Q18" s="2111"/>
      <c r="R18" s="2112"/>
      <c r="S18" s="2113"/>
      <c r="T18" s="48" t="s">
        <v>84</v>
      </c>
      <c r="U18" s="55" t="s">
        <v>85</v>
      </c>
      <c r="V18" s="45">
        <v>10000000</v>
      </c>
      <c r="W18" s="56">
        <v>20</v>
      </c>
      <c r="X18" s="57" t="s">
        <v>72</v>
      </c>
      <c r="Y18" s="2133"/>
      <c r="Z18" s="2129"/>
      <c r="AA18" s="2129"/>
      <c r="AB18" s="2129"/>
      <c r="AC18" s="2129"/>
      <c r="AD18" s="2129"/>
      <c r="AE18" s="2129"/>
      <c r="AF18" s="2129"/>
      <c r="AG18" s="2129"/>
      <c r="AH18" s="2129"/>
      <c r="AI18" s="2129"/>
      <c r="AJ18" s="2129"/>
      <c r="AK18" s="2129"/>
      <c r="AL18" s="2129"/>
      <c r="AM18" s="2129"/>
      <c r="AN18" s="2129"/>
      <c r="AO18" s="2131"/>
      <c r="AP18" s="2131"/>
      <c r="AQ18" s="2132"/>
    </row>
    <row r="19" spans="1:43" ht="150" x14ac:dyDescent="0.2">
      <c r="A19" s="2090"/>
      <c r="B19" s="2091"/>
      <c r="C19" s="2092"/>
      <c r="D19" s="2096"/>
      <c r="E19" s="2097"/>
      <c r="F19" s="2098"/>
      <c r="G19" s="2102"/>
      <c r="H19" s="2103"/>
      <c r="I19" s="2104"/>
      <c r="J19" s="58">
        <v>285</v>
      </c>
      <c r="K19" s="55" t="s">
        <v>86</v>
      </c>
      <c r="L19" s="48" t="s">
        <v>87</v>
      </c>
      <c r="M19" s="57">
        <v>1</v>
      </c>
      <c r="N19" s="59" t="s">
        <v>88</v>
      </c>
      <c r="O19" s="57" t="s">
        <v>89</v>
      </c>
      <c r="P19" s="48" t="s">
        <v>90</v>
      </c>
      <c r="Q19" s="60">
        <f>+V19/R19</f>
        <v>1</v>
      </c>
      <c r="R19" s="61">
        <f>V19</f>
        <v>210000000</v>
      </c>
      <c r="S19" s="55" t="s">
        <v>91</v>
      </c>
      <c r="T19" s="55" t="s">
        <v>92</v>
      </c>
      <c r="U19" s="55" t="s">
        <v>93</v>
      </c>
      <c r="V19" s="67">
        <f>70000000+30000000+110000000</f>
        <v>210000000</v>
      </c>
      <c r="W19" s="52" t="s">
        <v>94</v>
      </c>
      <c r="X19" s="53" t="s">
        <v>95</v>
      </c>
      <c r="Y19" s="62">
        <v>292684</v>
      </c>
      <c r="Z19" s="62">
        <v>282326</v>
      </c>
      <c r="AA19" s="62">
        <v>135912</v>
      </c>
      <c r="AB19" s="62">
        <v>45122</v>
      </c>
      <c r="AC19" s="62">
        <v>307101</v>
      </c>
      <c r="AD19" s="62">
        <v>86875</v>
      </c>
      <c r="AE19" s="62">
        <v>2145</v>
      </c>
      <c r="AF19" s="62">
        <v>12718</v>
      </c>
      <c r="AG19" s="62">
        <v>26</v>
      </c>
      <c r="AH19" s="62">
        <v>37</v>
      </c>
      <c r="AI19" s="62">
        <v>0</v>
      </c>
      <c r="AJ19" s="62">
        <v>0</v>
      </c>
      <c r="AK19" s="62">
        <v>53164</v>
      </c>
      <c r="AL19" s="62">
        <v>16982</v>
      </c>
      <c r="AM19" s="62">
        <v>60013</v>
      </c>
      <c r="AN19" s="62">
        <v>575010</v>
      </c>
      <c r="AO19" s="63">
        <v>43101</v>
      </c>
      <c r="AP19" s="63">
        <v>43465</v>
      </c>
      <c r="AQ19" s="64" t="s">
        <v>83</v>
      </c>
    </row>
    <row r="20" spans="1:43" ht="105" x14ac:dyDescent="0.2">
      <c r="A20" s="2090"/>
      <c r="B20" s="2091"/>
      <c r="C20" s="2092"/>
      <c r="D20" s="2096"/>
      <c r="E20" s="2097"/>
      <c r="F20" s="2098"/>
      <c r="G20" s="2102"/>
      <c r="H20" s="2103"/>
      <c r="I20" s="2104"/>
      <c r="J20" s="58">
        <v>280</v>
      </c>
      <c r="K20" s="55" t="s">
        <v>96</v>
      </c>
      <c r="L20" s="48" t="s">
        <v>97</v>
      </c>
      <c r="M20" s="70">
        <v>1</v>
      </c>
      <c r="N20" s="65"/>
      <c r="O20" s="2137" t="s">
        <v>98</v>
      </c>
      <c r="P20" s="2138" t="s">
        <v>99</v>
      </c>
      <c r="Q20" s="66">
        <f>+(V20)/R20</f>
        <v>4.5512470416894232E-3</v>
      </c>
      <c r="R20" s="2140">
        <f>SUM(V20:V25)</f>
        <v>5493000000</v>
      </c>
      <c r="S20" s="2138" t="s">
        <v>100</v>
      </c>
      <c r="T20" s="48" t="s">
        <v>101</v>
      </c>
      <c r="U20" s="48" t="s">
        <v>102</v>
      </c>
      <c r="V20" s="45">
        <v>25000000</v>
      </c>
      <c r="W20" s="68">
        <v>20</v>
      </c>
      <c r="X20" s="69" t="s">
        <v>103</v>
      </c>
      <c r="Y20" s="2133">
        <v>292684</v>
      </c>
      <c r="Z20" s="2129">
        <v>282326</v>
      </c>
      <c r="AA20" s="2133">
        <v>135912</v>
      </c>
      <c r="AB20" s="2133">
        <v>45122</v>
      </c>
      <c r="AC20" s="2133">
        <v>307101</v>
      </c>
      <c r="AD20" s="2133">
        <v>86875</v>
      </c>
      <c r="AE20" s="2133">
        <v>2145</v>
      </c>
      <c r="AF20" s="2133">
        <v>12718</v>
      </c>
      <c r="AG20" s="2133">
        <v>26</v>
      </c>
      <c r="AH20" s="2133">
        <v>37</v>
      </c>
      <c r="AI20" s="2133">
        <v>0</v>
      </c>
      <c r="AJ20" s="2133">
        <v>0</v>
      </c>
      <c r="AK20" s="2133">
        <v>53164</v>
      </c>
      <c r="AL20" s="2133">
        <v>16982</v>
      </c>
      <c r="AM20" s="2133">
        <v>60013</v>
      </c>
      <c r="AN20" s="2133">
        <v>575010</v>
      </c>
      <c r="AO20" s="2122">
        <v>43101</v>
      </c>
      <c r="AP20" s="2143">
        <v>43465</v>
      </c>
      <c r="AQ20" s="64" t="s">
        <v>104</v>
      </c>
    </row>
    <row r="21" spans="1:43" ht="75" x14ac:dyDescent="0.2">
      <c r="A21" s="2090"/>
      <c r="B21" s="2091"/>
      <c r="C21" s="2092"/>
      <c r="D21" s="2096"/>
      <c r="E21" s="2097"/>
      <c r="F21" s="2098"/>
      <c r="G21" s="2102"/>
      <c r="H21" s="2103"/>
      <c r="I21" s="2104"/>
      <c r="J21" s="2134">
        <v>281</v>
      </c>
      <c r="K21" s="2135" t="s">
        <v>105</v>
      </c>
      <c r="L21" s="2113" t="s">
        <v>106</v>
      </c>
      <c r="M21" s="2144">
        <v>1</v>
      </c>
      <c r="N21" s="71"/>
      <c r="O21" s="2137"/>
      <c r="P21" s="2138"/>
      <c r="Q21" s="2145">
        <f>+(V21+V22)/R20</f>
        <v>2.4394684143455306E-2</v>
      </c>
      <c r="R21" s="2140"/>
      <c r="S21" s="2138"/>
      <c r="T21" s="2113" t="s">
        <v>107</v>
      </c>
      <c r="U21" s="48" t="s">
        <v>108</v>
      </c>
      <c r="V21" s="45">
        <v>9000000</v>
      </c>
      <c r="W21" s="68">
        <v>20</v>
      </c>
      <c r="X21" s="69" t="s">
        <v>103</v>
      </c>
      <c r="Y21" s="2133"/>
      <c r="Z21" s="2129"/>
      <c r="AA21" s="2133"/>
      <c r="AB21" s="2133"/>
      <c r="AC21" s="2133"/>
      <c r="AD21" s="2133"/>
      <c r="AE21" s="2133"/>
      <c r="AF21" s="2133"/>
      <c r="AG21" s="2133"/>
      <c r="AH21" s="2133"/>
      <c r="AI21" s="2133"/>
      <c r="AJ21" s="2133"/>
      <c r="AK21" s="2133"/>
      <c r="AL21" s="2133"/>
      <c r="AM21" s="2133"/>
      <c r="AN21" s="2133"/>
      <c r="AO21" s="2142"/>
      <c r="AP21" s="2143"/>
      <c r="AQ21" s="2132" t="s">
        <v>109</v>
      </c>
    </row>
    <row r="22" spans="1:43" ht="135" x14ac:dyDescent="0.2">
      <c r="A22" s="2090"/>
      <c r="B22" s="2091"/>
      <c r="C22" s="2092"/>
      <c r="D22" s="2096"/>
      <c r="E22" s="2097"/>
      <c r="F22" s="2098"/>
      <c r="G22" s="2102"/>
      <c r="H22" s="2103"/>
      <c r="I22" s="2104"/>
      <c r="J22" s="2134"/>
      <c r="K22" s="2135"/>
      <c r="L22" s="2113"/>
      <c r="M22" s="2144"/>
      <c r="N22" s="71" t="s">
        <v>110</v>
      </c>
      <c r="O22" s="2137"/>
      <c r="P22" s="2138"/>
      <c r="Q22" s="2146"/>
      <c r="R22" s="2140"/>
      <c r="S22" s="2138"/>
      <c r="T22" s="2113"/>
      <c r="U22" s="48" t="s">
        <v>111</v>
      </c>
      <c r="V22" s="45">
        <f>75000000+50000000</f>
        <v>125000000</v>
      </c>
      <c r="W22" s="68" t="s">
        <v>67</v>
      </c>
      <c r="X22" s="69" t="s">
        <v>112</v>
      </c>
      <c r="Y22" s="2133"/>
      <c r="Z22" s="2129"/>
      <c r="AA22" s="2133"/>
      <c r="AB22" s="2133"/>
      <c r="AC22" s="2133"/>
      <c r="AD22" s="2133"/>
      <c r="AE22" s="2133"/>
      <c r="AF22" s="2133"/>
      <c r="AG22" s="2133"/>
      <c r="AH22" s="2133"/>
      <c r="AI22" s="2133"/>
      <c r="AJ22" s="2133"/>
      <c r="AK22" s="2133"/>
      <c r="AL22" s="2133"/>
      <c r="AM22" s="2133"/>
      <c r="AN22" s="2133"/>
      <c r="AO22" s="2142"/>
      <c r="AP22" s="2143"/>
      <c r="AQ22" s="2132"/>
    </row>
    <row r="23" spans="1:43" ht="105" x14ac:dyDescent="0.2">
      <c r="A23" s="2090"/>
      <c r="B23" s="2091"/>
      <c r="C23" s="2092"/>
      <c r="D23" s="2096"/>
      <c r="E23" s="2097"/>
      <c r="F23" s="2098"/>
      <c r="G23" s="2102"/>
      <c r="H23" s="2103"/>
      <c r="I23" s="2104"/>
      <c r="J23" s="58">
        <v>286</v>
      </c>
      <c r="K23" s="55" t="s">
        <v>113</v>
      </c>
      <c r="L23" s="48" t="s">
        <v>114</v>
      </c>
      <c r="M23" s="106">
        <v>0.98</v>
      </c>
      <c r="N23" s="71" t="s">
        <v>115</v>
      </c>
      <c r="O23" s="2137"/>
      <c r="P23" s="2138"/>
      <c r="Q23" s="66">
        <f>+(V23)/R20</f>
        <v>3.0038230475150193E-2</v>
      </c>
      <c r="R23" s="2140"/>
      <c r="S23" s="2138"/>
      <c r="T23" s="48" t="s">
        <v>116</v>
      </c>
      <c r="U23" s="48" t="s">
        <v>116</v>
      </c>
      <c r="V23" s="45">
        <f>85000000+80000000</f>
        <v>165000000</v>
      </c>
      <c r="W23" s="68" t="s">
        <v>67</v>
      </c>
      <c r="X23" s="69" t="s">
        <v>117</v>
      </c>
      <c r="Y23" s="2133"/>
      <c r="Z23" s="2129"/>
      <c r="AA23" s="2133"/>
      <c r="AB23" s="2133"/>
      <c r="AC23" s="2133"/>
      <c r="AD23" s="2133"/>
      <c r="AE23" s="2133"/>
      <c r="AF23" s="2133"/>
      <c r="AG23" s="2133"/>
      <c r="AH23" s="2133"/>
      <c r="AI23" s="2133"/>
      <c r="AJ23" s="2133"/>
      <c r="AK23" s="2133"/>
      <c r="AL23" s="2133"/>
      <c r="AM23" s="2133"/>
      <c r="AN23" s="2133"/>
      <c r="AO23" s="2142"/>
      <c r="AP23" s="2143"/>
      <c r="AQ23" s="2132" t="s">
        <v>69</v>
      </c>
    </row>
    <row r="24" spans="1:43" ht="105" x14ac:dyDescent="0.2">
      <c r="A24" s="2090"/>
      <c r="B24" s="2091"/>
      <c r="C24" s="2092"/>
      <c r="D24" s="2096"/>
      <c r="E24" s="2097"/>
      <c r="F24" s="2098"/>
      <c r="G24" s="2102"/>
      <c r="H24" s="2103"/>
      <c r="I24" s="2104"/>
      <c r="J24" s="58">
        <v>287</v>
      </c>
      <c r="K24" s="55" t="s">
        <v>118</v>
      </c>
      <c r="L24" s="48" t="s">
        <v>119</v>
      </c>
      <c r="M24" s="106">
        <v>1</v>
      </c>
      <c r="N24" s="71" t="s">
        <v>120</v>
      </c>
      <c r="O24" s="2137"/>
      <c r="P24" s="2138"/>
      <c r="Q24" s="66">
        <f>+V24/R20</f>
        <v>3.0766430001820499E-2</v>
      </c>
      <c r="R24" s="2140"/>
      <c r="S24" s="2138"/>
      <c r="T24" s="48" t="s">
        <v>121</v>
      </c>
      <c r="U24" s="48" t="s">
        <v>122</v>
      </c>
      <c r="V24" s="45">
        <f>109000000+60000000</f>
        <v>169000000</v>
      </c>
      <c r="W24" s="68" t="s">
        <v>67</v>
      </c>
      <c r="X24" s="69" t="s">
        <v>117</v>
      </c>
      <c r="Y24" s="2133"/>
      <c r="Z24" s="2129"/>
      <c r="AA24" s="2133"/>
      <c r="AB24" s="2133"/>
      <c r="AC24" s="2133"/>
      <c r="AD24" s="2133"/>
      <c r="AE24" s="2133"/>
      <c r="AF24" s="2133"/>
      <c r="AG24" s="2133"/>
      <c r="AH24" s="2133"/>
      <c r="AI24" s="2133"/>
      <c r="AJ24" s="2133"/>
      <c r="AK24" s="2133"/>
      <c r="AL24" s="2133"/>
      <c r="AM24" s="2133"/>
      <c r="AN24" s="2133"/>
      <c r="AO24" s="2142"/>
      <c r="AP24" s="2143"/>
      <c r="AQ24" s="2132"/>
    </row>
    <row r="25" spans="1:43" ht="135.75" thickBot="1" x14ac:dyDescent="0.25">
      <c r="A25" s="2090"/>
      <c r="B25" s="2091"/>
      <c r="C25" s="2092"/>
      <c r="D25" s="2096"/>
      <c r="E25" s="2097"/>
      <c r="F25" s="2098"/>
      <c r="G25" s="2102"/>
      <c r="H25" s="2103"/>
      <c r="I25" s="2104"/>
      <c r="J25" s="72">
        <v>289</v>
      </c>
      <c r="K25" s="59" t="s">
        <v>123</v>
      </c>
      <c r="L25" s="59" t="s">
        <v>124</v>
      </c>
      <c r="M25" s="107">
        <v>1</v>
      </c>
      <c r="N25" s="71"/>
      <c r="O25" s="2101"/>
      <c r="P25" s="2139"/>
      <c r="Q25" s="73">
        <f>+V25/R20</f>
        <v>0.91024940833788459</v>
      </c>
      <c r="R25" s="2141"/>
      <c r="S25" s="2139"/>
      <c r="T25" s="59" t="s">
        <v>125</v>
      </c>
      <c r="U25" s="59" t="s">
        <v>126</v>
      </c>
      <c r="V25" s="74">
        <v>5000000000</v>
      </c>
      <c r="W25" s="75">
        <v>46</v>
      </c>
      <c r="X25" s="46" t="s">
        <v>127</v>
      </c>
      <c r="Y25" s="2136"/>
      <c r="Z25" s="2116"/>
      <c r="AA25" s="2136"/>
      <c r="AB25" s="2136"/>
      <c r="AC25" s="2136"/>
      <c r="AD25" s="2136"/>
      <c r="AE25" s="2136"/>
      <c r="AF25" s="2136"/>
      <c r="AG25" s="2136"/>
      <c r="AH25" s="2136"/>
      <c r="AI25" s="2136"/>
      <c r="AJ25" s="2136"/>
      <c r="AK25" s="2136"/>
      <c r="AL25" s="2136"/>
      <c r="AM25" s="2136"/>
      <c r="AN25" s="2136"/>
      <c r="AO25" s="2142"/>
      <c r="AP25" s="2122"/>
      <c r="AQ25" s="76" t="s">
        <v>128</v>
      </c>
    </row>
    <row r="26" spans="1:43" ht="16.5" thickBot="1" x14ac:dyDescent="0.25">
      <c r="A26" s="77"/>
      <c r="B26" s="78"/>
      <c r="C26" s="78"/>
      <c r="D26" s="78"/>
      <c r="E26" s="78"/>
      <c r="F26" s="78"/>
      <c r="G26" s="78"/>
      <c r="H26" s="78"/>
      <c r="I26" s="78"/>
      <c r="J26" s="79"/>
      <c r="K26" s="80"/>
      <c r="L26" s="81"/>
      <c r="M26" s="82"/>
      <c r="N26" s="80"/>
      <c r="O26" s="81"/>
      <c r="P26" s="81"/>
      <c r="Q26" s="83"/>
      <c r="R26" s="84">
        <f>R20+R19+R17+R14+R12</f>
        <v>6071000000</v>
      </c>
      <c r="S26" s="85"/>
      <c r="T26" s="80"/>
      <c r="U26" s="86"/>
      <c r="V26" s="87">
        <f>SUM(V12:V25)</f>
        <v>6071000000</v>
      </c>
      <c r="W26" s="88"/>
      <c r="X26" s="89"/>
      <c r="Y26" s="90"/>
      <c r="Z26" s="90"/>
      <c r="AA26" s="90"/>
      <c r="AB26" s="90"/>
      <c r="AC26" s="90"/>
      <c r="AD26" s="90"/>
      <c r="AE26" s="89"/>
      <c r="AF26" s="89"/>
      <c r="AG26" s="89"/>
      <c r="AH26" s="89"/>
      <c r="AI26" s="89"/>
      <c r="AJ26" s="89"/>
      <c r="AK26" s="89"/>
      <c r="AL26" s="89"/>
      <c r="AM26" s="89"/>
      <c r="AN26" s="89"/>
      <c r="AO26" s="91"/>
      <c r="AP26" s="91"/>
      <c r="AQ26" s="92"/>
    </row>
    <row r="27" spans="1:43" x14ac:dyDescent="0.2">
      <c r="A27" s="93"/>
      <c r="B27" s="93"/>
      <c r="C27" s="93"/>
      <c r="D27" s="93"/>
      <c r="E27" s="93"/>
      <c r="F27" s="93"/>
      <c r="G27" s="93"/>
      <c r="H27" s="93"/>
      <c r="I27" s="93"/>
      <c r="J27" s="94"/>
      <c r="K27" s="95"/>
      <c r="L27" s="94"/>
      <c r="M27" s="94"/>
      <c r="N27" s="94"/>
      <c r="O27" s="94"/>
      <c r="P27" s="95"/>
      <c r="Q27" s="96"/>
      <c r="R27" s="97"/>
      <c r="S27" s="95"/>
      <c r="T27" s="95"/>
      <c r="U27" s="95"/>
      <c r="V27" s="98"/>
      <c r="W27" s="99"/>
      <c r="X27" s="100"/>
      <c r="Y27" s="101"/>
      <c r="Z27" s="101"/>
      <c r="AA27" s="101"/>
      <c r="AB27" s="101"/>
      <c r="AC27" s="101"/>
      <c r="AD27" s="101"/>
      <c r="AE27" s="101"/>
      <c r="AF27" s="101"/>
      <c r="AG27" s="101"/>
      <c r="AH27" s="101"/>
      <c r="AI27" s="101"/>
      <c r="AJ27" s="101"/>
      <c r="AK27" s="101"/>
      <c r="AL27" s="101"/>
      <c r="AM27" s="101"/>
      <c r="AN27" s="101"/>
      <c r="AO27" s="101"/>
      <c r="AP27" s="101"/>
      <c r="AQ27" s="101"/>
    </row>
    <row r="28" spans="1:43" x14ac:dyDescent="0.2">
      <c r="A28" s="93"/>
      <c r="B28" s="93"/>
      <c r="C28" s="93"/>
      <c r="D28" s="93"/>
      <c r="E28" s="93"/>
      <c r="F28" s="93"/>
      <c r="G28" s="93"/>
      <c r="H28" s="93"/>
      <c r="I28" s="93"/>
      <c r="J28" s="94"/>
      <c r="K28" s="95"/>
      <c r="L28" s="94"/>
      <c r="M28" s="94"/>
      <c r="N28" s="94"/>
      <c r="O28" s="94"/>
      <c r="P28" s="95"/>
      <c r="Q28" s="96"/>
      <c r="R28" s="102"/>
      <c r="S28" s="95"/>
      <c r="T28" s="95"/>
      <c r="U28" s="95"/>
      <c r="V28" s="101"/>
      <c r="W28" s="99"/>
      <c r="X28" s="100"/>
      <c r="Y28" s="101"/>
      <c r="Z28" s="101"/>
      <c r="AA28" s="101"/>
      <c r="AB28" s="101"/>
      <c r="AC28" s="101"/>
      <c r="AD28" s="101"/>
      <c r="AE28" s="101"/>
      <c r="AF28" s="101"/>
      <c r="AG28" s="101"/>
      <c r="AH28" s="101"/>
      <c r="AI28" s="101"/>
      <c r="AJ28" s="101"/>
      <c r="AK28" s="101"/>
      <c r="AL28" s="101"/>
      <c r="AM28" s="101"/>
      <c r="AN28" s="101"/>
      <c r="AO28" s="101"/>
      <c r="AP28" s="101"/>
      <c r="AQ28" s="101"/>
    </row>
    <row r="29" spans="1:43" ht="15.75" x14ac:dyDescent="0.25">
      <c r="A29" s="103"/>
      <c r="B29" s="103" t="s">
        <v>129</v>
      </c>
      <c r="C29" s="103"/>
      <c r="D29" s="103"/>
      <c r="E29" s="103"/>
      <c r="F29" s="93"/>
      <c r="G29" s="93"/>
      <c r="H29" s="93"/>
      <c r="I29" s="93"/>
      <c r="J29" s="94"/>
      <c r="K29" s="95"/>
      <c r="L29" s="94"/>
      <c r="M29" s="94"/>
      <c r="N29" s="94"/>
      <c r="O29" s="94"/>
      <c r="P29" s="95"/>
      <c r="Q29" s="96"/>
      <c r="R29" s="102"/>
      <c r="S29" s="95"/>
      <c r="T29" s="95"/>
      <c r="U29" s="95"/>
      <c r="V29" s="101"/>
      <c r="W29" s="99"/>
      <c r="X29" s="100"/>
      <c r="Y29" s="101"/>
      <c r="Z29" s="101"/>
      <c r="AA29" s="101"/>
      <c r="AB29" s="101"/>
      <c r="AC29" s="101"/>
      <c r="AD29" s="101"/>
      <c r="AE29" s="101"/>
      <c r="AF29" s="101"/>
      <c r="AG29" s="101"/>
      <c r="AH29" s="101"/>
      <c r="AI29" s="101"/>
      <c r="AJ29" s="101"/>
      <c r="AK29" s="101"/>
      <c r="AL29" s="101"/>
      <c r="AM29" s="101"/>
      <c r="AN29" s="101"/>
      <c r="AO29" s="101"/>
      <c r="AP29" s="101"/>
      <c r="AQ29" s="101"/>
    </row>
    <row r="30" spans="1:43" x14ac:dyDescent="0.2">
      <c r="B30" s="2" t="s">
        <v>130</v>
      </c>
    </row>
  </sheetData>
  <sheetProtection password="CBEB" sheet="1" objects="1" scenarios="1"/>
  <mergeCells count="154">
    <mergeCell ref="AQ21:AQ22"/>
    <mergeCell ref="AQ23:AQ24"/>
    <mergeCell ref="AL20:AL25"/>
    <mergeCell ref="AM20:AM25"/>
    <mergeCell ref="AN20:AN25"/>
    <mergeCell ref="AO20:AO25"/>
    <mergeCell ref="AP20:AP25"/>
    <mergeCell ref="J21:J22"/>
    <mergeCell ref="K21:K22"/>
    <mergeCell ref="L21:L22"/>
    <mergeCell ref="M21:M22"/>
    <mergeCell ref="Q21:Q22"/>
    <mergeCell ref="AF20:AF25"/>
    <mergeCell ref="AG20:AG25"/>
    <mergeCell ref="AH20:AH25"/>
    <mergeCell ref="AI20:AI25"/>
    <mergeCell ref="AJ20:AJ25"/>
    <mergeCell ref="AK20:AK25"/>
    <mergeCell ref="Z20:Z25"/>
    <mergeCell ref="AA20:AA25"/>
    <mergeCell ref="AB20:AB25"/>
    <mergeCell ref="AC20:AC25"/>
    <mergeCell ref="AD20:AD25"/>
    <mergeCell ref="AM17:AM18"/>
    <mergeCell ref="AN17:AN18"/>
    <mergeCell ref="AO17:AO18"/>
    <mergeCell ref="AP17:AP18"/>
    <mergeCell ref="AQ17:AQ18"/>
    <mergeCell ref="O20:O25"/>
    <mergeCell ref="P20:P25"/>
    <mergeCell ref="R20:R25"/>
    <mergeCell ref="S20:S25"/>
    <mergeCell ref="Y20:Y25"/>
    <mergeCell ref="AG17:AG18"/>
    <mergeCell ref="AH17:AH18"/>
    <mergeCell ref="AI17:AI18"/>
    <mergeCell ref="AJ17:AJ18"/>
    <mergeCell ref="AK17:AK18"/>
    <mergeCell ref="AL17:AL18"/>
    <mergeCell ref="AA17:AA18"/>
    <mergeCell ref="AB17:AB18"/>
    <mergeCell ref="AC17:AC18"/>
    <mergeCell ref="AD17:AD18"/>
    <mergeCell ref="AE17:AE18"/>
    <mergeCell ref="AF17:AF18"/>
    <mergeCell ref="P17:P18"/>
    <mergeCell ref="T21:T22"/>
    <mergeCell ref="Y17:Y18"/>
    <mergeCell ref="Z17:Z18"/>
    <mergeCell ref="J17:J18"/>
    <mergeCell ref="K17:K18"/>
    <mergeCell ref="L17:L18"/>
    <mergeCell ref="M17:M18"/>
    <mergeCell ref="N17:N18"/>
    <mergeCell ref="O17:O18"/>
    <mergeCell ref="AE20:AE25"/>
    <mergeCell ref="AL14:AL16"/>
    <mergeCell ref="AM14:AM16"/>
    <mergeCell ref="AN14:AN16"/>
    <mergeCell ref="AO14:AO16"/>
    <mergeCell ref="AP14:AP16"/>
    <mergeCell ref="AQ14:AQ16"/>
    <mergeCell ref="AF14:AF16"/>
    <mergeCell ref="AG14:AG16"/>
    <mergeCell ref="AH14:AH16"/>
    <mergeCell ref="AI14:AI16"/>
    <mergeCell ref="AJ14:AJ16"/>
    <mergeCell ref="AK14:AK16"/>
    <mergeCell ref="Z14:Z16"/>
    <mergeCell ref="AA14:AA16"/>
    <mergeCell ref="AB14:AB16"/>
    <mergeCell ref="AC14:AC16"/>
    <mergeCell ref="AD14:AD16"/>
    <mergeCell ref="AE14:AE16"/>
    <mergeCell ref="O14:O16"/>
    <mergeCell ref="P14:P16"/>
    <mergeCell ref="Q14:Q16"/>
    <mergeCell ref="R14:R16"/>
    <mergeCell ref="S14:S16"/>
    <mergeCell ref="Y14:Y16"/>
    <mergeCell ref="AM12:AM13"/>
    <mergeCell ref="AN12:AN13"/>
    <mergeCell ref="AO12:AO13"/>
    <mergeCell ref="AP12:AP13"/>
    <mergeCell ref="AQ12:AQ13"/>
    <mergeCell ref="J14:J16"/>
    <mergeCell ref="K14:K16"/>
    <mergeCell ref="L14:L16"/>
    <mergeCell ref="M14:M16"/>
    <mergeCell ref="N14:N16"/>
    <mergeCell ref="AG12:AG13"/>
    <mergeCell ref="AH12:AH13"/>
    <mergeCell ref="AI12:AI13"/>
    <mergeCell ref="AJ12:AJ13"/>
    <mergeCell ref="AK12:AK13"/>
    <mergeCell ref="AL12:AL13"/>
    <mergeCell ref="AA12:AA13"/>
    <mergeCell ref="AB12:AB13"/>
    <mergeCell ref="AC12:AC13"/>
    <mergeCell ref="AD12:AD13"/>
    <mergeCell ref="AE12:AE13"/>
    <mergeCell ref="AF12:AF13"/>
    <mergeCell ref="R12:R13"/>
    <mergeCell ref="S12:S13"/>
    <mergeCell ref="W12:W13"/>
    <mergeCell ref="Y12:Y13"/>
    <mergeCell ref="Z12:Z13"/>
    <mergeCell ref="L12:L13"/>
    <mergeCell ref="M12:M13"/>
    <mergeCell ref="N12:N13"/>
    <mergeCell ref="O12:O13"/>
    <mergeCell ref="P12:P13"/>
    <mergeCell ref="Q12:Q13"/>
    <mergeCell ref="A10:C25"/>
    <mergeCell ref="D11:F25"/>
    <mergeCell ref="G12:I25"/>
    <mergeCell ref="J12:J13"/>
    <mergeCell ref="K12:K13"/>
    <mergeCell ref="T7:T8"/>
    <mergeCell ref="U7:U8"/>
    <mergeCell ref="J7:J8"/>
    <mergeCell ref="K7:K8"/>
    <mergeCell ref="L7:L8"/>
    <mergeCell ref="N7:N8"/>
    <mergeCell ref="O7:O8"/>
    <mergeCell ref="T12:T13"/>
    <mergeCell ref="Q17:Q18"/>
    <mergeCell ref="R17:R18"/>
    <mergeCell ref="S17:S18"/>
    <mergeCell ref="M7:M8"/>
    <mergeCell ref="V7:V8"/>
    <mergeCell ref="A1:AP4"/>
    <mergeCell ref="A5:M6"/>
    <mergeCell ref="N5:AQ5"/>
    <mergeCell ref="Y6:AM6"/>
    <mergeCell ref="A7:A8"/>
    <mergeCell ref="B7:C8"/>
    <mergeCell ref="D7:D8"/>
    <mergeCell ref="E7:F8"/>
    <mergeCell ref="G7:G8"/>
    <mergeCell ref="H7:I8"/>
    <mergeCell ref="AN7:AN8"/>
    <mergeCell ref="AO7:AO8"/>
    <mergeCell ref="AP7:AP8"/>
    <mergeCell ref="AQ7:AQ8"/>
    <mergeCell ref="X7:X8"/>
    <mergeCell ref="Y7:Z7"/>
    <mergeCell ref="AA7:AD7"/>
    <mergeCell ref="AE7:AJ7"/>
    <mergeCell ref="AK7:AM7"/>
    <mergeCell ref="P7:P8"/>
    <mergeCell ref="Q7:Q8"/>
    <mergeCell ref="R7:R8"/>
    <mergeCell ref="S7:S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BK103"/>
  <sheetViews>
    <sheetView showGridLines="0" zoomScale="50" zoomScaleNormal="50" workbookViewId="0">
      <selection activeCell="A11" sqref="A11"/>
    </sheetView>
  </sheetViews>
  <sheetFormatPr baseColWidth="10" defaultColWidth="11.42578125" defaultRowHeight="15" x14ac:dyDescent="0.2"/>
  <cols>
    <col min="1" max="1" width="16.7109375" style="110" customWidth="1"/>
    <col min="2" max="2" width="4.5703125" style="110" customWidth="1"/>
    <col min="3" max="3" width="19" style="110" customWidth="1"/>
    <col min="4" max="4" width="13.85546875" style="110" customWidth="1"/>
    <col min="5" max="5" width="5" style="110" customWidth="1"/>
    <col min="6" max="6" width="13.28515625" style="110" customWidth="1"/>
    <col min="7" max="7" width="14.140625" style="110" customWidth="1"/>
    <col min="8" max="8" width="5.42578125" style="110" customWidth="1"/>
    <col min="9" max="9" width="21" style="110" customWidth="1"/>
    <col min="10" max="10" width="17.140625" style="110" customWidth="1"/>
    <col min="11" max="12" width="45.28515625" style="110" customWidth="1"/>
    <col min="13" max="13" width="23.7109375" style="110" customWidth="1"/>
    <col min="14" max="14" width="37.7109375" style="841" customWidth="1"/>
    <col min="15" max="15" width="25.7109375" style="110" customWidth="1"/>
    <col min="16" max="16" width="26" style="110" customWidth="1"/>
    <col min="17" max="17" width="17.5703125" style="110" customWidth="1"/>
    <col min="18" max="18" width="36" style="110" customWidth="1"/>
    <col min="19" max="19" width="43" style="110" customWidth="1"/>
    <col min="20" max="20" width="42" style="110" customWidth="1"/>
    <col min="21" max="21" width="41.140625" style="110" customWidth="1"/>
    <col min="22" max="22" width="30.42578125" style="110" bestFit="1" customWidth="1"/>
    <col min="23" max="23" width="17.5703125" style="110" customWidth="1"/>
    <col min="24" max="24" width="25.7109375" style="110" customWidth="1"/>
    <col min="25" max="25" width="8.140625" style="110" customWidth="1"/>
    <col min="26" max="26" width="9" style="110" bestFit="1" customWidth="1"/>
    <col min="27" max="28" width="8.140625" style="110" customWidth="1"/>
    <col min="29" max="29" width="17" style="110" customWidth="1"/>
    <col min="30" max="30" width="10.7109375" style="110" customWidth="1"/>
    <col min="31" max="32" width="8" style="110" customWidth="1"/>
    <col min="33" max="36" width="7.42578125" style="110" customWidth="1"/>
    <col min="37" max="39" width="7.5703125" style="110" bestFit="1" customWidth="1"/>
    <col min="40" max="40" width="9" style="110" bestFit="1" customWidth="1"/>
    <col min="41" max="41" width="19.85546875" style="110" customWidth="1"/>
    <col min="42" max="42" width="23.42578125" style="110" customWidth="1"/>
    <col min="43" max="43" width="24.42578125" style="110" customWidth="1"/>
    <col min="44" max="56" width="14.85546875" style="110" customWidth="1"/>
    <col min="57" max="16384" width="11.42578125" style="110"/>
  </cols>
  <sheetData>
    <row r="1" spans="1:63" ht="25.5" customHeight="1" x14ac:dyDescent="0.2">
      <c r="A1" s="2252" t="s">
        <v>953</v>
      </c>
      <c r="B1" s="2252"/>
      <c r="C1" s="2252"/>
      <c r="D1" s="2252"/>
      <c r="E1" s="2252"/>
      <c r="F1" s="2252"/>
      <c r="G1" s="2252"/>
      <c r="H1" s="2252"/>
      <c r="I1" s="2252"/>
      <c r="J1" s="2252"/>
      <c r="K1" s="2252"/>
      <c r="L1" s="2252"/>
      <c r="M1" s="2252"/>
      <c r="N1" s="2252"/>
      <c r="O1" s="2252"/>
      <c r="P1" s="2252"/>
      <c r="Q1" s="2252"/>
      <c r="R1" s="2252"/>
      <c r="S1" s="2252"/>
      <c r="T1" s="2252"/>
      <c r="U1" s="2252"/>
      <c r="V1" s="2252"/>
      <c r="W1" s="2252"/>
      <c r="X1" s="2252"/>
      <c r="Y1" s="2252"/>
      <c r="Z1" s="2252"/>
      <c r="AA1" s="2252"/>
      <c r="AB1" s="2252"/>
      <c r="AC1" s="2252"/>
      <c r="AD1" s="2252"/>
      <c r="AE1" s="2252"/>
      <c r="AF1" s="2252"/>
      <c r="AG1" s="2252"/>
      <c r="AH1" s="2252"/>
      <c r="AI1" s="2252"/>
      <c r="AJ1" s="2252"/>
      <c r="AK1" s="2252"/>
      <c r="AL1" s="2252"/>
      <c r="AM1" s="2252"/>
      <c r="AN1" s="2252"/>
      <c r="AO1" s="2252"/>
      <c r="AP1" s="322" t="s">
        <v>954</v>
      </c>
      <c r="AQ1" s="322" t="s">
        <v>134</v>
      </c>
    </row>
    <row r="2" spans="1:63" ht="20.25" customHeight="1" x14ac:dyDescent="0.2">
      <c r="A2" s="2252"/>
      <c r="B2" s="2252"/>
      <c r="C2" s="2252"/>
      <c r="D2" s="2252"/>
      <c r="E2" s="2252"/>
      <c r="F2" s="2252"/>
      <c r="G2" s="2252"/>
      <c r="H2" s="2252"/>
      <c r="I2" s="2252"/>
      <c r="J2" s="2252"/>
      <c r="K2" s="2252"/>
      <c r="L2" s="2252"/>
      <c r="M2" s="2252"/>
      <c r="N2" s="2252"/>
      <c r="O2" s="2252"/>
      <c r="P2" s="2252"/>
      <c r="Q2" s="2252"/>
      <c r="R2" s="2252"/>
      <c r="S2" s="2252"/>
      <c r="T2" s="2252"/>
      <c r="U2" s="2252"/>
      <c r="V2" s="2252"/>
      <c r="W2" s="2252"/>
      <c r="X2" s="2252"/>
      <c r="Y2" s="2252"/>
      <c r="Z2" s="2252"/>
      <c r="AA2" s="2252"/>
      <c r="AB2" s="2252"/>
      <c r="AC2" s="2252"/>
      <c r="AD2" s="2252"/>
      <c r="AE2" s="2252"/>
      <c r="AF2" s="2252"/>
      <c r="AG2" s="2252"/>
      <c r="AH2" s="2252"/>
      <c r="AI2" s="2252"/>
      <c r="AJ2" s="2252"/>
      <c r="AK2" s="2252"/>
      <c r="AL2" s="2252"/>
      <c r="AM2" s="2252"/>
      <c r="AN2" s="2252"/>
      <c r="AO2" s="2252"/>
      <c r="AP2" s="686" t="s">
        <v>232</v>
      </c>
      <c r="AQ2" s="2040">
        <v>6</v>
      </c>
    </row>
    <row r="3" spans="1:63" ht="22.5" customHeight="1" x14ac:dyDescent="0.2">
      <c r="A3" s="2252"/>
      <c r="B3" s="2252"/>
      <c r="C3" s="2252"/>
      <c r="D3" s="2252"/>
      <c r="E3" s="2252"/>
      <c r="F3" s="2252"/>
      <c r="G3" s="2252"/>
      <c r="H3" s="2252"/>
      <c r="I3" s="2252"/>
      <c r="J3" s="2252"/>
      <c r="K3" s="2252"/>
      <c r="L3" s="2252"/>
      <c r="M3" s="2252"/>
      <c r="N3" s="2252"/>
      <c r="O3" s="2252"/>
      <c r="P3" s="2252"/>
      <c r="Q3" s="2252"/>
      <c r="R3" s="2252"/>
      <c r="S3" s="2252"/>
      <c r="T3" s="2252"/>
      <c r="U3" s="2252"/>
      <c r="V3" s="2252"/>
      <c r="W3" s="2252"/>
      <c r="X3" s="2252"/>
      <c r="Y3" s="2252"/>
      <c r="Z3" s="2252"/>
      <c r="AA3" s="2252"/>
      <c r="AB3" s="2252"/>
      <c r="AC3" s="2252"/>
      <c r="AD3" s="2252"/>
      <c r="AE3" s="2252"/>
      <c r="AF3" s="2252"/>
      <c r="AG3" s="2252"/>
      <c r="AH3" s="2252"/>
      <c r="AI3" s="2252"/>
      <c r="AJ3" s="2252"/>
      <c r="AK3" s="2252"/>
      <c r="AL3" s="2252"/>
      <c r="AM3" s="2252"/>
      <c r="AN3" s="2252"/>
      <c r="AO3" s="2252"/>
      <c r="AP3" s="322" t="s">
        <v>233</v>
      </c>
      <c r="AQ3" s="2041" t="s">
        <v>136</v>
      </c>
    </row>
    <row r="4" spans="1:63" s="224" customFormat="1" ht="22.5" customHeight="1" x14ac:dyDescent="0.2">
      <c r="A4" s="2254"/>
      <c r="B4" s="2254"/>
      <c r="C4" s="2254"/>
      <c r="D4" s="2254"/>
      <c r="E4" s="2254"/>
      <c r="F4" s="2254"/>
      <c r="G4" s="2254"/>
      <c r="H4" s="2254"/>
      <c r="I4" s="2254"/>
      <c r="J4" s="2254"/>
      <c r="K4" s="2254"/>
      <c r="L4" s="2254"/>
      <c r="M4" s="2254"/>
      <c r="N4" s="2254"/>
      <c r="O4" s="2254"/>
      <c r="P4" s="2254"/>
      <c r="Q4" s="2254"/>
      <c r="R4" s="2254"/>
      <c r="S4" s="2254"/>
      <c r="T4" s="2254"/>
      <c r="U4" s="2254"/>
      <c r="V4" s="2254"/>
      <c r="W4" s="2254"/>
      <c r="X4" s="2254"/>
      <c r="Y4" s="2254"/>
      <c r="Z4" s="2254"/>
      <c r="AA4" s="2254"/>
      <c r="AB4" s="2254"/>
      <c r="AC4" s="2254"/>
      <c r="AD4" s="2254"/>
      <c r="AE4" s="2254"/>
      <c r="AF4" s="2254"/>
      <c r="AG4" s="2254"/>
      <c r="AH4" s="2254"/>
      <c r="AI4" s="2254"/>
      <c r="AJ4" s="2254"/>
      <c r="AK4" s="2254"/>
      <c r="AL4" s="2254"/>
      <c r="AM4" s="2254"/>
      <c r="AN4" s="2254"/>
      <c r="AO4" s="2254"/>
      <c r="AP4" s="322" t="s">
        <v>234</v>
      </c>
      <c r="AQ4" s="223" t="s">
        <v>181</v>
      </c>
    </row>
    <row r="5" spans="1:63" ht="18" customHeight="1" x14ac:dyDescent="0.2">
      <c r="A5" s="2258" t="s">
        <v>2</v>
      </c>
      <c r="B5" s="2258"/>
      <c r="C5" s="2258"/>
      <c r="D5" s="2258"/>
      <c r="E5" s="2258"/>
      <c r="F5" s="2258"/>
      <c r="G5" s="2258"/>
      <c r="H5" s="2258"/>
      <c r="I5" s="2258"/>
      <c r="J5" s="2258"/>
      <c r="K5" s="2258"/>
      <c r="L5" s="2258"/>
      <c r="M5" s="2258"/>
      <c r="N5" s="823"/>
      <c r="O5" s="823"/>
      <c r="P5" s="2258" t="s">
        <v>3</v>
      </c>
      <c r="Q5" s="2258"/>
      <c r="R5" s="2258"/>
      <c r="S5" s="2258"/>
      <c r="T5" s="2258"/>
      <c r="U5" s="2258"/>
      <c r="V5" s="2258"/>
      <c r="W5" s="2258"/>
      <c r="X5" s="2258"/>
      <c r="Y5" s="2258"/>
      <c r="Z5" s="2258"/>
      <c r="AA5" s="2258"/>
      <c r="AB5" s="2258"/>
      <c r="AC5" s="2258"/>
      <c r="AD5" s="2258"/>
      <c r="AE5" s="2258"/>
      <c r="AF5" s="2258"/>
      <c r="AG5" s="2258"/>
      <c r="AH5" s="2258"/>
      <c r="AI5" s="2258"/>
      <c r="AJ5" s="2258"/>
      <c r="AK5" s="2258"/>
      <c r="AL5" s="2258"/>
      <c r="AM5" s="2258"/>
      <c r="AN5" s="2258"/>
      <c r="AO5" s="2258"/>
      <c r="AP5" s="2258"/>
      <c r="AQ5" s="2258"/>
    </row>
    <row r="6" spans="1:63" ht="27.75" customHeight="1" x14ac:dyDescent="0.2">
      <c r="A6" s="2262" t="s">
        <v>5</v>
      </c>
      <c r="B6" s="2264" t="s">
        <v>6</v>
      </c>
      <c r="C6" s="2265"/>
      <c r="D6" s="2238" t="s">
        <v>5</v>
      </c>
      <c r="E6" s="2264" t="s">
        <v>7</v>
      </c>
      <c r="F6" s="2265"/>
      <c r="G6" s="2238" t="s">
        <v>5</v>
      </c>
      <c r="H6" s="2264" t="s">
        <v>8</v>
      </c>
      <c r="I6" s="2265"/>
      <c r="J6" s="2238" t="s">
        <v>5</v>
      </c>
      <c r="K6" s="2238" t="s">
        <v>9</v>
      </c>
      <c r="L6" s="2238" t="s">
        <v>10</v>
      </c>
      <c r="M6" s="2238" t="s">
        <v>11</v>
      </c>
      <c r="N6" s="2238" t="s">
        <v>12</v>
      </c>
      <c r="O6" s="2238" t="s">
        <v>13</v>
      </c>
      <c r="P6" s="2238" t="s">
        <v>3</v>
      </c>
      <c r="Q6" s="2248" t="s">
        <v>14</v>
      </c>
      <c r="R6" s="2248" t="s">
        <v>15</v>
      </c>
      <c r="S6" s="2248" t="s">
        <v>16</v>
      </c>
      <c r="T6" s="2248" t="s">
        <v>17</v>
      </c>
      <c r="U6" s="2248" t="s">
        <v>18</v>
      </c>
      <c r="V6" s="2250" t="s">
        <v>15</v>
      </c>
      <c r="W6" s="2262" t="s">
        <v>5</v>
      </c>
      <c r="X6" s="2238" t="s">
        <v>19</v>
      </c>
      <c r="Y6" s="3023" t="s">
        <v>20</v>
      </c>
      <c r="Z6" s="3024"/>
      <c r="AA6" s="3018" t="s">
        <v>21</v>
      </c>
      <c r="AB6" s="3019"/>
      <c r="AC6" s="3019"/>
      <c r="AD6" s="3019"/>
      <c r="AE6" s="2540" t="s">
        <v>22</v>
      </c>
      <c r="AF6" s="2541"/>
      <c r="AG6" s="2541"/>
      <c r="AH6" s="2541"/>
      <c r="AI6" s="2541"/>
      <c r="AJ6" s="2541"/>
      <c r="AK6" s="3018" t="s">
        <v>23</v>
      </c>
      <c r="AL6" s="3019"/>
      <c r="AM6" s="3019"/>
      <c r="AN6" s="3013" t="s">
        <v>24</v>
      </c>
      <c r="AO6" s="3015" t="s">
        <v>25</v>
      </c>
      <c r="AP6" s="3015" t="s">
        <v>26</v>
      </c>
      <c r="AQ6" s="2268" t="s">
        <v>27</v>
      </c>
      <c r="AR6" s="109"/>
      <c r="AS6" s="109"/>
      <c r="AT6" s="109"/>
      <c r="AU6" s="109"/>
      <c r="AV6" s="109"/>
      <c r="AW6" s="109"/>
      <c r="AX6" s="109"/>
      <c r="AY6" s="109"/>
      <c r="AZ6" s="109"/>
      <c r="BA6" s="109"/>
      <c r="BB6" s="109"/>
      <c r="BC6" s="109"/>
      <c r="BD6" s="109"/>
      <c r="BE6" s="109"/>
      <c r="BF6" s="109"/>
      <c r="BG6" s="109"/>
      <c r="BH6" s="109"/>
      <c r="BI6" s="109"/>
      <c r="BJ6" s="109"/>
      <c r="BK6" s="109"/>
    </row>
    <row r="7" spans="1:63" ht="120" customHeight="1" x14ac:dyDescent="0.2">
      <c r="A7" s="2263"/>
      <c r="B7" s="2266"/>
      <c r="C7" s="2267"/>
      <c r="D7" s="2239"/>
      <c r="E7" s="2266"/>
      <c r="F7" s="2267"/>
      <c r="G7" s="2239"/>
      <c r="H7" s="2266"/>
      <c r="I7" s="2267"/>
      <c r="J7" s="2239"/>
      <c r="K7" s="2239"/>
      <c r="L7" s="2239"/>
      <c r="M7" s="2239"/>
      <c r="N7" s="2239"/>
      <c r="O7" s="2239"/>
      <c r="P7" s="2239"/>
      <c r="Q7" s="2249"/>
      <c r="R7" s="2249"/>
      <c r="S7" s="2249"/>
      <c r="T7" s="2249"/>
      <c r="U7" s="2249"/>
      <c r="V7" s="2251"/>
      <c r="W7" s="2263"/>
      <c r="X7" s="2239"/>
      <c r="Y7" s="124" t="s">
        <v>28</v>
      </c>
      <c r="Z7" s="125" t="s">
        <v>29</v>
      </c>
      <c r="AA7" s="124" t="s">
        <v>30</v>
      </c>
      <c r="AB7" s="124" t="s">
        <v>31</v>
      </c>
      <c r="AC7" s="124" t="s">
        <v>138</v>
      </c>
      <c r="AD7" s="124" t="s">
        <v>225</v>
      </c>
      <c r="AE7" s="124" t="s">
        <v>33</v>
      </c>
      <c r="AF7" s="124" t="s">
        <v>34</v>
      </c>
      <c r="AG7" s="124" t="s">
        <v>35</v>
      </c>
      <c r="AH7" s="124" t="s">
        <v>36</v>
      </c>
      <c r="AI7" s="124" t="s">
        <v>37</v>
      </c>
      <c r="AJ7" s="124" t="s">
        <v>38</v>
      </c>
      <c r="AK7" s="124" t="s">
        <v>39</v>
      </c>
      <c r="AL7" s="124" t="s">
        <v>40</v>
      </c>
      <c r="AM7" s="124" t="s">
        <v>41</v>
      </c>
      <c r="AN7" s="3014"/>
      <c r="AO7" s="3016"/>
      <c r="AP7" s="3016"/>
      <c r="AQ7" s="3017"/>
      <c r="AR7" s="109"/>
      <c r="AS7" s="109"/>
      <c r="AT7" s="109"/>
      <c r="AU7" s="109"/>
      <c r="AV7" s="109"/>
      <c r="AW7" s="109"/>
      <c r="AX7" s="109"/>
      <c r="AY7" s="109"/>
      <c r="AZ7" s="109"/>
      <c r="BA7" s="109"/>
      <c r="BB7" s="109"/>
      <c r="BC7" s="109"/>
      <c r="BD7" s="109"/>
      <c r="BE7" s="109"/>
      <c r="BF7" s="109"/>
      <c r="BG7" s="109"/>
      <c r="BH7" s="109"/>
      <c r="BI7" s="109"/>
      <c r="BJ7" s="109"/>
      <c r="BK7" s="109"/>
    </row>
    <row r="8" spans="1:63" s="409" customFormat="1" ht="15.75" x14ac:dyDescent="0.25">
      <c r="A8" s="911">
        <v>3</v>
      </c>
      <c r="B8" s="912"/>
      <c r="C8" s="912" t="s">
        <v>260</v>
      </c>
      <c r="D8" s="912"/>
      <c r="E8" s="912"/>
      <c r="F8" s="912"/>
      <c r="G8" s="912"/>
      <c r="H8" s="912"/>
      <c r="I8" s="912"/>
      <c r="J8" s="912"/>
      <c r="K8" s="231"/>
      <c r="L8" s="231"/>
      <c r="M8" s="912"/>
      <c r="N8" s="232"/>
      <c r="O8" s="912"/>
      <c r="P8" s="231"/>
      <c r="Q8" s="913"/>
      <c r="R8" s="914"/>
      <c r="S8" s="231"/>
      <c r="T8" s="231"/>
      <c r="U8" s="231"/>
      <c r="V8" s="231"/>
      <c r="W8" s="912"/>
      <c r="X8" s="912"/>
      <c r="Y8" s="912"/>
      <c r="Z8" s="912"/>
      <c r="AA8" s="912"/>
      <c r="AB8" s="912"/>
      <c r="AC8" s="912"/>
      <c r="AD8" s="912"/>
      <c r="AE8" s="912"/>
      <c r="AF8" s="912"/>
      <c r="AG8" s="912"/>
      <c r="AH8" s="915"/>
      <c r="AI8" s="231"/>
      <c r="AJ8" s="916"/>
      <c r="AK8" s="916"/>
      <c r="AL8" s="916"/>
      <c r="AM8" s="916"/>
      <c r="AN8" s="916"/>
      <c r="AO8" s="916"/>
      <c r="AP8" s="916"/>
      <c r="AQ8" s="917"/>
    </row>
    <row r="9" spans="1:63" s="409" customFormat="1" ht="15.75" x14ac:dyDescent="0.25">
      <c r="A9" s="918"/>
      <c r="B9" s="919"/>
      <c r="C9" s="920"/>
      <c r="D9" s="921">
        <v>5</v>
      </c>
      <c r="E9" s="922" t="s">
        <v>955</v>
      </c>
      <c r="F9" s="922"/>
      <c r="G9" s="922"/>
      <c r="H9" s="922"/>
      <c r="I9" s="922"/>
      <c r="J9" s="922"/>
      <c r="K9" s="243"/>
      <c r="L9" s="243"/>
      <c r="M9" s="922"/>
      <c r="N9" s="244"/>
      <c r="O9" s="922"/>
      <c r="P9" s="243"/>
      <c r="Q9" s="923"/>
      <c r="R9" s="924"/>
      <c r="S9" s="243"/>
      <c r="T9" s="243"/>
      <c r="U9" s="243"/>
      <c r="V9" s="243"/>
      <c r="W9" s="922"/>
      <c r="X9" s="922"/>
      <c r="Y9" s="922"/>
      <c r="Z9" s="922"/>
      <c r="AA9" s="922"/>
      <c r="AB9" s="922"/>
      <c r="AC9" s="922"/>
      <c r="AD9" s="922"/>
      <c r="AE9" s="922"/>
      <c r="AF9" s="922"/>
      <c r="AG9" s="922"/>
      <c r="AH9" s="925"/>
      <c r="AI9" s="243"/>
      <c r="AJ9" s="926"/>
      <c r="AK9" s="926"/>
      <c r="AL9" s="926"/>
      <c r="AM9" s="926"/>
      <c r="AN9" s="926"/>
      <c r="AO9" s="926"/>
      <c r="AP9" s="926"/>
      <c r="AQ9" s="927"/>
    </row>
    <row r="10" spans="1:63" s="409" customFormat="1" ht="15.75" x14ac:dyDescent="0.25">
      <c r="A10" s="928"/>
      <c r="B10" s="929"/>
      <c r="C10" s="929"/>
      <c r="D10" s="930"/>
      <c r="E10" s="931"/>
      <c r="F10" s="932"/>
      <c r="G10" s="933">
        <v>16</v>
      </c>
      <c r="H10" s="825" t="s">
        <v>956</v>
      </c>
      <c r="I10" s="825"/>
      <c r="J10" s="825"/>
      <c r="K10" s="598"/>
      <c r="L10" s="598"/>
      <c r="M10" s="825"/>
      <c r="N10" s="154"/>
      <c r="O10" s="825"/>
      <c r="P10" s="598"/>
      <c r="Q10" s="934"/>
      <c r="R10" s="935"/>
      <c r="S10" s="598"/>
      <c r="T10" s="598"/>
      <c r="U10" s="598"/>
      <c r="V10" s="598"/>
      <c r="W10" s="825"/>
      <c r="X10" s="825"/>
      <c r="Y10" s="825"/>
      <c r="Z10" s="825"/>
      <c r="AA10" s="825"/>
      <c r="AB10" s="825"/>
      <c r="AC10" s="825"/>
      <c r="AD10" s="825"/>
      <c r="AE10" s="936"/>
      <c r="AF10" s="825"/>
      <c r="AG10" s="825"/>
      <c r="AH10" s="937"/>
      <c r="AI10" s="598"/>
      <c r="AJ10" s="938"/>
      <c r="AK10" s="938"/>
      <c r="AL10" s="938"/>
      <c r="AM10" s="938"/>
      <c r="AN10" s="938"/>
      <c r="AO10" s="938"/>
      <c r="AP10" s="938"/>
      <c r="AQ10" s="939"/>
    </row>
    <row r="11" spans="1:63" s="409" customFormat="1" ht="37.5" customHeight="1" x14ac:dyDescent="0.25">
      <c r="A11" s="928"/>
      <c r="B11" s="929"/>
      <c r="C11" s="929"/>
      <c r="D11" s="940"/>
      <c r="E11" s="941"/>
      <c r="F11" s="942"/>
      <c r="G11" s="691"/>
      <c r="H11" s="691"/>
      <c r="I11" s="943"/>
      <c r="J11" s="2187">
        <v>65</v>
      </c>
      <c r="K11" s="2793" t="s">
        <v>957</v>
      </c>
      <c r="L11" s="2793" t="s">
        <v>958</v>
      </c>
      <c r="M11" s="2773">
        <v>1</v>
      </c>
      <c r="N11" s="842" t="s">
        <v>959</v>
      </c>
      <c r="O11" s="2858" t="s">
        <v>960</v>
      </c>
      <c r="P11" s="3020" t="s">
        <v>961</v>
      </c>
      <c r="Q11" s="3025">
        <f>SUM(V11)/R11</f>
        <v>0.28073678971052668</v>
      </c>
      <c r="R11" s="2825">
        <f>+V11+V13+V14+V15+V16+V17+V18</f>
        <v>15686834866</v>
      </c>
      <c r="S11" s="2793" t="s">
        <v>962</v>
      </c>
      <c r="T11" s="3027" t="s">
        <v>963</v>
      </c>
      <c r="U11" s="3027" t="s">
        <v>964</v>
      </c>
      <c r="V11" s="3029">
        <f>2640000000+1250000000+97827540+1000079557-584035436</f>
        <v>4403871661</v>
      </c>
      <c r="W11" s="2156" t="s">
        <v>965</v>
      </c>
      <c r="X11" s="2186" t="s">
        <v>966</v>
      </c>
      <c r="Y11" s="2223">
        <v>21554</v>
      </c>
      <c r="Z11" s="2223">
        <v>22392</v>
      </c>
      <c r="AA11" s="2223">
        <v>31677</v>
      </c>
      <c r="AB11" s="2223">
        <v>10302</v>
      </c>
      <c r="AC11" s="2223">
        <v>1874</v>
      </c>
      <c r="AD11" s="2223">
        <v>93</v>
      </c>
      <c r="AE11" s="2223">
        <v>238</v>
      </c>
      <c r="AF11" s="2223">
        <v>245</v>
      </c>
      <c r="AG11" s="2223">
        <v>0</v>
      </c>
      <c r="AH11" s="2223">
        <v>0</v>
      </c>
      <c r="AI11" s="2223">
        <v>0</v>
      </c>
      <c r="AJ11" s="2223">
        <v>0</v>
      </c>
      <c r="AK11" s="2223">
        <v>2629</v>
      </c>
      <c r="AL11" s="2223">
        <v>2665</v>
      </c>
      <c r="AM11" s="2223">
        <v>2683</v>
      </c>
      <c r="AN11" s="2223">
        <v>43946</v>
      </c>
      <c r="AO11" s="2603">
        <v>43101</v>
      </c>
      <c r="AP11" s="2603">
        <v>43407</v>
      </c>
      <c r="AQ11" s="2187" t="s">
        <v>967</v>
      </c>
    </row>
    <row r="12" spans="1:63" s="409" customFormat="1" ht="22.5" customHeight="1" x14ac:dyDescent="0.25">
      <c r="A12" s="928"/>
      <c r="B12" s="929"/>
      <c r="C12" s="929"/>
      <c r="D12" s="940"/>
      <c r="E12" s="941"/>
      <c r="F12" s="942"/>
      <c r="G12" s="691"/>
      <c r="H12" s="691"/>
      <c r="I12" s="943"/>
      <c r="J12" s="2187"/>
      <c r="K12" s="2793"/>
      <c r="L12" s="2793"/>
      <c r="M12" s="2773"/>
      <c r="N12" s="843" t="s">
        <v>968</v>
      </c>
      <c r="O12" s="2858"/>
      <c r="P12" s="3021"/>
      <c r="Q12" s="3025"/>
      <c r="R12" s="2825"/>
      <c r="S12" s="2793"/>
      <c r="T12" s="3027"/>
      <c r="U12" s="3027"/>
      <c r="V12" s="3030"/>
      <c r="W12" s="2200"/>
      <c r="X12" s="2187"/>
      <c r="Y12" s="2223"/>
      <c r="Z12" s="2223"/>
      <c r="AA12" s="2223"/>
      <c r="AB12" s="2223"/>
      <c r="AC12" s="2223"/>
      <c r="AD12" s="2223"/>
      <c r="AE12" s="2223"/>
      <c r="AF12" s="2223"/>
      <c r="AG12" s="2223"/>
      <c r="AH12" s="2223"/>
      <c r="AI12" s="2223"/>
      <c r="AJ12" s="2223"/>
      <c r="AK12" s="2223"/>
      <c r="AL12" s="2223"/>
      <c r="AM12" s="2223"/>
      <c r="AN12" s="2223"/>
      <c r="AO12" s="2603"/>
      <c r="AP12" s="2223"/>
      <c r="AQ12" s="2187"/>
    </row>
    <row r="13" spans="1:63" s="409" customFormat="1" ht="27.75" customHeight="1" x14ac:dyDescent="0.25">
      <c r="A13" s="928"/>
      <c r="B13" s="929"/>
      <c r="C13" s="929"/>
      <c r="D13" s="940"/>
      <c r="E13" s="941"/>
      <c r="F13" s="942"/>
      <c r="G13" s="691"/>
      <c r="H13" s="691"/>
      <c r="I13" s="943"/>
      <c r="J13" s="2188"/>
      <c r="K13" s="2784"/>
      <c r="L13" s="2784"/>
      <c r="M13" s="2774"/>
      <c r="N13" s="843" t="s">
        <v>969</v>
      </c>
      <c r="O13" s="2858"/>
      <c r="P13" s="3021"/>
      <c r="Q13" s="3026"/>
      <c r="R13" s="2825"/>
      <c r="S13" s="2793"/>
      <c r="T13" s="3028"/>
      <c r="U13" s="3028"/>
      <c r="V13" s="3031"/>
      <c r="W13" s="2200"/>
      <c r="X13" s="2187"/>
      <c r="Y13" s="2223"/>
      <c r="Z13" s="2223"/>
      <c r="AA13" s="2223"/>
      <c r="AB13" s="2223"/>
      <c r="AC13" s="2223"/>
      <c r="AD13" s="2223"/>
      <c r="AE13" s="2223"/>
      <c r="AF13" s="2223"/>
      <c r="AG13" s="2223"/>
      <c r="AH13" s="2223"/>
      <c r="AI13" s="2223"/>
      <c r="AJ13" s="2223"/>
      <c r="AK13" s="2223"/>
      <c r="AL13" s="2223"/>
      <c r="AM13" s="2223"/>
      <c r="AN13" s="2223"/>
      <c r="AO13" s="2223"/>
      <c r="AP13" s="2223"/>
      <c r="AQ13" s="2187"/>
    </row>
    <row r="14" spans="1:63" s="409" customFormat="1" ht="48" customHeight="1" x14ac:dyDescent="0.25">
      <c r="A14" s="928"/>
      <c r="B14" s="929"/>
      <c r="C14" s="929"/>
      <c r="D14" s="940"/>
      <c r="E14" s="941"/>
      <c r="F14" s="942"/>
      <c r="G14" s="691"/>
      <c r="H14" s="691"/>
      <c r="I14" s="943"/>
      <c r="J14" s="2186">
        <v>66</v>
      </c>
      <c r="K14" s="2783" t="s">
        <v>970</v>
      </c>
      <c r="L14" s="2783" t="s">
        <v>971</v>
      </c>
      <c r="M14" s="2772">
        <v>1</v>
      </c>
      <c r="N14" s="850" t="s">
        <v>972</v>
      </c>
      <c r="O14" s="2858"/>
      <c r="P14" s="3021"/>
      <c r="Q14" s="3033">
        <f>SUM(V14:V16)/R11</f>
        <v>0.64972719430423309</v>
      </c>
      <c r="R14" s="2825"/>
      <c r="S14" s="2793"/>
      <c r="T14" s="2148" t="s">
        <v>973</v>
      </c>
      <c r="U14" s="3034" t="s">
        <v>974</v>
      </c>
      <c r="V14" s="2682">
        <f>7780000000+622078305+1977067+35181428+740763200+643761133+30000000-403504909+454906981</f>
        <v>9905163205</v>
      </c>
      <c r="W14" s="2200"/>
      <c r="X14" s="2187"/>
      <c r="Y14" s="2223"/>
      <c r="Z14" s="2223"/>
      <c r="AA14" s="2223"/>
      <c r="AB14" s="2223"/>
      <c r="AC14" s="2223"/>
      <c r="AD14" s="2223"/>
      <c r="AE14" s="2223"/>
      <c r="AF14" s="2223"/>
      <c r="AG14" s="2223"/>
      <c r="AH14" s="2223"/>
      <c r="AI14" s="2223"/>
      <c r="AJ14" s="2223"/>
      <c r="AK14" s="2223"/>
      <c r="AL14" s="2223"/>
      <c r="AM14" s="2223"/>
      <c r="AN14" s="2223"/>
      <c r="AO14" s="2223"/>
      <c r="AP14" s="2223"/>
      <c r="AQ14" s="2187"/>
    </row>
    <row r="15" spans="1:63" s="409" customFormat="1" ht="61.5" customHeight="1" x14ac:dyDescent="0.25">
      <c r="A15" s="928"/>
      <c r="B15" s="929"/>
      <c r="C15" s="929"/>
      <c r="D15" s="940"/>
      <c r="E15" s="941"/>
      <c r="F15" s="942"/>
      <c r="G15" s="691"/>
      <c r="H15" s="691"/>
      <c r="I15" s="943"/>
      <c r="J15" s="2187"/>
      <c r="K15" s="2793"/>
      <c r="L15" s="2793"/>
      <c r="M15" s="2773"/>
      <c r="N15" s="850" t="s">
        <v>975</v>
      </c>
      <c r="O15" s="2858"/>
      <c r="P15" s="3021"/>
      <c r="Q15" s="3025"/>
      <c r="R15" s="2825"/>
      <c r="S15" s="2793"/>
      <c r="T15" s="2218"/>
      <c r="U15" s="3035"/>
      <c r="V15" s="3032"/>
      <c r="W15" s="2200"/>
      <c r="X15" s="2187"/>
      <c r="Y15" s="2223"/>
      <c r="Z15" s="2223"/>
      <c r="AA15" s="2223"/>
      <c r="AB15" s="2223"/>
      <c r="AC15" s="2223"/>
      <c r="AD15" s="2223"/>
      <c r="AE15" s="2223"/>
      <c r="AF15" s="2223"/>
      <c r="AG15" s="2223"/>
      <c r="AH15" s="2223"/>
      <c r="AI15" s="2223"/>
      <c r="AJ15" s="2223"/>
      <c r="AK15" s="2223"/>
      <c r="AL15" s="2223"/>
      <c r="AM15" s="2223"/>
      <c r="AN15" s="2223"/>
      <c r="AO15" s="2223"/>
      <c r="AP15" s="2223"/>
      <c r="AQ15" s="2187"/>
    </row>
    <row r="16" spans="1:63" s="409" customFormat="1" ht="70.5" customHeight="1" x14ac:dyDescent="0.25">
      <c r="A16" s="928"/>
      <c r="B16" s="929"/>
      <c r="C16" s="929"/>
      <c r="D16" s="940"/>
      <c r="E16" s="941"/>
      <c r="F16" s="942"/>
      <c r="G16" s="691"/>
      <c r="H16" s="691"/>
      <c r="I16" s="943"/>
      <c r="J16" s="2188"/>
      <c r="K16" s="2784"/>
      <c r="L16" s="2784"/>
      <c r="M16" s="2774"/>
      <c r="N16" s="850"/>
      <c r="O16" s="2858"/>
      <c r="P16" s="3021"/>
      <c r="Q16" s="3026"/>
      <c r="R16" s="2825"/>
      <c r="S16" s="2793"/>
      <c r="T16" s="2179"/>
      <c r="U16" s="839" t="s">
        <v>976</v>
      </c>
      <c r="V16" s="944">
        <f>287000000</f>
        <v>287000000</v>
      </c>
      <c r="W16" s="2200"/>
      <c r="X16" s="2187"/>
      <c r="Y16" s="2223"/>
      <c r="Z16" s="2223"/>
      <c r="AA16" s="2223"/>
      <c r="AB16" s="2223"/>
      <c r="AC16" s="2223"/>
      <c r="AD16" s="2223"/>
      <c r="AE16" s="2223"/>
      <c r="AF16" s="2223"/>
      <c r="AG16" s="2223"/>
      <c r="AH16" s="2223"/>
      <c r="AI16" s="2223"/>
      <c r="AJ16" s="2223"/>
      <c r="AK16" s="2223"/>
      <c r="AL16" s="2223"/>
      <c r="AM16" s="2223"/>
      <c r="AN16" s="2223"/>
      <c r="AO16" s="2223"/>
      <c r="AP16" s="2223"/>
      <c r="AQ16" s="2187"/>
    </row>
    <row r="17" spans="1:44" s="946" customFormat="1" ht="51.75" customHeight="1" x14ac:dyDescent="0.25">
      <c r="A17" s="928"/>
      <c r="B17" s="929"/>
      <c r="C17" s="929"/>
      <c r="D17" s="940"/>
      <c r="E17" s="941"/>
      <c r="F17" s="942"/>
      <c r="G17" s="691"/>
      <c r="H17" s="691"/>
      <c r="I17" s="943"/>
      <c r="J17" s="2186">
        <v>67</v>
      </c>
      <c r="K17" s="2783" t="s">
        <v>977</v>
      </c>
      <c r="L17" s="2783" t="s">
        <v>978</v>
      </c>
      <c r="M17" s="2772">
        <v>1</v>
      </c>
      <c r="N17" s="850" t="s">
        <v>979</v>
      </c>
      <c r="O17" s="2858"/>
      <c r="P17" s="3021"/>
      <c r="Q17" s="3036">
        <f>SUM(V17:V18)/R11</f>
        <v>6.9536015985240243E-2</v>
      </c>
      <c r="R17" s="2825"/>
      <c r="S17" s="2793"/>
      <c r="T17" s="2148" t="s">
        <v>980</v>
      </c>
      <c r="U17" s="2148" t="s">
        <v>981</v>
      </c>
      <c r="V17" s="945">
        <v>190800000</v>
      </c>
      <c r="W17" s="2200"/>
      <c r="X17" s="2187"/>
      <c r="Y17" s="2223"/>
      <c r="Z17" s="2223"/>
      <c r="AA17" s="2223"/>
      <c r="AB17" s="2223"/>
      <c r="AC17" s="2223"/>
      <c r="AD17" s="2223"/>
      <c r="AE17" s="2223"/>
      <c r="AF17" s="2223"/>
      <c r="AG17" s="2223"/>
      <c r="AH17" s="2223"/>
      <c r="AI17" s="2223"/>
      <c r="AJ17" s="2223"/>
      <c r="AK17" s="2223"/>
      <c r="AL17" s="2223"/>
      <c r="AM17" s="2223"/>
      <c r="AN17" s="2223"/>
      <c r="AO17" s="2223"/>
      <c r="AP17" s="2223"/>
      <c r="AQ17" s="2187"/>
    </row>
    <row r="18" spans="1:44" s="409" customFormat="1" ht="79.5" customHeight="1" x14ac:dyDescent="0.25">
      <c r="A18" s="928"/>
      <c r="B18" s="929"/>
      <c r="C18" s="929"/>
      <c r="D18" s="940"/>
      <c r="E18" s="941"/>
      <c r="F18" s="942"/>
      <c r="G18" s="691"/>
      <c r="H18" s="691"/>
      <c r="I18" s="943"/>
      <c r="J18" s="2187"/>
      <c r="K18" s="2793"/>
      <c r="L18" s="2793"/>
      <c r="M18" s="2773"/>
      <c r="N18" s="845" t="s">
        <v>982</v>
      </c>
      <c r="O18" s="2858"/>
      <c r="P18" s="3022"/>
      <c r="Q18" s="3037"/>
      <c r="R18" s="2825"/>
      <c r="S18" s="2793"/>
      <c r="T18" s="2218"/>
      <c r="U18" s="2218"/>
      <c r="V18" s="878">
        <v>900000000</v>
      </c>
      <c r="W18" s="2177"/>
      <c r="X18" s="2188"/>
      <c r="Y18" s="2223"/>
      <c r="Z18" s="2223"/>
      <c r="AA18" s="2223"/>
      <c r="AB18" s="2223"/>
      <c r="AC18" s="2223"/>
      <c r="AD18" s="2223"/>
      <c r="AE18" s="2223"/>
      <c r="AF18" s="2223"/>
      <c r="AG18" s="2223"/>
      <c r="AH18" s="2223"/>
      <c r="AI18" s="2223"/>
      <c r="AJ18" s="2223"/>
      <c r="AK18" s="2223"/>
      <c r="AL18" s="2223"/>
      <c r="AM18" s="2223"/>
      <c r="AN18" s="2223"/>
      <c r="AO18" s="2223"/>
      <c r="AP18" s="2223"/>
      <c r="AQ18" s="2187"/>
    </row>
    <row r="19" spans="1:44" s="409" customFormat="1" ht="19.5" customHeight="1" x14ac:dyDescent="0.25">
      <c r="A19" s="947"/>
      <c r="B19" s="948"/>
      <c r="C19" s="948"/>
      <c r="D19" s="947"/>
      <c r="E19" s="948"/>
      <c r="F19" s="949"/>
      <c r="G19" s="950">
        <v>17</v>
      </c>
      <c r="H19" s="160" t="s">
        <v>983</v>
      </c>
      <c r="I19" s="160"/>
      <c r="J19" s="152"/>
      <c r="K19" s="598"/>
      <c r="L19" s="598"/>
      <c r="M19" s="152"/>
      <c r="N19" s="661"/>
      <c r="O19" s="152"/>
      <c r="P19" s="598"/>
      <c r="Q19" s="152"/>
      <c r="R19" s="620"/>
      <c r="S19" s="598"/>
      <c r="T19" s="598"/>
      <c r="U19" s="598"/>
      <c r="V19" s="951"/>
      <c r="W19" s="152"/>
      <c r="X19" s="152"/>
      <c r="Y19" s="152"/>
      <c r="Z19" s="152"/>
      <c r="AA19" s="152"/>
      <c r="AB19" s="152"/>
      <c r="AC19" s="152"/>
      <c r="AD19" s="152"/>
      <c r="AE19" s="152"/>
      <c r="AF19" s="152"/>
      <c r="AG19" s="152"/>
      <c r="AH19" s="152"/>
      <c r="AI19" s="152"/>
      <c r="AJ19" s="152"/>
      <c r="AK19" s="152"/>
      <c r="AL19" s="152"/>
      <c r="AM19" s="152"/>
      <c r="AN19" s="938"/>
      <c r="AO19" s="938"/>
      <c r="AP19" s="938"/>
      <c r="AQ19" s="952"/>
    </row>
    <row r="20" spans="1:44" s="409" customFormat="1" ht="94.5" customHeight="1" x14ac:dyDescent="0.25">
      <c r="A20" s="953"/>
      <c r="B20" s="954"/>
      <c r="C20" s="954"/>
      <c r="D20" s="955"/>
      <c r="E20" s="210"/>
      <c r="F20" s="210"/>
      <c r="G20" s="956"/>
      <c r="H20" s="957"/>
      <c r="I20" s="958"/>
      <c r="J20" s="959">
        <v>68</v>
      </c>
      <c r="K20" s="960" t="s">
        <v>984</v>
      </c>
      <c r="L20" s="960" t="s">
        <v>985</v>
      </c>
      <c r="M20" s="853">
        <v>4500</v>
      </c>
      <c r="N20" s="2773" t="s">
        <v>986</v>
      </c>
      <c r="O20" s="2773" t="s">
        <v>987</v>
      </c>
      <c r="P20" s="2793" t="s">
        <v>988</v>
      </c>
      <c r="Q20" s="961">
        <f>V20/R20*100</f>
        <v>0.50257167075652864</v>
      </c>
      <c r="R20" s="2825">
        <f>+V20+V21+V22+V23+V25+V26</f>
        <v>1432631487</v>
      </c>
      <c r="S20" s="2793" t="s">
        <v>989</v>
      </c>
      <c r="T20" s="2793" t="s">
        <v>990</v>
      </c>
      <c r="U20" s="962" t="s">
        <v>991</v>
      </c>
      <c r="V20" s="963">
        <v>7200000</v>
      </c>
      <c r="W20" s="873"/>
      <c r="X20" s="834"/>
      <c r="Y20" s="2223"/>
      <c r="Z20" s="2223"/>
      <c r="AA20" s="2223"/>
      <c r="AB20" s="2223"/>
      <c r="AC20" s="2223"/>
      <c r="AD20" s="2223">
        <v>93</v>
      </c>
      <c r="AE20" s="2223">
        <v>238</v>
      </c>
      <c r="AF20" s="2223">
        <v>245</v>
      </c>
      <c r="AG20" s="2223">
        <v>0</v>
      </c>
      <c r="AH20" s="2223">
        <v>0</v>
      </c>
      <c r="AI20" s="2223">
        <v>0</v>
      </c>
      <c r="AJ20" s="2223">
        <v>0</v>
      </c>
      <c r="AK20" s="2223">
        <v>2629</v>
      </c>
      <c r="AL20" s="2223">
        <v>2665</v>
      </c>
      <c r="AM20" s="2223">
        <v>2683</v>
      </c>
      <c r="AN20" s="2223">
        <v>14425</v>
      </c>
      <c r="AO20" s="2603">
        <v>43101</v>
      </c>
      <c r="AP20" s="2603">
        <v>43343</v>
      </c>
      <c r="AQ20" s="2187" t="s">
        <v>967</v>
      </c>
    </row>
    <row r="21" spans="1:44" s="409" customFormat="1" ht="75" customHeight="1" x14ac:dyDescent="0.25">
      <c r="A21" s="953"/>
      <c r="B21" s="954"/>
      <c r="C21" s="954"/>
      <c r="D21" s="955"/>
      <c r="E21" s="210"/>
      <c r="F21" s="210"/>
      <c r="G21" s="955"/>
      <c r="H21" s="210"/>
      <c r="I21" s="964"/>
      <c r="J21" s="965">
        <v>69</v>
      </c>
      <c r="K21" s="669" t="s">
        <v>992</v>
      </c>
      <c r="L21" s="960" t="s">
        <v>993</v>
      </c>
      <c r="M21" s="847">
        <v>1</v>
      </c>
      <c r="N21" s="2773"/>
      <c r="O21" s="2773"/>
      <c r="P21" s="2793"/>
      <c r="Q21" s="966">
        <f>+V21/R20*100</f>
        <v>0.50257167075652864</v>
      </c>
      <c r="R21" s="2825"/>
      <c r="S21" s="2793"/>
      <c r="T21" s="2793"/>
      <c r="U21" s="962" t="s">
        <v>994</v>
      </c>
      <c r="V21" s="963">
        <v>7200000</v>
      </c>
      <c r="W21" s="874"/>
      <c r="X21" s="835"/>
      <c r="Y21" s="2223"/>
      <c r="Z21" s="2223"/>
      <c r="AA21" s="2223"/>
      <c r="AB21" s="2223"/>
      <c r="AC21" s="2223"/>
      <c r="AD21" s="2223"/>
      <c r="AE21" s="2223"/>
      <c r="AF21" s="2223"/>
      <c r="AG21" s="2223"/>
      <c r="AH21" s="2223"/>
      <c r="AI21" s="2223"/>
      <c r="AJ21" s="2223"/>
      <c r="AK21" s="2223"/>
      <c r="AL21" s="2223"/>
      <c r="AM21" s="2223"/>
      <c r="AN21" s="2223"/>
      <c r="AO21" s="2223"/>
      <c r="AP21" s="2223"/>
      <c r="AQ21" s="2187"/>
    </row>
    <row r="22" spans="1:44" s="409" customFormat="1" ht="58.5" customHeight="1" x14ac:dyDescent="0.25">
      <c r="A22" s="953"/>
      <c r="B22" s="954"/>
      <c r="C22" s="954"/>
      <c r="D22" s="955"/>
      <c r="E22" s="210"/>
      <c r="F22" s="210"/>
      <c r="G22" s="955"/>
      <c r="H22" s="210"/>
      <c r="I22" s="964"/>
      <c r="J22" s="3038">
        <v>70</v>
      </c>
      <c r="K22" s="2783" t="s">
        <v>995</v>
      </c>
      <c r="L22" s="2823" t="s">
        <v>996</v>
      </c>
      <c r="M22" s="3006">
        <v>469</v>
      </c>
      <c r="N22" s="2773"/>
      <c r="O22" s="2773"/>
      <c r="P22" s="2793"/>
      <c r="Q22" s="3041">
        <f>+(V22+V23)/R20*100</f>
        <v>1.0051433415130573</v>
      </c>
      <c r="R22" s="2825"/>
      <c r="S22" s="2793"/>
      <c r="T22" s="2793"/>
      <c r="U22" s="837" t="s">
        <v>997</v>
      </c>
      <c r="V22" s="963">
        <v>10000000</v>
      </c>
      <c r="W22" s="874"/>
      <c r="X22" s="869"/>
      <c r="Y22" s="2223"/>
      <c r="Z22" s="2223"/>
      <c r="AA22" s="2223"/>
      <c r="AB22" s="2223"/>
      <c r="AC22" s="2223"/>
      <c r="AD22" s="2223"/>
      <c r="AE22" s="2223"/>
      <c r="AF22" s="2223"/>
      <c r="AG22" s="2223"/>
      <c r="AH22" s="2223"/>
      <c r="AI22" s="2223"/>
      <c r="AJ22" s="2223"/>
      <c r="AK22" s="2223"/>
      <c r="AL22" s="2223"/>
      <c r="AM22" s="2223"/>
      <c r="AN22" s="2223"/>
      <c r="AO22" s="2223"/>
      <c r="AP22" s="2223"/>
      <c r="AQ22" s="2187"/>
    </row>
    <row r="23" spans="1:44" s="409" customFormat="1" ht="89.25" customHeight="1" x14ac:dyDescent="0.25">
      <c r="A23" s="953"/>
      <c r="B23" s="954"/>
      <c r="C23" s="954"/>
      <c r="D23" s="955"/>
      <c r="E23" s="210"/>
      <c r="F23" s="210"/>
      <c r="G23" s="955"/>
      <c r="H23" s="210"/>
      <c r="I23" s="964"/>
      <c r="J23" s="3039"/>
      <c r="K23" s="2793"/>
      <c r="L23" s="2823"/>
      <c r="M23" s="3040"/>
      <c r="N23" s="2773"/>
      <c r="O23" s="2773"/>
      <c r="P23" s="2793"/>
      <c r="Q23" s="3042"/>
      <c r="R23" s="2825"/>
      <c r="S23" s="2793"/>
      <c r="T23" s="2793"/>
      <c r="U23" s="826" t="s">
        <v>998</v>
      </c>
      <c r="V23" s="830">
        <v>4400000</v>
      </c>
      <c r="W23" s="874">
        <v>20</v>
      </c>
      <c r="X23" s="869" t="s">
        <v>72</v>
      </c>
      <c r="Y23" s="2223"/>
      <c r="Z23" s="2223"/>
      <c r="AA23" s="2223"/>
      <c r="AB23" s="2223"/>
      <c r="AC23" s="2223"/>
      <c r="AD23" s="2223"/>
      <c r="AE23" s="2223"/>
      <c r="AF23" s="2223"/>
      <c r="AG23" s="2223"/>
      <c r="AH23" s="2223"/>
      <c r="AI23" s="2223"/>
      <c r="AJ23" s="2223"/>
      <c r="AK23" s="2223"/>
      <c r="AL23" s="2223"/>
      <c r="AM23" s="2223"/>
      <c r="AN23" s="2223"/>
      <c r="AO23" s="2223"/>
      <c r="AP23" s="2223"/>
      <c r="AQ23" s="2187"/>
    </row>
    <row r="24" spans="1:44" s="409" customFormat="1" ht="85.5" customHeight="1" x14ac:dyDescent="0.25">
      <c r="A24" s="953"/>
      <c r="B24" s="954"/>
      <c r="C24" s="954"/>
      <c r="D24" s="955"/>
      <c r="E24" s="210"/>
      <c r="F24" s="210"/>
      <c r="G24" s="955"/>
      <c r="H24" s="210"/>
      <c r="I24" s="964"/>
      <c r="J24" s="965">
        <v>71</v>
      </c>
      <c r="K24" s="669" t="s">
        <v>999</v>
      </c>
      <c r="L24" s="669" t="s">
        <v>1000</v>
      </c>
      <c r="M24" s="854">
        <v>2469</v>
      </c>
      <c r="N24" s="2773"/>
      <c r="O24" s="2773"/>
      <c r="P24" s="2793"/>
      <c r="Q24" s="966">
        <f>+V24/R20*100</f>
        <v>0</v>
      </c>
      <c r="R24" s="2825"/>
      <c r="S24" s="2793"/>
      <c r="T24" s="2793"/>
      <c r="U24" s="837" t="s">
        <v>1001</v>
      </c>
      <c r="V24" s="967">
        <v>0</v>
      </c>
      <c r="W24" s="874">
        <v>25</v>
      </c>
      <c r="X24" s="869" t="s">
        <v>1002</v>
      </c>
      <c r="Y24" s="2223"/>
      <c r="Z24" s="2223"/>
      <c r="AA24" s="2223"/>
      <c r="AB24" s="2223"/>
      <c r="AC24" s="2223"/>
      <c r="AD24" s="2223"/>
      <c r="AE24" s="2223"/>
      <c r="AF24" s="2223"/>
      <c r="AG24" s="2223">
        <v>0</v>
      </c>
      <c r="AH24" s="2223"/>
      <c r="AI24" s="2223"/>
      <c r="AJ24" s="2223"/>
      <c r="AK24" s="2223"/>
      <c r="AL24" s="2223"/>
      <c r="AM24" s="2223"/>
      <c r="AN24" s="2223"/>
      <c r="AO24" s="2223"/>
      <c r="AP24" s="2223"/>
      <c r="AQ24" s="2187"/>
    </row>
    <row r="25" spans="1:44" s="409" customFormat="1" ht="85.5" customHeight="1" x14ac:dyDescent="0.25">
      <c r="A25" s="953"/>
      <c r="B25" s="954"/>
      <c r="C25" s="954"/>
      <c r="D25" s="955"/>
      <c r="E25" s="210"/>
      <c r="F25" s="210"/>
      <c r="G25" s="955"/>
      <c r="H25" s="210"/>
      <c r="I25" s="964"/>
      <c r="J25" s="965">
        <v>72</v>
      </c>
      <c r="K25" s="669" t="s">
        <v>1003</v>
      </c>
      <c r="L25" s="960" t="s">
        <v>1004</v>
      </c>
      <c r="M25" s="871">
        <v>455</v>
      </c>
      <c r="N25" s="2773"/>
      <c r="O25" s="2773"/>
      <c r="P25" s="2793"/>
      <c r="Q25" s="966">
        <f>+V25/R20*100</f>
        <v>0.50257167075652864</v>
      </c>
      <c r="R25" s="2825"/>
      <c r="S25" s="2793"/>
      <c r="T25" s="2793"/>
      <c r="U25" s="837" t="s">
        <v>1005</v>
      </c>
      <c r="V25" s="967">
        <v>7200000</v>
      </c>
      <c r="W25" s="874"/>
      <c r="X25" s="869"/>
      <c r="Y25" s="2223"/>
      <c r="Z25" s="2223"/>
      <c r="AA25" s="2223"/>
      <c r="AB25" s="2223"/>
      <c r="AC25" s="2223"/>
      <c r="AD25" s="2223"/>
      <c r="AE25" s="2223"/>
      <c r="AF25" s="2223"/>
      <c r="AG25" s="2223"/>
      <c r="AH25" s="2223"/>
      <c r="AI25" s="2223"/>
      <c r="AJ25" s="2223"/>
      <c r="AK25" s="2223"/>
      <c r="AL25" s="2223"/>
      <c r="AM25" s="2223"/>
      <c r="AN25" s="2223"/>
      <c r="AO25" s="2223"/>
      <c r="AP25" s="2223"/>
      <c r="AQ25" s="2187"/>
    </row>
    <row r="26" spans="1:44" s="409" customFormat="1" ht="86.25" customHeight="1" x14ac:dyDescent="0.25">
      <c r="A26" s="953"/>
      <c r="B26" s="954"/>
      <c r="C26" s="954"/>
      <c r="D26" s="955"/>
      <c r="E26" s="210"/>
      <c r="F26" s="210"/>
      <c r="G26" s="955"/>
      <c r="H26" s="210"/>
      <c r="I26" s="964"/>
      <c r="J26" s="968">
        <v>73</v>
      </c>
      <c r="K26" s="969" t="s">
        <v>1006</v>
      </c>
      <c r="L26" s="969" t="s">
        <v>794</v>
      </c>
      <c r="M26" s="873">
        <v>1</v>
      </c>
      <c r="N26" s="2773"/>
      <c r="O26" s="2773"/>
      <c r="P26" s="2793"/>
      <c r="Q26" s="966">
        <f>+V26/R20*100</f>
        <v>97.487141646217353</v>
      </c>
      <c r="R26" s="2825"/>
      <c r="S26" s="2793"/>
      <c r="T26" s="2793"/>
      <c r="U26" s="970" t="s">
        <v>1007</v>
      </c>
      <c r="V26" s="971">
        <f>1500000000-103368513</f>
        <v>1396631487</v>
      </c>
      <c r="W26" s="875"/>
      <c r="X26" s="870"/>
      <c r="Y26" s="2224"/>
      <c r="Z26" s="2224"/>
      <c r="AA26" s="2224"/>
      <c r="AB26" s="2224"/>
      <c r="AC26" s="2224"/>
      <c r="AD26" s="2224"/>
      <c r="AE26" s="2224"/>
      <c r="AF26" s="2224"/>
      <c r="AG26" s="2224"/>
      <c r="AH26" s="2224"/>
      <c r="AI26" s="2224"/>
      <c r="AJ26" s="2224"/>
      <c r="AK26" s="2224"/>
      <c r="AL26" s="2224"/>
      <c r="AM26" s="2224"/>
      <c r="AN26" s="2224"/>
      <c r="AO26" s="2224"/>
      <c r="AP26" s="2224"/>
      <c r="AQ26" s="2188"/>
    </row>
    <row r="27" spans="1:44" s="409" customFormat="1" ht="191.25" customHeight="1" x14ac:dyDescent="0.25">
      <c r="A27" s="953"/>
      <c r="B27" s="954"/>
      <c r="C27" s="954"/>
      <c r="D27" s="972"/>
      <c r="E27" s="973"/>
      <c r="F27" s="973"/>
      <c r="G27" s="972"/>
      <c r="H27" s="973"/>
      <c r="I27" s="974"/>
      <c r="J27" s="968">
        <v>74</v>
      </c>
      <c r="K27" s="969" t="s">
        <v>1008</v>
      </c>
      <c r="L27" s="969" t="s">
        <v>1009</v>
      </c>
      <c r="M27" s="873">
        <v>2232</v>
      </c>
      <c r="N27" s="844" t="s">
        <v>1010</v>
      </c>
      <c r="O27" s="844" t="s">
        <v>1011</v>
      </c>
      <c r="P27" s="969" t="s">
        <v>1012</v>
      </c>
      <c r="Q27" s="863">
        <v>1</v>
      </c>
      <c r="R27" s="868">
        <f>+V27</f>
        <v>139292232834</v>
      </c>
      <c r="S27" s="969" t="s">
        <v>1013</v>
      </c>
      <c r="T27" s="969" t="s">
        <v>1014</v>
      </c>
      <c r="U27" s="839" t="s">
        <v>1015</v>
      </c>
      <c r="V27" s="878">
        <f>139223938055+68294779</f>
        <v>139292232834</v>
      </c>
      <c r="W27" s="851" t="s">
        <v>1016</v>
      </c>
      <c r="X27" s="844" t="s">
        <v>1017</v>
      </c>
      <c r="Y27" s="860">
        <v>21554</v>
      </c>
      <c r="Z27" s="860">
        <v>22392</v>
      </c>
      <c r="AA27" s="873">
        <v>31677</v>
      </c>
      <c r="AB27" s="873">
        <v>10302</v>
      </c>
      <c r="AC27" s="873">
        <v>1874</v>
      </c>
      <c r="AD27" s="873">
        <v>93</v>
      </c>
      <c r="AE27" s="873">
        <v>238</v>
      </c>
      <c r="AF27" s="873">
        <v>245</v>
      </c>
      <c r="AG27" s="873">
        <v>0</v>
      </c>
      <c r="AH27" s="873">
        <v>0</v>
      </c>
      <c r="AI27" s="975">
        <v>0</v>
      </c>
      <c r="AJ27" s="976">
        <v>0</v>
      </c>
      <c r="AK27" s="976">
        <v>2629</v>
      </c>
      <c r="AL27" s="976">
        <v>2665</v>
      </c>
      <c r="AM27" s="976">
        <v>2683</v>
      </c>
      <c r="AN27" s="977">
        <v>43946</v>
      </c>
      <c r="AO27" s="978">
        <v>43101</v>
      </c>
      <c r="AP27" s="978">
        <v>43465</v>
      </c>
      <c r="AQ27" s="979" t="s">
        <v>967</v>
      </c>
    </row>
    <row r="28" spans="1:44" s="409" customFormat="1" ht="15.75" x14ac:dyDescent="0.25">
      <c r="A28" s="947"/>
      <c r="B28" s="948"/>
      <c r="C28" s="949"/>
      <c r="D28" s="701">
        <v>6</v>
      </c>
      <c r="E28" s="980" t="s">
        <v>1018</v>
      </c>
      <c r="F28" s="980"/>
      <c r="G28" s="980"/>
      <c r="H28" s="980"/>
      <c r="I28" s="980"/>
      <c r="J28" s="980"/>
      <c r="K28" s="243"/>
      <c r="L28" s="243"/>
      <c r="M28" s="242"/>
      <c r="N28" s="244"/>
      <c r="O28" s="244"/>
      <c r="P28" s="243"/>
      <c r="Q28" s="981"/>
      <c r="R28" s="982"/>
      <c r="S28" s="243"/>
      <c r="T28" s="243"/>
      <c r="U28" s="243"/>
      <c r="V28" s="983"/>
      <c r="W28" s="248"/>
      <c r="X28" s="244"/>
      <c r="Y28" s="244"/>
      <c r="Z28" s="244"/>
      <c r="AA28" s="242"/>
      <c r="AB28" s="242"/>
      <c r="AC28" s="242"/>
      <c r="AD28" s="242"/>
      <c r="AE28" s="242"/>
      <c r="AF28" s="242"/>
      <c r="AG28" s="242"/>
      <c r="AH28" s="984"/>
      <c r="AI28" s="984"/>
      <c r="AJ28" s="926"/>
      <c r="AK28" s="926"/>
      <c r="AL28" s="926"/>
      <c r="AM28" s="926"/>
      <c r="AN28" s="926"/>
      <c r="AO28" s="926"/>
      <c r="AP28" s="926"/>
      <c r="AQ28" s="985"/>
      <c r="AR28" s="986"/>
    </row>
    <row r="29" spans="1:44" s="409" customFormat="1" ht="15.75" x14ac:dyDescent="0.25">
      <c r="A29" s="947"/>
      <c r="B29" s="987"/>
      <c r="C29" s="987"/>
      <c r="D29" s="988"/>
      <c r="E29" s="989"/>
      <c r="F29" s="990"/>
      <c r="G29" s="991">
        <v>19</v>
      </c>
      <c r="H29" s="825" t="s">
        <v>1019</v>
      </c>
      <c r="I29" s="825"/>
      <c r="J29" s="825"/>
      <c r="K29" s="598"/>
      <c r="L29" s="598"/>
      <c r="M29" s="152"/>
      <c r="N29" s="599"/>
      <c r="O29" s="152"/>
      <c r="P29" s="598"/>
      <c r="Q29" s="152"/>
      <c r="R29" s="620"/>
      <c r="S29" s="598"/>
      <c r="T29" s="598"/>
      <c r="U29" s="598"/>
      <c r="V29" s="621"/>
      <c r="W29" s="152"/>
      <c r="X29" s="152"/>
      <c r="Y29" s="152"/>
      <c r="Z29" s="152"/>
      <c r="AA29" s="152"/>
      <c r="AB29" s="152"/>
      <c r="AC29" s="152"/>
      <c r="AD29" s="152"/>
      <c r="AE29" s="152"/>
      <c r="AF29" s="152"/>
      <c r="AG29" s="152"/>
      <c r="AH29" s="152"/>
      <c r="AI29" s="152"/>
      <c r="AJ29" s="938"/>
      <c r="AK29" s="938"/>
      <c r="AL29" s="938"/>
      <c r="AM29" s="938"/>
      <c r="AN29" s="938"/>
      <c r="AO29" s="938"/>
      <c r="AP29" s="938"/>
      <c r="AQ29" s="952"/>
      <c r="AR29" s="986"/>
    </row>
    <row r="30" spans="1:44" s="409" customFormat="1" ht="82.5" customHeight="1" x14ac:dyDescent="0.25">
      <c r="A30" s="728"/>
      <c r="B30" s="199"/>
      <c r="C30" s="199"/>
      <c r="D30" s="992"/>
      <c r="E30" s="987"/>
      <c r="F30" s="993"/>
      <c r="G30" s="199"/>
      <c r="H30" s="199"/>
      <c r="I30" s="199"/>
      <c r="J30" s="836">
        <v>75</v>
      </c>
      <c r="K30" s="960" t="s">
        <v>1020</v>
      </c>
      <c r="L30" s="960" t="s">
        <v>1021</v>
      </c>
      <c r="M30" s="853">
        <v>28</v>
      </c>
      <c r="N30" s="994"/>
      <c r="O30" s="2773" t="s">
        <v>1022</v>
      </c>
      <c r="P30" s="2793" t="s">
        <v>1023</v>
      </c>
      <c r="Q30" s="864">
        <v>0</v>
      </c>
      <c r="R30" s="2735">
        <f>+V31+V34</f>
        <v>248165345</v>
      </c>
      <c r="S30" s="2793" t="s">
        <v>1024</v>
      </c>
      <c r="T30" s="960" t="s">
        <v>1025</v>
      </c>
      <c r="U30" s="995" t="s">
        <v>1026</v>
      </c>
      <c r="V30" s="996"/>
      <c r="W30" s="2961" t="s">
        <v>1027</v>
      </c>
      <c r="X30" s="2772" t="s">
        <v>1028</v>
      </c>
      <c r="Y30" s="3040">
        <v>21554</v>
      </c>
      <c r="Z30" s="3040">
        <v>22392</v>
      </c>
      <c r="AA30" s="3040">
        <v>31677</v>
      </c>
      <c r="AB30" s="3040">
        <v>10302</v>
      </c>
      <c r="AC30" s="3040">
        <v>1874</v>
      </c>
      <c r="AD30" s="3040">
        <v>93</v>
      </c>
      <c r="AE30" s="3040">
        <v>238</v>
      </c>
      <c r="AF30" s="3040">
        <v>245</v>
      </c>
      <c r="AG30" s="3040">
        <v>0</v>
      </c>
      <c r="AH30" s="3040">
        <v>0</v>
      </c>
      <c r="AI30" s="3040">
        <v>0</v>
      </c>
      <c r="AJ30" s="3040">
        <v>0</v>
      </c>
      <c r="AK30" s="3040">
        <v>2629</v>
      </c>
      <c r="AL30" s="3040">
        <v>2629</v>
      </c>
      <c r="AM30" s="3040">
        <v>2683</v>
      </c>
      <c r="AN30" s="3040">
        <v>43946</v>
      </c>
      <c r="AO30" s="3007">
        <v>43132</v>
      </c>
      <c r="AP30" s="3007">
        <v>43343</v>
      </c>
      <c r="AQ30" s="2773" t="s">
        <v>1029</v>
      </c>
      <c r="AR30" s="986"/>
    </row>
    <row r="31" spans="1:44" s="409" customFormat="1" ht="128.25" customHeight="1" x14ac:dyDescent="0.25">
      <c r="A31" s="955"/>
      <c r="B31" s="210"/>
      <c r="C31" s="210"/>
      <c r="D31" s="992"/>
      <c r="E31" s="987"/>
      <c r="F31" s="993"/>
      <c r="G31" s="199"/>
      <c r="H31" s="199"/>
      <c r="I31" s="199"/>
      <c r="J31" s="834">
        <v>76</v>
      </c>
      <c r="K31" s="969" t="s">
        <v>1030</v>
      </c>
      <c r="L31" s="969" t="s">
        <v>1031</v>
      </c>
      <c r="M31" s="848">
        <v>1050</v>
      </c>
      <c r="N31" s="2773" t="s">
        <v>1032</v>
      </c>
      <c r="O31" s="2773"/>
      <c r="P31" s="2793"/>
      <c r="Q31" s="863">
        <f>+V31/R30</f>
        <v>0.93633277039547969</v>
      </c>
      <c r="R31" s="2735"/>
      <c r="S31" s="2793"/>
      <c r="T31" s="969" t="s">
        <v>1033</v>
      </c>
      <c r="U31" s="828" t="s">
        <v>1034</v>
      </c>
      <c r="V31" s="971">
        <f>244825000-12459655</f>
        <v>232365345</v>
      </c>
      <c r="W31" s="2962"/>
      <c r="X31" s="2773"/>
      <c r="Y31" s="3040"/>
      <c r="Z31" s="3040"/>
      <c r="AA31" s="3040"/>
      <c r="AB31" s="3040"/>
      <c r="AC31" s="3040"/>
      <c r="AD31" s="3040"/>
      <c r="AE31" s="3040"/>
      <c r="AF31" s="3040"/>
      <c r="AG31" s="3040"/>
      <c r="AH31" s="3040"/>
      <c r="AI31" s="3040"/>
      <c r="AJ31" s="3040"/>
      <c r="AK31" s="3040"/>
      <c r="AL31" s="3040"/>
      <c r="AM31" s="3040"/>
      <c r="AN31" s="3040"/>
      <c r="AO31" s="3040"/>
      <c r="AP31" s="3040"/>
      <c r="AQ31" s="2773"/>
      <c r="AR31" s="986"/>
    </row>
    <row r="32" spans="1:44" s="409" customFormat="1" ht="67.5" customHeight="1" x14ac:dyDescent="0.25">
      <c r="A32" s="955"/>
      <c r="B32" s="210"/>
      <c r="C32" s="210"/>
      <c r="D32" s="992"/>
      <c r="E32" s="987"/>
      <c r="F32" s="993"/>
      <c r="G32" s="199"/>
      <c r="H32" s="199"/>
      <c r="I32" s="199"/>
      <c r="J32" s="827">
        <v>77</v>
      </c>
      <c r="K32" s="669" t="s">
        <v>1035</v>
      </c>
      <c r="L32" s="669" t="s">
        <v>1036</v>
      </c>
      <c r="M32" s="847">
        <v>73</v>
      </c>
      <c r="N32" s="2773"/>
      <c r="O32" s="2773"/>
      <c r="P32" s="2793"/>
      <c r="Q32" s="872">
        <v>0</v>
      </c>
      <c r="R32" s="2735"/>
      <c r="S32" s="2793"/>
      <c r="T32" s="669" t="s">
        <v>1037</v>
      </c>
      <c r="U32" s="837" t="s">
        <v>1038</v>
      </c>
      <c r="V32" s="997"/>
      <c r="W32" s="2962"/>
      <c r="X32" s="2773"/>
      <c r="Y32" s="3040"/>
      <c r="Z32" s="3040"/>
      <c r="AA32" s="3040"/>
      <c r="AB32" s="3040"/>
      <c r="AC32" s="3040"/>
      <c r="AD32" s="3040"/>
      <c r="AE32" s="3040"/>
      <c r="AF32" s="3040"/>
      <c r="AG32" s="3040"/>
      <c r="AH32" s="3040"/>
      <c r="AI32" s="3040"/>
      <c r="AJ32" s="3040"/>
      <c r="AK32" s="3040"/>
      <c r="AL32" s="3040"/>
      <c r="AM32" s="3040"/>
      <c r="AN32" s="3040"/>
      <c r="AO32" s="3040"/>
      <c r="AP32" s="3040"/>
      <c r="AQ32" s="2773"/>
      <c r="AR32" s="986"/>
    </row>
    <row r="33" spans="1:44" s="409" customFormat="1" ht="106.5" customHeight="1" x14ac:dyDescent="0.25">
      <c r="A33" s="955"/>
      <c r="B33" s="210"/>
      <c r="C33" s="210"/>
      <c r="D33" s="992"/>
      <c r="E33" s="987"/>
      <c r="F33" s="993"/>
      <c r="G33" s="199"/>
      <c r="H33" s="199"/>
      <c r="I33" s="199"/>
      <c r="J33" s="827">
        <v>78</v>
      </c>
      <c r="K33" s="669" t="s">
        <v>1039</v>
      </c>
      <c r="L33" s="669" t="s">
        <v>1040</v>
      </c>
      <c r="M33" s="847">
        <v>14</v>
      </c>
      <c r="N33" s="2773"/>
      <c r="O33" s="2773"/>
      <c r="P33" s="2793"/>
      <c r="Q33" s="872">
        <v>0</v>
      </c>
      <c r="R33" s="2735"/>
      <c r="S33" s="2793"/>
      <c r="T33" s="669" t="s">
        <v>1041</v>
      </c>
      <c r="U33" s="837" t="s">
        <v>1042</v>
      </c>
      <c r="V33" s="997"/>
      <c r="W33" s="2962"/>
      <c r="X33" s="2773"/>
      <c r="Y33" s="3040"/>
      <c r="Z33" s="3040"/>
      <c r="AA33" s="3040"/>
      <c r="AB33" s="3040"/>
      <c r="AC33" s="3040"/>
      <c r="AD33" s="3040"/>
      <c r="AE33" s="3040"/>
      <c r="AF33" s="3040"/>
      <c r="AG33" s="3040"/>
      <c r="AH33" s="3040"/>
      <c r="AI33" s="3040"/>
      <c r="AJ33" s="3040"/>
      <c r="AK33" s="3040"/>
      <c r="AL33" s="3040"/>
      <c r="AM33" s="3040"/>
      <c r="AN33" s="3040"/>
      <c r="AO33" s="3040"/>
      <c r="AP33" s="3040"/>
      <c r="AQ33" s="2773"/>
      <c r="AR33" s="998"/>
    </row>
    <row r="34" spans="1:44" s="409" customFormat="1" ht="99" customHeight="1" x14ac:dyDescent="0.25">
      <c r="A34" s="955"/>
      <c r="B34" s="210"/>
      <c r="C34" s="210"/>
      <c r="D34" s="992"/>
      <c r="E34" s="987"/>
      <c r="F34" s="993"/>
      <c r="G34" s="199"/>
      <c r="H34" s="199"/>
      <c r="I34" s="199"/>
      <c r="J34" s="827">
        <v>79</v>
      </c>
      <c r="K34" s="669" t="s">
        <v>1043</v>
      </c>
      <c r="L34" s="669" t="s">
        <v>1044</v>
      </c>
      <c r="M34" s="847">
        <v>213</v>
      </c>
      <c r="N34" s="2773"/>
      <c r="O34" s="2773"/>
      <c r="P34" s="2793"/>
      <c r="Q34" s="872">
        <f>+V34/R30</f>
        <v>6.3667229604520328E-2</v>
      </c>
      <c r="R34" s="2735"/>
      <c r="S34" s="2793"/>
      <c r="T34" s="669" t="s">
        <v>1045</v>
      </c>
      <c r="U34" s="837" t="s">
        <v>1046</v>
      </c>
      <c r="V34" s="967">
        <v>15800000</v>
      </c>
      <c r="W34" s="2962"/>
      <c r="X34" s="2773"/>
      <c r="Y34" s="3040"/>
      <c r="Z34" s="3040"/>
      <c r="AA34" s="3040"/>
      <c r="AB34" s="3040"/>
      <c r="AC34" s="3040"/>
      <c r="AD34" s="3040"/>
      <c r="AE34" s="3040"/>
      <c r="AF34" s="3040"/>
      <c r="AG34" s="3040"/>
      <c r="AH34" s="3040"/>
      <c r="AI34" s="3040"/>
      <c r="AJ34" s="3040"/>
      <c r="AK34" s="3040"/>
      <c r="AL34" s="3040"/>
      <c r="AM34" s="3040"/>
      <c r="AN34" s="3040"/>
      <c r="AO34" s="3040"/>
      <c r="AP34" s="3040"/>
      <c r="AQ34" s="2773"/>
    </row>
    <row r="35" spans="1:44" s="409" customFormat="1" ht="79.5" customHeight="1" x14ac:dyDescent="0.25">
      <c r="A35" s="955"/>
      <c r="B35" s="210"/>
      <c r="C35" s="210"/>
      <c r="D35" s="992"/>
      <c r="E35" s="987"/>
      <c r="F35" s="993"/>
      <c r="G35" s="199"/>
      <c r="H35" s="199"/>
      <c r="I35" s="199"/>
      <c r="J35" s="827">
        <v>80</v>
      </c>
      <c r="K35" s="669" t="s">
        <v>1047</v>
      </c>
      <c r="L35" s="669" t="s">
        <v>1048</v>
      </c>
      <c r="M35" s="847">
        <v>4476</v>
      </c>
      <c r="N35" s="2773"/>
      <c r="O35" s="2773"/>
      <c r="P35" s="2793"/>
      <c r="Q35" s="872">
        <v>0</v>
      </c>
      <c r="R35" s="2735"/>
      <c r="S35" s="2793"/>
      <c r="T35" s="669" t="s">
        <v>1049</v>
      </c>
      <c r="U35" s="837" t="s">
        <v>1050</v>
      </c>
      <c r="V35" s="997"/>
      <c r="W35" s="2962"/>
      <c r="X35" s="2773"/>
      <c r="Y35" s="3040"/>
      <c r="Z35" s="3040"/>
      <c r="AA35" s="3040"/>
      <c r="AB35" s="3040"/>
      <c r="AC35" s="3040"/>
      <c r="AD35" s="3040"/>
      <c r="AE35" s="3040"/>
      <c r="AF35" s="3040"/>
      <c r="AG35" s="3040"/>
      <c r="AH35" s="3040"/>
      <c r="AI35" s="3040"/>
      <c r="AJ35" s="3040"/>
      <c r="AK35" s="3040"/>
      <c r="AL35" s="3040"/>
      <c r="AM35" s="3040"/>
      <c r="AN35" s="3040"/>
      <c r="AO35" s="3040"/>
      <c r="AP35" s="3040"/>
      <c r="AQ35" s="2773"/>
    </row>
    <row r="36" spans="1:44" s="409" customFormat="1" ht="90" customHeight="1" x14ac:dyDescent="0.25">
      <c r="A36" s="955"/>
      <c r="B36" s="210"/>
      <c r="C36" s="210"/>
      <c r="D36" s="992"/>
      <c r="E36" s="987"/>
      <c r="F36" s="993"/>
      <c r="G36" s="199"/>
      <c r="H36" s="199"/>
      <c r="I36" s="199"/>
      <c r="J36" s="827">
        <v>81</v>
      </c>
      <c r="K36" s="669" t="s">
        <v>1051</v>
      </c>
      <c r="L36" s="669" t="s">
        <v>1052</v>
      </c>
      <c r="M36" s="847">
        <v>32</v>
      </c>
      <c r="N36" s="2773"/>
      <c r="O36" s="2773"/>
      <c r="P36" s="2793"/>
      <c r="Q36" s="872">
        <v>0</v>
      </c>
      <c r="R36" s="2735"/>
      <c r="S36" s="2793"/>
      <c r="T36" s="669" t="s">
        <v>1025</v>
      </c>
      <c r="U36" s="837" t="s">
        <v>1053</v>
      </c>
      <c r="V36" s="997"/>
      <c r="W36" s="2962"/>
      <c r="X36" s="2773"/>
      <c r="Y36" s="3040"/>
      <c r="Z36" s="3040"/>
      <c r="AA36" s="3040"/>
      <c r="AB36" s="3040"/>
      <c r="AC36" s="3040"/>
      <c r="AD36" s="3040"/>
      <c r="AE36" s="3040"/>
      <c r="AF36" s="3040"/>
      <c r="AG36" s="3040"/>
      <c r="AH36" s="3040"/>
      <c r="AI36" s="3040"/>
      <c r="AJ36" s="3040"/>
      <c r="AK36" s="3040"/>
      <c r="AL36" s="3040"/>
      <c r="AM36" s="3040"/>
      <c r="AN36" s="3040"/>
      <c r="AO36" s="3040"/>
      <c r="AP36" s="3040"/>
      <c r="AQ36" s="2773"/>
    </row>
    <row r="37" spans="1:44" s="409" customFormat="1" ht="91.5" customHeight="1" x14ac:dyDescent="0.25">
      <c r="A37" s="955"/>
      <c r="B37" s="210"/>
      <c r="C37" s="210"/>
      <c r="D37" s="992"/>
      <c r="E37" s="987"/>
      <c r="F37" s="993"/>
      <c r="G37" s="199"/>
      <c r="H37" s="199"/>
      <c r="I37" s="199"/>
      <c r="J37" s="834">
        <v>82</v>
      </c>
      <c r="K37" s="969" t="s">
        <v>1054</v>
      </c>
      <c r="L37" s="969" t="s">
        <v>1055</v>
      </c>
      <c r="M37" s="848">
        <v>32</v>
      </c>
      <c r="N37" s="2774"/>
      <c r="O37" s="2773"/>
      <c r="P37" s="2793"/>
      <c r="Q37" s="863">
        <v>0</v>
      </c>
      <c r="R37" s="2735"/>
      <c r="S37" s="2793"/>
      <c r="T37" s="969" t="s">
        <v>1025</v>
      </c>
      <c r="U37" s="839" t="s">
        <v>1056</v>
      </c>
      <c r="V37" s="999"/>
      <c r="W37" s="3043"/>
      <c r="X37" s="2774"/>
      <c r="Y37" s="3040"/>
      <c r="Z37" s="3040"/>
      <c r="AA37" s="3040"/>
      <c r="AB37" s="3040"/>
      <c r="AC37" s="3040"/>
      <c r="AD37" s="3040"/>
      <c r="AE37" s="3040"/>
      <c r="AF37" s="3040"/>
      <c r="AG37" s="3040"/>
      <c r="AH37" s="3040"/>
      <c r="AI37" s="3040"/>
      <c r="AJ37" s="3040"/>
      <c r="AK37" s="3040"/>
      <c r="AL37" s="3040"/>
      <c r="AM37" s="3040"/>
      <c r="AN37" s="3040"/>
      <c r="AO37" s="3040"/>
      <c r="AP37" s="3040"/>
      <c r="AQ37" s="2773"/>
    </row>
    <row r="38" spans="1:44" s="409" customFormat="1" ht="15.75" x14ac:dyDescent="0.25">
      <c r="A38" s="955"/>
      <c r="B38" s="210"/>
      <c r="C38" s="210"/>
      <c r="D38" s="955"/>
      <c r="E38" s="210"/>
      <c r="F38" s="964"/>
      <c r="G38" s="991">
        <v>20</v>
      </c>
      <c r="H38" s="825" t="s">
        <v>1057</v>
      </c>
      <c r="I38" s="825"/>
      <c r="J38" s="825"/>
      <c r="K38" s="598"/>
      <c r="L38" s="598"/>
      <c r="M38" s="152"/>
      <c r="N38" s="599"/>
      <c r="O38" s="152"/>
      <c r="P38" s="598"/>
      <c r="Q38" s="152"/>
      <c r="R38" s="620"/>
      <c r="S38" s="598"/>
      <c r="T38" s="598"/>
      <c r="U38" s="598"/>
      <c r="V38" s="621"/>
      <c r="W38" s="152"/>
      <c r="X38" s="152"/>
      <c r="Y38" s="152"/>
      <c r="Z38" s="152"/>
      <c r="AA38" s="152"/>
      <c r="AB38" s="152"/>
      <c r="AC38" s="152"/>
      <c r="AD38" s="152"/>
      <c r="AE38" s="152"/>
      <c r="AF38" s="152"/>
      <c r="AG38" s="152"/>
      <c r="AH38" s="152"/>
      <c r="AI38" s="152"/>
      <c r="AJ38" s="938"/>
      <c r="AK38" s="938"/>
      <c r="AL38" s="938"/>
      <c r="AM38" s="938"/>
      <c r="AN38" s="938"/>
      <c r="AO38" s="938"/>
      <c r="AP38" s="938"/>
      <c r="AQ38" s="952"/>
    </row>
    <row r="39" spans="1:44" s="409" customFormat="1" ht="60" customHeight="1" x14ac:dyDescent="0.25">
      <c r="A39" s="649"/>
      <c r="B39" s="109"/>
      <c r="C39" s="109"/>
      <c r="D39" s="1000"/>
      <c r="E39" s="1001"/>
      <c r="F39" s="1002"/>
      <c r="G39" s="2706"/>
      <c r="H39" s="2706"/>
      <c r="I39" s="2707"/>
      <c r="J39" s="835">
        <v>83</v>
      </c>
      <c r="K39" s="995" t="s">
        <v>1058</v>
      </c>
      <c r="L39" s="995" t="s">
        <v>1059</v>
      </c>
      <c r="M39" s="853">
        <v>47</v>
      </c>
      <c r="N39" s="833"/>
      <c r="O39" s="2187" t="s">
        <v>1060</v>
      </c>
      <c r="P39" s="2218" t="s">
        <v>1061</v>
      </c>
      <c r="Q39" s="1003">
        <f>V39/R39</f>
        <v>0.33613545967567598</v>
      </c>
      <c r="R39" s="3030">
        <f>SUM(V39:V52)</f>
        <v>333496502</v>
      </c>
      <c r="S39" s="2218" t="s">
        <v>1062</v>
      </c>
      <c r="T39" s="995" t="s">
        <v>1063</v>
      </c>
      <c r="U39" s="204" t="s">
        <v>1064</v>
      </c>
      <c r="V39" s="967">
        <v>112100000</v>
      </c>
      <c r="W39" s="2156" t="s">
        <v>1065</v>
      </c>
      <c r="X39" s="2186" t="s">
        <v>1066</v>
      </c>
      <c r="Y39" s="2222">
        <v>21554</v>
      </c>
      <c r="Z39" s="2222">
        <v>22392</v>
      </c>
      <c r="AA39" s="2150">
        <v>31677</v>
      </c>
      <c r="AB39" s="2150">
        <v>10302</v>
      </c>
      <c r="AC39" s="2150">
        <v>1874</v>
      </c>
      <c r="AD39" s="2150">
        <v>93</v>
      </c>
      <c r="AE39" s="2150">
        <v>238</v>
      </c>
      <c r="AF39" s="2150">
        <v>245</v>
      </c>
      <c r="AG39" s="2150"/>
      <c r="AH39" s="2150"/>
      <c r="AI39" s="2150"/>
      <c r="AJ39" s="2150"/>
      <c r="AK39" s="2150"/>
      <c r="AL39" s="2150">
        <v>2665</v>
      </c>
      <c r="AM39" s="2150">
        <v>2683</v>
      </c>
      <c r="AN39" s="2150">
        <v>43946</v>
      </c>
      <c r="AO39" s="1004">
        <v>43101</v>
      </c>
      <c r="AP39" s="1004">
        <v>43343</v>
      </c>
      <c r="AQ39" s="3044" t="s">
        <v>1029</v>
      </c>
    </row>
    <row r="40" spans="1:44" s="409" customFormat="1" ht="61.5" customHeight="1" x14ac:dyDescent="0.25">
      <c r="A40" s="649"/>
      <c r="B40" s="109"/>
      <c r="C40" s="109"/>
      <c r="D40" s="1000"/>
      <c r="E40" s="1001"/>
      <c r="F40" s="1002"/>
      <c r="G40" s="2706"/>
      <c r="H40" s="2706"/>
      <c r="I40" s="2707"/>
      <c r="J40" s="827">
        <v>84</v>
      </c>
      <c r="K40" s="837" t="s">
        <v>1067</v>
      </c>
      <c r="L40" s="837" t="s">
        <v>1068</v>
      </c>
      <c r="M40" s="827">
        <v>26</v>
      </c>
      <c r="N40" s="833"/>
      <c r="O40" s="2187"/>
      <c r="P40" s="2218"/>
      <c r="Q40" s="1005">
        <f>+V40/R39</f>
        <v>0</v>
      </c>
      <c r="R40" s="3030"/>
      <c r="S40" s="2218"/>
      <c r="T40" s="837" t="s">
        <v>1069</v>
      </c>
      <c r="U40" s="837" t="s">
        <v>1070</v>
      </c>
      <c r="V40" s="997"/>
      <c r="W40" s="2151"/>
      <c r="X40" s="2187"/>
      <c r="Y40" s="2223"/>
      <c r="Z40" s="2223"/>
      <c r="AA40" s="2151"/>
      <c r="AB40" s="2151"/>
      <c r="AC40" s="2151"/>
      <c r="AD40" s="2151"/>
      <c r="AE40" s="2151"/>
      <c r="AF40" s="2151"/>
      <c r="AG40" s="2151"/>
      <c r="AH40" s="2151"/>
      <c r="AI40" s="2151"/>
      <c r="AJ40" s="2151"/>
      <c r="AK40" s="2151"/>
      <c r="AL40" s="2151"/>
      <c r="AM40" s="2151"/>
      <c r="AN40" s="2151"/>
      <c r="AO40" s="1006"/>
      <c r="AP40" s="1006"/>
      <c r="AQ40" s="3045"/>
    </row>
    <row r="41" spans="1:44" s="409" customFormat="1" ht="60" customHeight="1" x14ac:dyDescent="0.25">
      <c r="A41" s="649"/>
      <c r="B41" s="109"/>
      <c r="C41" s="109"/>
      <c r="D41" s="1000"/>
      <c r="E41" s="1001"/>
      <c r="F41" s="1002"/>
      <c r="G41" s="2706"/>
      <c r="H41" s="2706"/>
      <c r="I41" s="2707"/>
      <c r="J41" s="827">
        <v>85</v>
      </c>
      <c r="K41" s="837" t="s">
        <v>1071</v>
      </c>
      <c r="L41" s="837" t="s">
        <v>1072</v>
      </c>
      <c r="M41" s="827">
        <v>26</v>
      </c>
      <c r="N41" s="833"/>
      <c r="O41" s="2187"/>
      <c r="P41" s="2218"/>
      <c r="Q41" s="1005">
        <f>+V41/R39</f>
        <v>0</v>
      </c>
      <c r="R41" s="3030"/>
      <c r="S41" s="2218"/>
      <c r="T41" s="839" t="s">
        <v>1073</v>
      </c>
      <c r="U41" s="837" t="s">
        <v>1074</v>
      </c>
      <c r="V41" s="944">
        <f>16050000-16050000</f>
        <v>0</v>
      </c>
      <c r="W41" s="2151"/>
      <c r="X41" s="2187"/>
      <c r="Y41" s="2223"/>
      <c r="Z41" s="2223"/>
      <c r="AA41" s="2151"/>
      <c r="AB41" s="2151"/>
      <c r="AC41" s="2151"/>
      <c r="AD41" s="2151"/>
      <c r="AE41" s="2151"/>
      <c r="AF41" s="2151"/>
      <c r="AG41" s="2151"/>
      <c r="AH41" s="2151"/>
      <c r="AI41" s="2151"/>
      <c r="AJ41" s="2151"/>
      <c r="AK41" s="2151"/>
      <c r="AL41" s="2151"/>
      <c r="AM41" s="2151"/>
      <c r="AN41" s="2151"/>
      <c r="AO41" s="1006"/>
      <c r="AP41" s="1006"/>
      <c r="AQ41" s="3045"/>
    </row>
    <row r="42" spans="1:44" s="409" customFormat="1" ht="68.25" customHeight="1" x14ac:dyDescent="0.25">
      <c r="A42" s="649"/>
      <c r="B42" s="109"/>
      <c r="C42" s="109"/>
      <c r="D42" s="1000"/>
      <c r="E42" s="1001"/>
      <c r="F42" s="1002"/>
      <c r="G42" s="2706"/>
      <c r="H42" s="2706"/>
      <c r="I42" s="2707"/>
      <c r="J42" s="827">
        <v>87</v>
      </c>
      <c r="K42" s="837" t="s">
        <v>1075</v>
      </c>
      <c r="L42" s="837" t="s">
        <v>1076</v>
      </c>
      <c r="M42" s="827">
        <v>30</v>
      </c>
      <c r="N42" s="833"/>
      <c r="O42" s="2187"/>
      <c r="P42" s="2218"/>
      <c r="Q42" s="1005">
        <f>+V42/R39</f>
        <v>0.14992661002483318</v>
      </c>
      <c r="R42" s="3030"/>
      <c r="S42" s="2218"/>
      <c r="T42" s="837" t="s">
        <v>1077</v>
      </c>
      <c r="U42" s="837" t="s">
        <v>1078</v>
      </c>
      <c r="V42" s="944">
        <f>20000000+30000000</f>
        <v>50000000</v>
      </c>
      <c r="W42" s="2151"/>
      <c r="X42" s="2187"/>
      <c r="Y42" s="2223"/>
      <c r="Z42" s="2223"/>
      <c r="AA42" s="2151"/>
      <c r="AB42" s="2151"/>
      <c r="AC42" s="2151"/>
      <c r="AD42" s="2151"/>
      <c r="AE42" s="2151"/>
      <c r="AF42" s="2151"/>
      <c r="AG42" s="2151"/>
      <c r="AH42" s="2151"/>
      <c r="AI42" s="2151"/>
      <c r="AJ42" s="2151"/>
      <c r="AK42" s="2151"/>
      <c r="AL42" s="2151"/>
      <c r="AM42" s="2151"/>
      <c r="AN42" s="2151"/>
      <c r="AO42" s="1006"/>
      <c r="AP42" s="1006"/>
      <c r="AQ42" s="3045"/>
    </row>
    <row r="43" spans="1:44" s="409" customFormat="1" ht="67.5" customHeight="1" x14ac:dyDescent="0.25">
      <c r="A43" s="649"/>
      <c r="B43" s="109"/>
      <c r="C43" s="109"/>
      <c r="D43" s="1000"/>
      <c r="E43" s="1001"/>
      <c r="F43" s="1002"/>
      <c r="G43" s="2706"/>
      <c r="H43" s="2706"/>
      <c r="I43" s="2707"/>
      <c r="J43" s="2186">
        <v>88</v>
      </c>
      <c r="K43" s="2148" t="s">
        <v>1079</v>
      </c>
      <c r="L43" s="2148" t="s">
        <v>1080</v>
      </c>
      <c r="M43" s="2186">
        <v>34</v>
      </c>
      <c r="N43" s="833"/>
      <c r="O43" s="2187"/>
      <c r="P43" s="2218"/>
      <c r="Q43" s="3047">
        <f>(+V43+V44)/R39</f>
        <v>0.20704864844429463</v>
      </c>
      <c r="R43" s="3030"/>
      <c r="S43" s="2218"/>
      <c r="T43" s="2148" t="s">
        <v>1081</v>
      </c>
      <c r="U43" s="837" t="s">
        <v>1082</v>
      </c>
      <c r="V43" s="858">
        <f>53000000+16050000</f>
        <v>69050000</v>
      </c>
      <c r="W43" s="2151"/>
      <c r="X43" s="2187"/>
      <c r="Y43" s="2223"/>
      <c r="Z43" s="2223"/>
      <c r="AA43" s="2151"/>
      <c r="AB43" s="2151"/>
      <c r="AC43" s="2151"/>
      <c r="AD43" s="2151"/>
      <c r="AE43" s="2151"/>
      <c r="AF43" s="2151"/>
      <c r="AG43" s="2151"/>
      <c r="AH43" s="2151"/>
      <c r="AI43" s="2151"/>
      <c r="AJ43" s="2151"/>
      <c r="AK43" s="2151"/>
      <c r="AL43" s="2151"/>
      <c r="AM43" s="2151"/>
      <c r="AN43" s="2151"/>
      <c r="AO43" s="1004">
        <v>43132</v>
      </c>
      <c r="AP43" s="1004">
        <v>43343</v>
      </c>
      <c r="AQ43" s="3045"/>
    </row>
    <row r="44" spans="1:44" s="409" customFormat="1" ht="88.5" customHeight="1" x14ac:dyDescent="0.25">
      <c r="A44" s="649"/>
      <c r="B44" s="109"/>
      <c r="C44" s="109"/>
      <c r="D44" s="1000"/>
      <c r="E44" s="1001"/>
      <c r="F44" s="1002"/>
      <c r="G44" s="2706"/>
      <c r="H44" s="2706"/>
      <c r="I44" s="2707"/>
      <c r="J44" s="2188"/>
      <c r="K44" s="2179"/>
      <c r="L44" s="2179"/>
      <c r="M44" s="2188"/>
      <c r="N44" s="833" t="s">
        <v>1083</v>
      </c>
      <c r="O44" s="2187"/>
      <c r="P44" s="2218"/>
      <c r="Q44" s="3048"/>
      <c r="R44" s="3030"/>
      <c r="S44" s="2218"/>
      <c r="T44" s="2179"/>
      <c r="U44" s="837" t="s">
        <v>1084</v>
      </c>
      <c r="V44" s="967"/>
      <c r="W44" s="2151"/>
      <c r="X44" s="2187"/>
      <c r="Y44" s="2223"/>
      <c r="Z44" s="2223"/>
      <c r="AA44" s="2151"/>
      <c r="AB44" s="2151"/>
      <c r="AC44" s="2151"/>
      <c r="AD44" s="2151"/>
      <c r="AE44" s="2151"/>
      <c r="AF44" s="2151"/>
      <c r="AG44" s="2151"/>
      <c r="AH44" s="2151"/>
      <c r="AI44" s="2151"/>
      <c r="AJ44" s="2151"/>
      <c r="AK44" s="2151"/>
      <c r="AL44" s="2151"/>
      <c r="AM44" s="2151"/>
      <c r="AN44" s="2151"/>
      <c r="AO44" s="1006"/>
      <c r="AP44" s="1006"/>
      <c r="AQ44" s="3045"/>
    </row>
    <row r="45" spans="1:44" s="409" customFormat="1" ht="37.5" customHeight="1" x14ac:dyDescent="0.25">
      <c r="A45" s="649"/>
      <c r="B45" s="109"/>
      <c r="C45" s="109"/>
      <c r="D45" s="1000"/>
      <c r="E45" s="1001"/>
      <c r="F45" s="1002"/>
      <c r="G45" s="2706"/>
      <c r="H45" s="2706"/>
      <c r="I45" s="2707"/>
      <c r="J45" s="2222">
        <v>86</v>
      </c>
      <c r="K45" s="2148" t="s">
        <v>1085</v>
      </c>
      <c r="L45" s="2148" t="s">
        <v>1086</v>
      </c>
      <c r="M45" s="2186">
        <v>3</v>
      </c>
      <c r="N45" s="833" t="s">
        <v>1087</v>
      </c>
      <c r="O45" s="2187"/>
      <c r="P45" s="2218"/>
      <c r="Q45" s="3047">
        <f>(V45+V46+V47)/R39</f>
        <v>0</v>
      </c>
      <c r="R45" s="3030"/>
      <c r="S45" s="2218"/>
      <c r="T45" s="2148" t="s">
        <v>1077</v>
      </c>
      <c r="U45" s="837" t="s">
        <v>1088</v>
      </c>
      <c r="V45" s="997"/>
      <c r="W45" s="2151"/>
      <c r="X45" s="2187"/>
      <c r="Y45" s="2223"/>
      <c r="Z45" s="2223"/>
      <c r="AA45" s="2151"/>
      <c r="AB45" s="2151"/>
      <c r="AC45" s="2151"/>
      <c r="AD45" s="2151"/>
      <c r="AE45" s="2151"/>
      <c r="AF45" s="2151"/>
      <c r="AG45" s="2151"/>
      <c r="AH45" s="2151"/>
      <c r="AI45" s="2151"/>
      <c r="AJ45" s="2151"/>
      <c r="AK45" s="2151"/>
      <c r="AL45" s="2151"/>
      <c r="AM45" s="2151"/>
      <c r="AN45" s="2151"/>
      <c r="AO45" s="1006"/>
      <c r="AP45" s="1006"/>
      <c r="AQ45" s="3045"/>
    </row>
    <row r="46" spans="1:44" s="409" customFormat="1" ht="32.25" customHeight="1" x14ac:dyDescent="0.25">
      <c r="A46" s="649"/>
      <c r="B46" s="109"/>
      <c r="C46" s="109"/>
      <c r="D46" s="1000"/>
      <c r="E46" s="1001"/>
      <c r="F46" s="1002"/>
      <c r="G46" s="2706"/>
      <c r="H46" s="2706"/>
      <c r="I46" s="2707"/>
      <c r="J46" s="2223"/>
      <c r="K46" s="2218"/>
      <c r="L46" s="2218"/>
      <c r="M46" s="2187"/>
      <c r="N46" s="833" t="s">
        <v>1089</v>
      </c>
      <c r="O46" s="2187"/>
      <c r="P46" s="2218"/>
      <c r="Q46" s="3049"/>
      <c r="R46" s="3030"/>
      <c r="S46" s="2218"/>
      <c r="T46" s="2218"/>
      <c r="U46" s="837" t="s">
        <v>1090</v>
      </c>
      <c r="V46" s="997"/>
      <c r="W46" s="2151"/>
      <c r="X46" s="2187"/>
      <c r="Y46" s="2223"/>
      <c r="Z46" s="2223"/>
      <c r="AA46" s="2151"/>
      <c r="AB46" s="2151"/>
      <c r="AC46" s="2151"/>
      <c r="AD46" s="2151"/>
      <c r="AE46" s="2151"/>
      <c r="AF46" s="2151"/>
      <c r="AG46" s="2151"/>
      <c r="AH46" s="2151"/>
      <c r="AI46" s="2151"/>
      <c r="AJ46" s="2151"/>
      <c r="AK46" s="2151"/>
      <c r="AL46" s="2151"/>
      <c r="AM46" s="2151"/>
      <c r="AN46" s="2151"/>
      <c r="AO46" s="1006"/>
      <c r="AP46" s="1006"/>
      <c r="AQ46" s="3045"/>
    </row>
    <row r="47" spans="1:44" s="409" customFormat="1" ht="33.75" customHeight="1" x14ac:dyDescent="0.25">
      <c r="A47" s="649"/>
      <c r="B47" s="109"/>
      <c r="C47" s="109"/>
      <c r="D47" s="1000"/>
      <c r="E47" s="1001"/>
      <c r="F47" s="1002"/>
      <c r="G47" s="2706"/>
      <c r="H47" s="2706"/>
      <c r="I47" s="2707"/>
      <c r="J47" s="2224"/>
      <c r="K47" s="2179"/>
      <c r="L47" s="2179"/>
      <c r="M47" s="2188"/>
      <c r="N47" s="833"/>
      <c r="O47" s="2187"/>
      <c r="P47" s="2218"/>
      <c r="Q47" s="3048"/>
      <c r="R47" s="3030"/>
      <c r="S47" s="2218"/>
      <c r="T47" s="2179"/>
      <c r="U47" s="826" t="s">
        <v>1091</v>
      </c>
      <c r="V47" s="840"/>
      <c r="W47" s="2151"/>
      <c r="X47" s="2187"/>
      <c r="Y47" s="2223"/>
      <c r="Z47" s="2223"/>
      <c r="AA47" s="2151"/>
      <c r="AB47" s="2151"/>
      <c r="AC47" s="2151"/>
      <c r="AD47" s="2151"/>
      <c r="AE47" s="2151"/>
      <c r="AF47" s="2151"/>
      <c r="AG47" s="2151"/>
      <c r="AH47" s="2151"/>
      <c r="AI47" s="2151"/>
      <c r="AJ47" s="2151"/>
      <c r="AK47" s="2151"/>
      <c r="AL47" s="2151"/>
      <c r="AM47" s="2151"/>
      <c r="AN47" s="2151"/>
      <c r="AO47" s="1006"/>
      <c r="AP47" s="1006"/>
      <c r="AQ47" s="3045"/>
    </row>
    <row r="48" spans="1:44" s="409" customFormat="1" ht="77.25" customHeight="1" x14ac:dyDescent="0.25">
      <c r="A48" s="649"/>
      <c r="B48" s="109"/>
      <c r="C48" s="109"/>
      <c r="D48" s="1000"/>
      <c r="E48" s="1001"/>
      <c r="F48" s="1002"/>
      <c r="G48" s="2706"/>
      <c r="H48" s="2706"/>
      <c r="I48" s="2707"/>
      <c r="J48" s="827">
        <v>89</v>
      </c>
      <c r="K48" s="837" t="s">
        <v>1092</v>
      </c>
      <c r="L48" s="837" t="s">
        <v>1093</v>
      </c>
      <c r="M48" s="827">
        <v>17500</v>
      </c>
      <c r="N48" s="833"/>
      <c r="O48" s="2187"/>
      <c r="P48" s="2218"/>
      <c r="Q48" s="1005">
        <f>+V48/R39</f>
        <v>0</v>
      </c>
      <c r="R48" s="3030"/>
      <c r="S48" s="2218"/>
      <c r="T48" s="837" t="s">
        <v>1094</v>
      </c>
      <c r="U48" s="837" t="s">
        <v>1095</v>
      </c>
      <c r="V48" s="997"/>
      <c r="W48" s="2151"/>
      <c r="X48" s="2187"/>
      <c r="Y48" s="2223"/>
      <c r="Z48" s="2223"/>
      <c r="AA48" s="2151"/>
      <c r="AB48" s="2151"/>
      <c r="AC48" s="2151"/>
      <c r="AD48" s="2151"/>
      <c r="AE48" s="2151"/>
      <c r="AF48" s="2151"/>
      <c r="AG48" s="2151"/>
      <c r="AH48" s="2151"/>
      <c r="AI48" s="2151"/>
      <c r="AJ48" s="2151"/>
      <c r="AK48" s="2151"/>
      <c r="AL48" s="2151"/>
      <c r="AM48" s="2151"/>
      <c r="AN48" s="2151"/>
      <c r="AO48" s="1006"/>
      <c r="AP48" s="1006"/>
      <c r="AQ48" s="3045"/>
    </row>
    <row r="49" spans="1:43" s="409" customFormat="1" ht="60" x14ac:dyDescent="0.25">
      <c r="A49" s="649"/>
      <c r="B49" s="109"/>
      <c r="C49" s="109"/>
      <c r="D49" s="1000"/>
      <c r="E49" s="1001"/>
      <c r="F49" s="1002"/>
      <c r="G49" s="2706"/>
      <c r="H49" s="2706"/>
      <c r="I49" s="2707"/>
      <c r="J49" s="2222">
        <v>90</v>
      </c>
      <c r="K49" s="2148" t="s">
        <v>1096</v>
      </c>
      <c r="L49" s="2148" t="s">
        <v>1097</v>
      </c>
      <c r="M49" s="2954">
        <v>126</v>
      </c>
      <c r="N49" s="833"/>
      <c r="O49" s="2187"/>
      <c r="P49" s="2218"/>
      <c r="Q49" s="3050">
        <f>(+V49+V50)/R39</f>
        <v>0.11994128801986655</v>
      </c>
      <c r="R49" s="3030"/>
      <c r="S49" s="2218"/>
      <c r="T49" s="2148" t="s">
        <v>1098</v>
      </c>
      <c r="U49" s="837" t="s">
        <v>1099</v>
      </c>
      <c r="V49" s="997"/>
      <c r="W49" s="2151"/>
      <c r="X49" s="2187"/>
      <c r="Y49" s="2223"/>
      <c r="Z49" s="2223"/>
      <c r="AA49" s="2151"/>
      <c r="AB49" s="2151"/>
      <c r="AC49" s="2151"/>
      <c r="AD49" s="2151"/>
      <c r="AE49" s="2151"/>
      <c r="AF49" s="2151"/>
      <c r="AG49" s="2151"/>
      <c r="AH49" s="2151"/>
      <c r="AI49" s="2151"/>
      <c r="AJ49" s="2151"/>
      <c r="AK49" s="2151"/>
      <c r="AL49" s="2151"/>
      <c r="AM49" s="2151"/>
      <c r="AN49" s="2151"/>
      <c r="AO49" s="1006"/>
      <c r="AP49" s="1006"/>
      <c r="AQ49" s="3045"/>
    </row>
    <row r="50" spans="1:43" s="409" customFormat="1" ht="81.75" customHeight="1" x14ac:dyDescent="0.25">
      <c r="A50" s="649"/>
      <c r="B50" s="109"/>
      <c r="C50" s="109"/>
      <c r="D50" s="1000"/>
      <c r="E50" s="1001"/>
      <c r="F50" s="1002"/>
      <c r="G50" s="2706"/>
      <c r="H50" s="2706"/>
      <c r="I50" s="2707"/>
      <c r="J50" s="2224"/>
      <c r="K50" s="2179"/>
      <c r="L50" s="2179"/>
      <c r="M50" s="2955"/>
      <c r="N50" s="833"/>
      <c r="O50" s="2187"/>
      <c r="P50" s="2218"/>
      <c r="Q50" s="3051"/>
      <c r="R50" s="3030"/>
      <c r="S50" s="2218"/>
      <c r="T50" s="2179"/>
      <c r="U50" s="837" t="s">
        <v>1100</v>
      </c>
      <c r="V50" s="944">
        <f>20000000+20000000</f>
        <v>40000000</v>
      </c>
      <c r="W50" s="2151"/>
      <c r="X50" s="2187"/>
      <c r="Y50" s="2223"/>
      <c r="Z50" s="2223"/>
      <c r="AA50" s="2151"/>
      <c r="AB50" s="2151"/>
      <c r="AC50" s="2151"/>
      <c r="AD50" s="2151"/>
      <c r="AE50" s="2151"/>
      <c r="AF50" s="2151"/>
      <c r="AG50" s="2151"/>
      <c r="AH50" s="2151"/>
      <c r="AI50" s="2151"/>
      <c r="AJ50" s="2151"/>
      <c r="AK50" s="2151"/>
      <c r="AL50" s="2151"/>
      <c r="AM50" s="2151"/>
      <c r="AN50" s="2151"/>
      <c r="AO50" s="1006"/>
      <c r="AP50" s="1006"/>
      <c r="AQ50" s="3045"/>
    </row>
    <row r="51" spans="1:43" s="409" customFormat="1" ht="63" customHeight="1" x14ac:dyDescent="0.25">
      <c r="A51" s="649"/>
      <c r="B51" s="109"/>
      <c r="C51" s="109"/>
      <c r="D51" s="1000"/>
      <c r="E51" s="1001"/>
      <c r="F51" s="1002"/>
      <c r="G51" s="2706"/>
      <c r="H51" s="2706"/>
      <c r="I51" s="2707"/>
      <c r="J51" s="827">
        <v>91</v>
      </c>
      <c r="K51" s="837" t="s">
        <v>1101</v>
      </c>
      <c r="L51" s="837" t="s">
        <v>1102</v>
      </c>
      <c r="M51" s="847">
        <v>54</v>
      </c>
      <c r="N51" s="833"/>
      <c r="O51" s="2187"/>
      <c r="P51" s="2218"/>
      <c r="Q51" s="1007">
        <f>V51/R39</f>
        <v>9.6842101210404902E-2</v>
      </c>
      <c r="R51" s="3030"/>
      <c r="S51" s="2218"/>
      <c r="T51" s="837" t="s">
        <v>1103</v>
      </c>
      <c r="U51" s="837" t="s">
        <v>1104</v>
      </c>
      <c r="V51" s="944">
        <f>94000000+2296502-64000000</f>
        <v>32296502</v>
      </c>
      <c r="W51" s="2151"/>
      <c r="X51" s="2187"/>
      <c r="Y51" s="2223"/>
      <c r="Z51" s="2223"/>
      <c r="AA51" s="2151"/>
      <c r="AB51" s="2151"/>
      <c r="AC51" s="2151"/>
      <c r="AD51" s="2151"/>
      <c r="AE51" s="2151"/>
      <c r="AF51" s="2151"/>
      <c r="AG51" s="2151"/>
      <c r="AH51" s="2151"/>
      <c r="AI51" s="2151"/>
      <c r="AJ51" s="2151"/>
      <c r="AK51" s="2151"/>
      <c r="AL51" s="2151"/>
      <c r="AM51" s="2151"/>
      <c r="AN51" s="2151"/>
      <c r="AO51" s="1006"/>
      <c r="AP51" s="1006"/>
      <c r="AQ51" s="3045"/>
    </row>
    <row r="52" spans="1:43" s="409" customFormat="1" ht="87.75" customHeight="1" x14ac:dyDescent="0.25">
      <c r="A52" s="649"/>
      <c r="B52" s="109"/>
      <c r="C52" s="109"/>
      <c r="D52" s="1000"/>
      <c r="E52" s="1001"/>
      <c r="F52" s="1002"/>
      <c r="G52" s="2706"/>
      <c r="H52" s="2706"/>
      <c r="I52" s="2707"/>
      <c r="J52" s="834">
        <v>92</v>
      </c>
      <c r="K52" s="839" t="s">
        <v>1105</v>
      </c>
      <c r="L52" s="839" t="s">
        <v>1106</v>
      </c>
      <c r="M52" s="848">
        <v>2</v>
      </c>
      <c r="N52" s="833"/>
      <c r="O52" s="2187"/>
      <c r="P52" s="2218"/>
      <c r="Q52" s="1008">
        <f>+V52/R39</f>
        <v>9.0105892624924744E-2</v>
      </c>
      <c r="R52" s="3030"/>
      <c r="S52" s="2218"/>
      <c r="T52" s="839" t="s">
        <v>1107</v>
      </c>
      <c r="U52" s="839" t="s">
        <v>1108</v>
      </c>
      <c r="V52" s="1009">
        <f>0+30050000</f>
        <v>30050000</v>
      </c>
      <c r="W52" s="2176"/>
      <c r="X52" s="2188"/>
      <c r="Y52" s="2224"/>
      <c r="Z52" s="2224"/>
      <c r="AA52" s="2176"/>
      <c r="AB52" s="2176"/>
      <c r="AC52" s="2176"/>
      <c r="AD52" s="2176"/>
      <c r="AE52" s="2176"/>
      <c r="AF52" s="2176"/>
      <c r="AG52" s="2176"/>
      <c r="AH52" s="2176"/>
      <c r="AI52" s="2176"/>
      <c r="AJ52" s="2176"/>
      <c r="AK52" s="2176"/>
      <c r="AL52" s="2176"/>
      <c r="AM52" s="2176"/>
      <c r="AN52" s="2176"/>
      <c r="AO52" s="1006"/>
      <c r="AP52" s="1006"/>
      <c r="AQ52" s="3046"/>
    </row>
    <row r="53" spans="1:43" s="409" customFormat="1" ht="15.75" x14ac:dyDescent="0.25">
      <c r="A53" s="955"/>
      <c r="B53" s="210"/>
      <c r="C53" s="210"/>
      <c r="D53" s="955"/>
      <c r="E53" s="210"/>
      <c r="F53" s="964"/>
      <c r="G53" s="991">
        <v>21</v>
      </c>
      <c r="H53" s="825" t="s">
        <v>1109</v>
      </c>
      <c r="I53" s="825"/>
      <c r="J53" s="825"/>
      <c r="K53" s="598"/>
      <c r="L53" s="598"/>
      <c r="M53" s="152"/>
      <c r="N53" s="599"/>
      <c r="O53" s="152"/>
      <c r="P53" s="598"/>
      <c r="Q53" s="152"/>
      <c r="R53" s="620"/>
      <c r="S53" s="598"/>
      <c r="T53" s="598"/>
      <c r="U53" s="598"/>
      <c r="V53" s="621"/>
      <c r="W53" s="152"/>
      <c r="X53" s="152"/>
      <c r="Y53" s="152"/>
      <c r="Z53" s="152"/>
      <c r="AA53" s="152"/>
      <c r="AB53" s="152"/>
      <c r="AC53" s="152"/>
      <c r="AD53" s="152"/>
      <c r="AE53" s="152"/>
      <c r="AF53" s="152"/>
      <c r="AG53" s="152"/>
      <c r="AH53" s="152"/>
      <c r="AI53" s="152"/>
      <c r="AJ53" s="938"/>
      <c r="AK53" s="938"/>
      <c r="AL53" s="938"/>
      <c r="AM53" s="938"/>
      <c r="AN53" s="938"/>
      <c r="AO53" s="938"/>
      <c r="AP53" s="938"/>
      <c r="AQ53" s="952"/>
    </row>
    <row r="54" spans="1:43" s="409" customFormat="1" ht="75" customHeight="1" x14ac:dyDescent="0.25">
      <c r="A54" s="728"/>
      <c r="B54" s="199"/>
      <c r="C54" s="199"/>
      <c r="D54" s="992"/>
      <c r="E54" s="987"/>
      <c r="F54" s="993"/>
      <c r="G54" s="199"/>
      <c r="H54" s="199"/>
      <c r="I54" s="759"/>
      <c r="J54" s="836">
        <v>93</v>
      </c>
      <c r="K54" s="960" t="s">
        <v>1110</v>
      </c>
      <c r="L54" s="960" t="s">
        <v>1111</v>
      </c>
      <c r="M54" s="1010">
        <v>32</v>
      </c>
      <c r="N54" s="831"/>
      <c r="O54" s="2772" t="s">
        <v>1112</v>
      </c>
      <c r="P54" s="3020" t="s">
        <v>1113</v>
      </c>
      <c r="Q54" s="1011">
        <f>+V54/$R$54</f>
        <v>0.15004950033998779</v>
      </c>
      <c r="R54" s="2735">
        <f>SUM(V54:V58)</f>
        <v>393870022</v>
      </c>
      <c r="S54" s="2793" t="s">
        <v>1114</v>
      </c>
      <c r="T54" s="960" t="s">
        <v>1115</v>
      </c>
      <c r="U54" s="960" t="s">
        <v>1116</v>
      </c>
      <c r="V54" s="963">
        <v>59100000</v>
      </c>
      <c r="W54" s="2843" t="s">
        <v>1117</v>
      </c>
      <c r="X54" s="2772" t="s">
        <v>1118</v>
      </c>
      <c r="Y54" s="3040">
        <v>21554</v>
      </c>
      <c r="Z54" s="3040">
        <v>22392</v>
      </c>
      <c r="AA54" s="3052">
        <v>31677</v>
      </c>
      <c r="AB54" s="3052">
        <v>10302</v>
      </c>
      <c r="AC54" s="3052">
        <v>1874</v>
      </c>
      <c r="AD54" s="3052">
        <v>93</v>
      </c>
      <c r="AE54" s="3052">
        <v>238</v>
      </c>
      <c r="AF54" s="3052">
        <v>245</v>
      </c>
      <c r="AG54" s="3052">
        <v>0</v>
      </c>
      <c r="AH54" s="3052">
        <v>0</v>
      </c>
      <c r="AI54" s="3052">
        <v>0</v>
      </c>
      <c r="AJ54" s="3053">
        <v>0</v>
      </c>
      <c r="AK54" s="3053">
        <v>2629</v>
      </c>
      <c r="AL54" s="2151">
        <v>2665</v>
      </c>
      <c r="AM54" s="3053">
        <v>2683</v>
      </c>
      <c r="AN54" s="3060">
        <f>Y54+Z54</f>
        <v>43946</v>
      </c>
      <c r="AO54" s="3061">
        <v>43101</v>
      </c>
      <c r="AP54" s="3061">
        <v>43465</v>
      </c>
      <c r="AQ54" s="3045" t="s">
        <v>1029</v>
      </c>
    </row>
    <row r="55" spans="1:43" s="409" customFormat="1" ht="50.25" customHeight="1" x14ac:dyDescent="0.25">
      <c r="A55" s="728"/>
      <c r="B55" s="199"/>
      <c r="C55" s="199"/>
      <c r="D55" s="992"/>
      <c r="E55" s="987"/>
      <c r="F55" s="993"/>
      <c r="G55" s="199"/>
      <c r="H55" s="199"/>
      <c r="I55" s="759"/>
      <c r="J55" s="834">
        <v>94</v>
      </c>
      <c r="K55" s="1012" t="s">
        <v>1119</v>
      </c>
      <c r="L55" s="1012" t="s">
        <v>1120</v>
      </c>
      <c r="M55" s="877">
        <v>55</v>
      </c>
      <c r="N55" s="833" t="s">
        <v>1121</v>
      </c>
      <c r="O55" s="2773"/>
      <c r="P55" s="3021"/>
      <c r="Q55" s="863">
        <f>+V55/R54</f>
        <v>0.7737832406041808</v>
      </c>
      <c r="R55" s="2735"/>
      <c r="S55" s="2793"/>
      <c r="T55" s="1012" t="s">
        <v>1122</v>
      </c>
      <c r="U55" s="1012" t="s">
        <v>1123</v>
      </c>
      <c r="V55" s="829">
        <f>22000000+50000000+177770022+55000000-80000000+80000000</f>
        <v>304770022</v>
      </c>
      <c r="W55" s="2807"/>
      <c r="X55" s="2773"/>
      <c r="Y55" s="3040"/>
      <c r="Z55" s="3040"/>
      <c r="AA55" s="3052"/>
      <c r="AB55" s="3052"/>
      <c r="AC55" s="3052"/>
      <c r="AD55" s="3052"/>
      <c r="AE55" s="3052"/>
      <c r="AF55" s="3052"/>
      <c r="AG55" s="3052"/>
      <c r="AH55" s="3052"/>
      <c r="AI55" s="3052"/>
      <c r="AJ55" s="3053"/>
      <c r="AK55" s="3053"/>
      <c r="AL55" s="2151"/>
      <c r="AM55" s="3053"/>
      <c r="AN55" s="3060"/>
      <c r="AO55" s="3060"/>
      <c r="AP55" s="3060"/>
      <c r="AQ55" s="3045"/>
    </row>
    <row r="56" spans="1:43" s="409" customFormat="1" ht="33" customHeight="1" x14ac:dyDescent="0.25">
      <c r="A56" s="728"/>
      <c r="B56" s="199"/>
      <c r="C56" s="199"/>
      <c r="D56" s="992"/>
      <c r="E56" s="987"/>
      <c r="F56" s="993"/>
      <c r="G56" s="199"/>
      <c r="H56" s="199"/>
      <c r="I56" s="759"/>
      <c r="J56" s="2222">
        <v>95</v>
      </c>
      <c r="K56" s="2783" t="s">
        <v>1124</v>
      </c>
      <c r="L56" s="2783" t="s">
        <v>1125</v>
      </c>
      <c r="M56" s="2954">
        <v>500</v>
      </c>
      <c r="N56" s="833" t="s">
        <v>1126</v>
      </c>
      <c r="O56" s="2773"/>
      <c r="P56" s="3021"/>
      <c r="Q56" s="3056">
        <f>+V56/R54</f>
        <v>0</v>
      </c>
      <c r="R56" s="2735"/>
      <c r="S56" s="2793"/>
      <c r="T56" s="2783" t="s">
        <v>1127</v>
      </c>
      <c r="U56" s="2148" t="s">
        <v>1128</v>
      </c>
      <c r="V56" s="3058">
        <f>10000000-10000000</f>
        <v>0</v>
      </c>
      <c r="W56" s="2807"/>
      <c r="X56" s="2773"/>
      <c r="Y56" s="3040"/>
      <c r="Z56" s="3040"/>
      <c r="AA56" s="3052"/>
      <c r="AB56" s="3052"/>
      <c r="AC56" s="3052"/>
      <c r="AD56" s="3052"/>
      <c r="AE56" s="3052"/>
      <c r="AF56" s="3052"/>
      <c r="AG56" s="3052"/>
      <c r="AH56" s="3052"/>
      <c r="AI56" s="3052"/>
      <c r="AJ56" s="3053"/>
      <c r="AK56" s="3053"/>
      <c r="AL56" s="2151"/>
      <c r="AM56" s="3053"/>
      <c r="AN56" s="3060"/>
      <c r="AO56" s="3060"/>
      <c r="AP56" s="3060"/>
      <c r="AQ56" s="3045"/>
    </row>
    <row r="57" spans="1:43" s="409" customFormat="1" ht="59.25" customHeight="1" x14ac:dyDescent="0.25">
      <c r="A57" s="728"/>
      <c r="B57" s="199"/>
      <c r="C57" s="199"/>
      <c r="D57" s="992"/>
      <c r="E57" s="987"/>
      <c r="F57" s="993"/>
      <c r="G57" s="199"/>
      <c r="H57" s="199"/>
      <c r="I57" s="759"/>
      <c r="J57" s="2224"/>
      <c r="K57" s="2784"/>
      <c r="L57" s="2784"/>
      <c r="M57" s="2955"/>
      <c r="N57" s="833" t="s">
        <v>1129</v>
      </c>
      <c r="O57" s="2773"/>
      <c r="P57" s="3021"/>
      <c r="Q57" s="3057"/>
      <c r="R57" s="2735"/>
      <c r="S57" s="2793"/>
      <c r="T57" s="2784"/>
      <c r="U57" s="2179"/>
      <c r="V57" s="3059"/>
      <c r="W57" s="2807"/>
      <c r="X57" s="2773"/>
      <c r="Y57" s="3040"/>
      <c r="Z57" s="3040"/>
      <c r="AA57" s="3052"/>
      <c r="AB57" s="3052"/>
      <c r="AC57" s="3052"/>
      <c r="AD57" s="3052"/>
      <c r="AE57" s="3052"/>
      <c r="AF57" s="3052"/>
      <c r="AG57" s="3052"/>
      <c r="AH57" s="3052"/>
      <c r="AI57" s="3052"/>
      <c r="AJ57" s="3053"/>
      <c r="AK57" s="3053"/>
      <c r="AL57" s="2151"/>
      <c r="AM57" s="3053"/>
      <c r="AN57" s="3060"/>
      <c r="AO57" s="3060"/>
      <c r="AP57" s="3060"/>
      <c r="AQ57" s="3045"/>
    </row>
    <row r="58" spans="1:43" s="409" customFormat="1" ht="95.25" customHeight="1" x14ac:dyDescent="0.25">
      <c r="A58" s="728"/>
      <c r="B58" s="199"/>
      <c r="C58" s="199"/>
      <c r="D58" s="992"/>
      <c r="E58" s="987"/>
      <c r="F58" s="993"/>
      <c r="G58" s="199"/>
      <c r="H58" s="199"/>
      <c r="I58" s="759"/>
      <c r="J58" s="834">
        <v>96</v>
      </c>
      <c r="K58" s="969" t="s">
        <v>1130</v>
      </c>
      <c r="L58" s="969" t="s">
        <v>1131</v>
      </c>
      <c r="M58" s="1013">
        <v>2</v>
      </c>
      <c r="N58" s="832"/>
      <c r="O58" s="2774"/>
      <c r="P58" s="3022"/>
      <c r="Q58" s="1014">
        <f>+V58/R54</f>
        <v>7.6167259055831368E-2</v>
      </c>
      <c r="R58" s="2735"/>
      <c r="S58" s="2793"/>
      <c r="T58" s="969" t="s">
        <v>1132</v>
      </c>
      <c r="U58" s="846" t="s">
        <v>1133</v>
      </c>
      <c r="V58" s="971">
        <f>20000000+10000000</f>
        <v>30000000</v>
      </c>
      <c r="W58" s="2864"/>
      <c r="X58" s="2774"/>
      <c r="Y58" s="3040"/>
      <c r="Z58" s="3040"/>
      <c r="AA58" s="3052"/>
      <c r="AB58" s="3052"/>
      <c r="AC58" s="3052"/>
      <c r="AD58" s="3052"/>
      <c r="AE58" s="3052"/>
      <c r="AF58" s="3052"/>
      <c r="AG58" s="3052"/>
      <c r="AH58" s="3052"/>
      <c r="AI58" s="3052"/>
      <c r="AJ58" s="3053"/>
      <c r="AK58" s="3053"/>
      <c r="AL58" s="2151"/>
      <c r="AM58" s="3053"/>
      <c r="AN58" s="3060"/>
      <c r="AO58" s="3060"/>
      <c r="AP58" s="3060"/>
      <c r="AQ58" s="3045"/>
    </row>
    <row r="59" spans="1:43" s="409" customFormat="1" ht="15.75" x14ac:dyDescent="0.25">
      <c r="A59" s="955"/>
      <c r="B59" s="210"/>
      <c r="C59" s="210"/>
      <c r="D59" s="955"/>
      <c r="E59" s="210"/>
      <c r="F59" s="964"/>
      <c r="G59" s="991">
        <v>22</v>
      </c>
      <c r="H59" s="825" t="s">
        <v>1134</v>
      </c>
      <c r="I59" s="825"/>
      <c r="J59" s="825"/>
      <c r="K59" s="598"/>
      <c r="L59" s="598"/>
      <c r="M59" s="152"/>
      <c r="N59" s="599"/>
      <c r="O59" s="152"/>
      <c r="P59" s="598"/>
      <c r="Q59" s="152"/>
      <c r="R59" s="620"/>
      <c r="S59" s="598"/>
      <c r="T59" s="598"/>
      <c r="U59" s="598"/>
      <c r="V59" s="621"/>
      <c r="W59" s="152"/>
      <c r="X59" s="152"/>
      <c r="Y59" s="152"/>
      <c r="Z59" s="152"/>
      <c r="AA59" s="152"/>
      <c r="AB59" s="152"/>
      <c r="AC59" s="152"/>
      <c r="AD59" s="152"/>
      <c r="AE59" s="152"/>
      <c r="AF59" s="152"/>
      <c r="AG59" s="152"/>
      <c r="AH59" s="152"/>
      <c r="AI59" s="152"/>
      <c r="AJ59" s="938"/>
      <c r="AK59" s="938"/>
      <c r="AL59" s="938"/>
      <c r="AM59" s="938"/>
      <c r="AN59" s="938"/>
      <c r="AO59" s="938"/>
      <c r="AP59" s="938"/>
      <c r="AQ59" s="952"/>
    </row>
    <row r="60" spans="1:43" s="409" customFormat="1" ht="45" customHeight="1" x14ac:dyDescent="0.25">
      <c r="A60" s="1015"/>
      <c r="B60" s="1016"/>
      <c r="C60" s="1016"/>
      <c r="D60" s="1015"/>
      <c r="E60" s="1016"/>
      <c r="F60" s="1017"/>
      <c r="G60" s="3054"/>
      <c r="H60" s="3054"/>
      <c r="I60" s="3055"/>
      <c r="J60" s="2223">
        <v>97</v>
      </c>
      <c r="K60" s="2793" t="s">
        <v>1135</v>
      </c>
      <c r="L60" s="2793" t="s">
        <v>1136</v>
      </c>
      <c r="M60" s="3040">
        <v>46</v>
      </c>
      <c r="N60" s="869"/>
      <c r="O60" s="2773" t="s">
        <v>1137</v>
      </c>
      <c r="P60" s="2793" t="s">
        <v>1138</v>
      </c>
      <c r="Q60" s="2734">
        <f>+V60/R60</f>
        <v>1</v>
      </c>
      <c r="R60" s="2735">
        <f>+V60</f>
        <v>10000000</v>
      </c>
      <c r="S60" s="2793" t="s">
        <v>1139</v>
      </c>
      <c r="T60" s="2793" t="s">
        <v>1140</v>
      </c>
      <c r="U60" s="2818" t="s">
        <v>1141</v>
      </c>
      <c r="V60" s="2482">
        <f>10000000-10000000+10000000</f>
        <v>10000000</v>
      </c>
      <c r="W60" s="2773" t="s">
        <v>1142</v>
      </c>
      <c r="X60" s="2773" t="s">
        <v>1143</v>
      </c>
      <c r="Y60" s="3040">
        <f>Y54</f>
        <v>21554</v>
      </c>
      <c r="Z60" s="3040">
        <v>22392</v>
      </c>
      <c r="AA60" s="3040">
        <v>31677</v>
      </c>
      <c r="AB60" s="3040">
        <v>10302</v>
      </c>
      <c r="AC60" s="3040">
        <v>1874</v>
      </c>
      <c r="AD60" s="3040">
        <v>93</v>
      </c>
      <c r="AE60" s="3040">
        <v>238</v>
      </c>
      <c r="AF60" s="3040">
        <v>245</v>
      </c>
      <c r="AG60" s="3040">
        <v>0</v>
      </c>
      <c r="AH60" s="3040">
        <v>0</v>
      </c>
      <c r="AI60" s="3040">
        <v>0</v>
      </c>
      <c r="AJ60" s="3040">
        <v>0</v>
      </c>
      <c r="AK60" s="3052">
        <v>2629</v>
      </c>
      <c r="AL60" s="3052">
        <v>2665</v>
      </c>
      <c r="AM60" s="3052">
        <v>2683</v>
      </c>
      <c r="AN60" s="3040">
        <f>Y60+Z60</f>
        <v>43946</v>
      </c>
      <c r="AO60" s="3061">
        <v>43101</v>
      </c>
      <c r="AP60" s="3061">
        <v>43465</v>
      </c>
      <c r="AQ60" s="3045" t="s">
        <v>1029</v>
      </c>
    </row>
    <row r="61" spans="1:43" s="409" customFormat="1" ht="15.75" x14ac:dyDescent="0.25">
      <c r="A61" s="1015"/>
      <c r="B61" s="1016"/>
      <c r="C61" s="1016"/>
      <c r="D61" s="1015"/>
      <c r="E61" s="1016"/>
      <c r="F61" s="1017"/>
      <c r="G61" s="3054"/>
      <c r="H61" s="3054"/>
      <c r="I61" s="3055"/>
      <c r="J61" s="2223"/>
      <c r="K61" s="2793"/>
      <c r="L61" s="2793"/>
      <c r="M61" s="3040"/>
      <c r="N61" s="869"/>
      <c r="O61" s="2773"/>
      <c r="P61" s="2793"/>
      <c r="Q61" s="2734"/>
      <c r="R61" s="2735"/>
      <c r="S61" s="2793"/>
      <c r="T61" s="2793"/>
      <c r="U61" s="2818"/>
      <c r="V61" s="2394"/>
      <c r="W61" s="3040"/>
      <c r="X61" s="3040"/>
      <c r="Y61" s="3040"/>
      <c r="Z61" s="3040"/>
      <c r="AA61" s="3040"/>
      <c r="AB61" s="3040"/>
      <c r="AC61" s="3040"/>
      <c r="AD61" s="3040"/>
      <c r="AE61" s="3040"/>
      <c r="AF61" s="3040"/>
      <c r="AG61" s="3040"/>
      <c r="AH61" s="3040"/>
      <c r="AI61" s="3040"/>
      <c r="AJ61" s="3040"/>
      <c r="AK61" s="3040"/>
      <c r="AL61" s="3040"/>
      <c r="AM61" s="3040"/>
      <c r="AN61" s="3040"/>
      <c r="AO61" s="3060"/>
      <c r="AP61" s="3060"/>
      <c r="AQ61" s="3045"/>
    </row>
    <row r="62" spans="1:43" s="409" customFormat="1" ht="34.5" customHeight="1" x14ac:dyDescent="0.25">
      <c r="A62" s="1015"/>
      <c r="B62" s="1016"/>
      <c r="C62" s="1016"/>
      <c r="D62" s="1015"/>
      <c r="E62" s="1016"/>
      <c r="F62" s="1017"/>
      <c r="G62" s="3054"/>
      <c r="H62" s="3054"/>
      <c r="I62" s="3055"/>
      <c r="J62" s="2223"/>
      <c r="K62" s="2793"/>
      <c r="L62" s="2793"/>
      <c r="M62" s="3040"/>
      <c r="N62" s="869" t="s">
        <v>1144</v>
      </c>
      <c r="O62" s="2773"/>
      <c r="P62" s="2793"/>
      <c r="Q62" s="2734"/>
      <c r="R62" s="2735"/>
      <c r="S62" s="2793"/>
      <c r="T62" s="2793"/>
      <c r="U62" s="2818"/>
      <c r="V62" s="2394"/>
      <c r="W62" s="3040"/>
      <c r="X62" s="3040"/>
      <c r="Y62" s="3040"/>
      <c r="Z62" s="3040"/>
      <c r="AA62" s="3040"/>
      <c r="AB62" s="3040"/>
      <c r="AC62" s="3040"/>
      <c r="AD62" s="3040"/>
      <c r="AE62" s="3040"/>
      <c r="AF62" s="3040"/>
      <c r="AG62" s="3040"/>
      <c r="AH62" s="3040"/>
      <c r="AI62" s="3040"/>
      <c r="AJ62" s="3040"/>
      <c r="AK62" s="3040"/>
      <c r="AL62" s="3040"/>
      <c r="AM62" s="3040"/>
      <c r="AN62" s="3040"/>
      <c r="AO62" s="3060"/>
      <c r="AP62" s="3060"/>
      <c r="AQ62" s="3045"/>
    </row>
    <row r="63" spans="1:43" s="409" customFormat="1" ht="15.75" x14ac:dyDescent="0.25">
      <c r="A63" s="1015"/>
      <c r="B63" s="1016"/>
      <c r="C63" s="1016"/>
      <c r="D63" s="1015"/>
      <c r="E63" s="1016"/>
      <c r="F63" s="1017"/>
      <c r="G63" s="3054"/>
      <c r="H63" s="3054"/>
      <c r="I63" s="3055"/>
      <c r="J63" s="2223"/>
      <c r="K63" s="2793"/>
      <c r="L63" s="2793"/>
      <c r="M63" s="3040"/>
      <c r="N63" s="869"/>
      <c r="O63" s="2773"/>
      <c r="P63" s="2793"/>
      <c r="Q63" s="2734"/>
      <c r="R63" s="2735"/>
      <c r="S63" s="2793"/>
      <c r="T63" s="2793"/>
      <c r="U63" s="2818"/>
      <c r="V63" s="2394"/>
      <c r="W63" s="3040"/>
      <c r="X63" s="3040"/>
      <c r="Y63" s="3040"/>
      <c r="Z63" s="3040"/>
      <c r="AA63" s="3040"/>
      <c r="AB63" s="3040"/>
      <c r="AC63" s="3040"/>
      <c r="AD63" s="3040"/>
      <c r="AE63" s="3040"/>
      <c r="AF63" s="3040"/>
      <c r="AG63" s="3040"/>
      <c r="AH63" s="3040"/>
      <c r="AI63" s="3040"/>
      <c r="AJ63" s="3040"/>
      <c r="AK63" s="3040"/>
      <c r="AL63" s="3040"/>
      <c r="AM63" s="3040"/>
      <c r="AN63" s="3040"/>
      <c r="AO63" s="3060"/>
      <c r="AP63" s="3060"/>
      <c r="AQ63" s="3045"/>
    </row>
    <row r="64" spans="1:43" s="409" customFormat="1" ht="15.75" x14ac:dyDescent="0.25">
      <c r="A64" s="1015"/>
      <c r="B64" s="1016"/>
      <c r="C64" s="1016"/>
      <c r="D64" s="1018"/>
      <c r="E64" s="1019"/>
      <c r="F64" s="1020"/>
      <c r="G64" s="3054"/>
      <c r="H64" s="3054"/>
      <c r="I64" s="3055"/>
      <c r="J64" s="2223"/>
      <c r="K64" s="2793"/>
      <c r="L64" s="2793"/>
      <c r="M64" s="3040"/>
      <c r="N64" s="869"/>
      <c r="O64" s="2773"/>
      <c r="P64" s="2793"/>
      <c r="Q64" s="2734"/>
      <c r="R64" s="2735"/>
      <c r="S64" s="2793"/>
      <c r="T64" s="2793"/>
      <c r="U64" s="2818"/>
      <c r="V64" s="2395"/>
      <c r="W64" s="3040"/>
      <c r="X64" s="3040"/>
      <c r="Y64" s="3040"/>
      <c r="Z64" s="3040"/>
      <c r="AA64" s="3040"/>
      <c r="AB64" s="3040"/>
      <c r="AC64" s="3040"/>
      <c r="AD64" s="3040"/>
      <c r="AE64" s="3040"/>
      <c r="AF64" s="3040"/>
      <c r="AG64" s="3040"/>
      <c r="AH64" s="3040"/>
      <c r="AI64" s="3040"/>
      <c r="AJ64" s="3040"/>
      <c r="AK64" s="3040"/>
      <c r="AL64" s="3040"/>
      <c r="AM64" s="3040"/>
      <c r="AN64" s="3040"/>
      <c r="AO64" s="3060"/>
      <c r="AP64" s="3060"/>
      <c r="AQ64" s="3045"/>
    </row>
    <row r="65" spans="1:43" s="409" customFormat="1" ht="15.75" x14ac:dyDescent="0.25">
      <c r="A65" s="1021"/>
      <c r="B65" s="1022"/>
      <c r="C65" s="1023"/>
      <c r="D65" s="701">
        <v>7</v>
      </c>
      <c r="E65" s="980" t="s">
        <v>1145</v>
      </c>
      <c r="F65" s="980"/>
      <c r="G65" s="824"/>
      <c r="H65" s="824"/>
      <c r="I65" s="824"/>
      <c r="J65" s="824"/>
      <c r="K65" s="445"/>
      <c r="L65" s="445"/>
      <c r="M65" s="824"/>
      <c r="N65" s="448"/>
      <c r="O65" s="448"/>
      <c r="P65" s="445"/>
      <c r="Q65" s="1024"/>
      <c r="R65" s="488"/>
      <c r="S65" s="445"/>
      <c r="T65" s="445"/>
      <c r="U65" s="445"/>
      <c r="V65" s="1025"/>
      <c r="W65" s="885"/>
      <c r="X65" s="448"/>
      <c r="Y65" s="448"/>
      <c r="Z65" s="448"/>
      <c r="AA65" s="276"/>
      <c r="AB65" s="276"/>
      <c r="AC65" s="276"/>
      <c r="AD65" s="276"/>
      <c r="AE65" s="276"/>
      <c r="AF65" s="276"/>
      <c r="AG65" s="276"/>
      <c r="AH65" s="1026"/>
      <c r="AI65" s="1026"/>
      <c r="AJ65" s="1027"/>
      <c r="AK65" s="1027"/>
      <c r="AL65" s="1028"/>
      <c r="AM65" s="1027"/>
      <c r="AN65" s="1029"/>
      <c r="AO65" s="1029"/>
      <c r="AP65" s="1029"/>
      <c r="AQ65" s="1030"/>
    </row>
    <row r="66" spans="1:43" s="409" customFormat="1" ht="15.75" x14ac:dyDescent="0.25">
      <c r="A66" s="1021"/>
      <c r="B66" s="1022"/>
      <c r="C66" s="1022"/>
      <c r="D66" s="930"/>
      <c r="E66" s="931"/>
      <c r="F66" s="932"/>
      <c r="G66" s="1031">
        <v>23</v>
      </c>
      <c r="H66" s="1032" t="s">
        <v>1146</v>
      </c>
      <c r="I66" s="1033"/>
      <c r="J66" s="1033"/>
      <c r="K66" s="1034"/>
      <c r="L66" s="1034"/>
      <c r="M66" s="671"/>
      <c r="N66" s="661"/>
      <c r="O66" s="671"/>
      <c r="P66" s="1034"/>
      <c r="Q66" s="671"/>
      <c r="R66" s="1035"/>
      <c r="S66" s="1034"/>
      <c r="T66" s="1034"/>
      <c r="U66" s="1034"/>
      <c r="V66" s="1036"/>
      <c r="W66" s="671"/>
      <c r="X66" s="671"/>
      <c r="Y66" s="671"/>
      <c r="Z66" s="671"/>
      <c r="AA66" s="671"/>
      <c r="AB66" s="671"/>
      <c r="AC66" s="671"/>
      <c r="AD66" s="671"/>
      <c r="AE66" s="671"/>
      <c r="AF66" s="671"/>
      <c r="AG66" s="671"/>
      <c r="AH66" s="671"/>
      <c r="AI66" s="671"/>
      <c r="AJ66" s="1037"/>
      <c r="AK66" s="1037"/>
      <c r="AL66" s="1038"/>
      <c r="AM66" s="1037"/>
      <c r="AN66" s="1037"/>
      <c r="AO66" s="1037"/>
      <c r="AP66" s="1037"/>
      <c r="AQ66" s="1039"/>
    </row>
    <row r="67" spans="1:43" s="409" customFormat="1" ht="89.25" customHeight="1" x14ac:dyDescent="0.25">
      <c r="A67" s="1021"/>
      <c r="B67" s="1022"/>
      <c r="C67" s="1022"/>
      <c r="D67" s="940"/>
      <c r="E67" s="941"/>
      <c r="F67" s="942"/>
      <c r="G67" s="855"/>
      <c r="H67" s="856"/>
      <c r="I67" s="857"/>
      <c r="J67" s="836">
        <v>98</v>
      </c>
      <c r="K67" s="960" t="s">
        <v>1147</v>
      </c>
      <c r="L67" s="960" t="s">
        <v>1148</v>
      </c>
      <c r="M67" s="853">
        <v>55</v>
      </c>
      <c r="N67" s="869"/>
      <c r="O67" s="2773" t="s">
        <v>1149</v>
      </c>
      <c r="P67" s="2793" t="s">
        <v>1150</v>
      </c>
      <c r="Q67" s="1011">
        <v>0</v>
      </c>
      <c r="R67" s="2735">
        <f>+V69+V71</f>
        <v>44075000</v>
      </c>
      <c r="S67" s="2793" t="s">
        <v>1151</v>
      </c>
      <c r="T67" s="960" t="s">
        <v>1152</v>
      </c>
      <c r="U67" s="962" t="s">
        <v>1153</v>
      </c>
      <c r="V67" s="1040"/>
      <c r="W67" s="3062">
        <v>88</v>
      </c>
      <c r="X67" s="3064" t="s">
        <v>1154</v>
      </c>
      <c r="Y67" s="2931">
        <v>21554</v>
      </c>
      <c r="Z67" s="2931">
        <v>22392</v>
      </c>
      <c r="AA67" s="3067">
        <v>31677</v>
      </c>
      <c r="AB67" s="3067">
        <v>10302</v>
      </c>
      <c r="AC67" s="3067">
        <v>10302</v>
      </c>
      <c r="AD67" s="3067">
        <v>93</v>
      </c>
      <c r="AE67" s="3067">
        <v>238</v>
      </c>
      <c r="AF67" s="3067">
        <v>245</v>
      </c>
      <c r="AG67" s="3067">
        <v>0</v>
      </c>
      <c r="AH67" s="3067">
        <v>0</v>
      </c>
      <c r="AI67" s="3067">
        <v>0</v>
      </c>
      <c r="AJ67" s="3068">
        <v>0</v>
      </c>
      <c r="AK67" s="3068">
        <v>2629</v>
      </c>
      <c r="AL67" s="3068">
        <v>2665</v>
      </c>
      <c r="AM67" s="3068">
        <v>2683</v>
      </c>
      <c r="AN67" s="3073">
        <v>43946</v>
      </c>
      <c r="AO67" s="3072">
        <v>43160</v>
      </c>
      <c r="AP67" s="3005">
        <v>43343</v>
      </c>
      <c r="AQ67" s="3046" t="s">
        <v>1029</v>
      </c>
    </row>
    <row r="68" spans="1:43" s="409" customFormat="1" ht="81" customHeight="1" x14ac:dyDescent="0.25">
      <c r="A68" s="1021"/>
      <c r="B68" s="1022"/>
      <c r="C68" s="1022"/>
      <c r="D68" s="940"/>
      <c r="E68" s="941"/>
      <c r="F68" s="942"/>
      <c r="G68" s="856"/>
      <c r="H68" s="856"/>
      <c r="I68" s="857"/>
      <c r="J68" s="827">
        <v>99</v>
      </c>
      <c r="K68" s="669" t="s">
        <v>1155</v>
      </c>
      <c r="L68" s="669" t="s">
        <v>1156</v>
      </c>
      <c r="M68" s="847">
        <v>150</v>
      </c>
      <c r="N68" s="1041"/>
      <c r="O68" s="2773"/>
      <c r="P68" s="2793"/>
      <c r="Q68" s="1042">
        <v>0</v>
      </c>
      <c r="R68" s="2735"/>
      <c r="S68" s="2793"/>
      <c r="T68" s="669" t="s">
        <v>1157</v>
      </c>
      <c r="U68" s="1043" t="s">
        <v>1158</v>
      </c>
      <c r="V68" s="997"/>
      <c r="W68" s="3052"/>
      <c r="X68" s="3065"/>
      <c r="Y68" s="2931"/>
      <c r="Z68" s="2931"/>
      <c r="AA68" s="3067"/>
      <c r="AB68" s="3067"/>
      <c r="AC68" s="3067"/>
      <c r="AD68" s="3067"/>
      <c r="AE68" s="3067"/>
      <c r="AF68" s="3067"/>
      <c r="AG68" s="3067"/>
      <c r="AH68" s="3067"/>
      <c r="AI68" s="3067"/>
      <c r="AJ68" s="3068"/>
      <c r="AK68" s="3068"/>
      <c r="AL68" s="3068"/>
      <c r="AM68" s="3068"/>
      <c r="AN68" s="3073"/>
      <c r="AO68" s="3069"/>
      <c r="AP68" s="2931"/>
      <c r="AQ68" s="3069"/>
    </row>
    <row r="69" spans="1:43" s="409" customFormat="1" ht="72" customHeight="1" x14ac:dyDescent="0.25">
      <c r="A69" s="1021"/>
      <c r="B69" s="1022"/>
      <c r="C69" s="1022"/>
      <c r="D69" s="940"/>
      <c r="E69" s="941"/>
      <c r="F69" s="942"/>
      <c r="G69" s="856"/>
      <c r="H69" s="856"/>
      <c r="I69" s="857"/>
      <c r="J69" s="827">
        <v>100</v>
      </c>
      <c r="K69" s="669" t="s">
        <v>1159</v>
      </c>
      <c r="L69" s="669" t="s">
        <v>1160</v>
      </c>
      <c r="M69" s="847">
        <v>6</v>
      </c>
      <c r="N69" s="869" t="s">
        <v>1161</v>
      </c>
      <c r="O69" s="2773"/>
      <c r="P69" s="2793"/>
      <c r="Q69" s="1042">
        <f>+V69/R67</f>
        <v>0.54622802041973906</v>
      </c>
      <c r="R69" s="2735"/>
      <c r="S69" s="2793"/>
      <c r="T69" s="669" t="s">
        <v>1159</v>
      </c>
      <c r="U69" s="1043" t="s">
        <v>1162</v>
      </c>
      <c r="V69" s="967">
        <v>24075000</v>
      </c>
      <c r="W69" s="3052"/>
      <c r="X69" s="3065"/>
      <c r="Y69" s="2931"/>
      <c r="Z69" s="2931"/>
      <c r="AA69" s="3067"/>
      <c r="AB69" s="3067"/>
      <c r="AC69" s="3067"/>
      <c r="AD69" s="3067"/>
      <c r="AE69" s="3067"/>
      <c r="AF69" s="3067"/>
      <c r="AG69" s="3067"/>
      <c r="AH69" s="3067"/>
      <c r="AI69" s="3067"/>
      <c r="AJ69" s="3068"/>
      <c r="AK69" s="3068"/>
      <c r="AL69" s="3068"/>
      <c r="AM69" s="3068"/>
      <c r="AN69" s="3073"/>
      <c r="AO69" s="3069"/>
      <c r="AP69" s="2931"/>
      <c r="AQ69" s="3069"/>
    </row>
    <row r="70" spans="1:43" s="409" customFormat="1" ht="49.5" customHeight="1" x14ac:dyDescent="0.25">
      <c r="A70" s="1021"/>
      <c r="B70" s="1022"/>
      <c r="C70" s="1022"/>
      <c r="D70" s="940"/>
      <c r="E70" s="941"/>
      <c r="F70" s="942"/>
      <c r="G70" s="856"/>
      <c r="H70" s="856"/>
      <c r="I70" s="857"/>
      <c r="J70" s="827">
        <v>101</v>
      </c>
      <c r="K70" s="669" t="s">
        <v>1163</v>
      </c>
      <c r="L70" s="669" t="s">
        <v>1164</v>
      </c>
      <c r="M70" s="847">
        <v>54</v>
      </c>
      <c r="N70" s="869"/>
      <c r="O70" s="2773"/>
      <c r="P70" s="2793"/>
      <c r="Q70" s="1042">
        <v>0</v>
      </c>
      <c r="R70" s="2735"/>
      <c r="S70" s="2793"/>
      <c r="T70" s="669" t="s">
        <v>1165</v>
      </c>
      <c r="U70" s="837" t="s">
        <v>1166</v>
      </c>
      <c r="V70" s="997"/>
      <c r="W70" s="3052"/>
      <c r="X70" s="3065"/>
      <c r="Y70" s="2931"/>
      <c r="Z70" s="2931"/>
      <c r="AA70" s="3067"/>
      <c r="AB70" s="3067"/>
      <c r="AC70" s="3067"/>
      <c r="AD70" s="3067"/>
      <c r="AE70" s="3067"/>
      <c r="AF70" s="3067"/>
      <c r="AG70" s="3067"/>
      <c r="AH70" s="3067"/>
      <c r="AI70" s="3067"/>
      <c r="AJ70" s="3068"/>
      <c r="AK70" s="3068"/>
      <c r="AL70" s="3068"/>
      <c r="AM70" s="3068"/>
      <c r="AN70" s="3073"/>
      <c r="AO70" s="3069"/>
      <c r="AP70" s="2931"/>
      <c r="AQ70" s="3069"/>
    </row>
    <row r="71" spans="1:43" s="409" customFormat="1" ht="60.75" customHeight="1" x14ac:dyDescent="0.25">
      <c r="A71" s="1021"/>
      <c r="B71" s="1022"/>
      <c r="C71" s="1022"/>
      <c r="D71" s="940"/>
      <c r="E71" s="941"/>
      <c r="F71" s="942"/>
      <c r="G71" s="856"/>
      <c r="H71" s="856"/>
      <c r="I71" s="857"/>
      <c r="J71" s="834">
        <v>102</v>
      </c>
      <c r="K71" s="969" t="s">
        <v>1167</v>
      </c>
      <c r="L71" s="969" t="s">
        <v>1168</v>
      </c>
      <c r="M71" s="860">
        <v>2</v>
      </c>
      <c r="N71" s="869"/>
      <c r="O71" s="2773"/>
      <c r="P71" s="2793"/>
      <c r="Q71" s="1014">
        <f>+V71/R67</f>
        <v>0.45377197958026094</v>
      </c>
      <c r="R71" s="2735"/>
      <c r="S71" s="2793"/>
      <c r="T71" s="969" t="s">
        <v>1169</v>
      </c>
      <c r="U71" s="828" t="s">
        <v>1170</v>
      </c>
      <c r="V71" s="829">
        <v>20000000</v>
      </c>
      <c r="W71" s="3063"/>
      <c r="X71" s="3066"/>
      <c r="Y71" s="2931"/>
      <c r="Z71" s="2931"/>
      <c r="AA71" s="3067"/>
      <c r="AB71" s="3067"/>
      <c r="AC71" s="3067"/>
      <c r="AD71" s="3067"/>
      <c r="AE71" s="3067"/>
      <c r="AF71" s="3067"/>
      <c r="AG71" s="3067"/>
      <c r="AH71" s="3067"/>
      <c r="AI71" s="3067"/>
      <c r="AJ71" s="3068"/>
      <c r="AK71" s="3068"/>
      <c r="AL71" s="3068"/>
      <c r="AM71" s="3068"/>
      <c r="AN71" s="3073"/>
      <c r="AO71" s="3044"/>
      <c r="AP71" s="2931"/>
      <c r="AQ71" s="3044"/>
    </row>
    <row r="72" spans="1:43" s="409" customFormat="1" ht="15.75" x14ac:dyDescent="0.25">
      <c r="A72" s="1044"/>
      <c r="B72" s="1045"/>
      <c r="C72" s="1045"/>
      <c r="D72" s="1044"/>
      <c r="E72" s="1045"/>
      <c r="F72" s="1046"/>
      <c r="G72" s="991">
        <v>24</v>
      </c>
      <c r="H72" s="825" t="s">
        <v>1171</v>
      </c>
      <c r="I72" s="825"/>
      <c r="J72" s="825"/>
      <c r="K72" s="598"/>
      <c r="L72" s="598"/>
      <c r="M72" s="825"/>
      <c r="N72" s="599"/>
      <c r="O72" s="825"/>
      <c r="P72" s="598"/>
      <c r="Q72" s="934"/>
      <c r="R72" s="1047"/>
      <c r="S72" s="598"/>
      <c r="T72" s="598"/>
      <c r="U72" s="598"/>
      <c r="V72" s="621"/>
      <c r="W72" s="933"/>
      <c r="X72" s="825"/>
      <c r="Y72" s="825"/>
      <c r="Z72" s="825"/>
      <c r="AA72" s="825"/>
      <c r="AB72" s="825"/>
      <c r="AC72" s="825"/>
      <c r="AD72" s="825"/>
      <c r="AE72" s="825"/>
      <c r="AF72" s="825"/>
      <c r="AG72" s="825"/>
      <c r="AH72" s="937"/>
      <c r="AI72" s="937"/>
      <c r="AJ72" s="938"/>
      <c r="AK72" s="938"/>
      <c r="AL72" s="938"/>
      <c r="AM72" s="938"/>
      <c r="AN72" s="938"/>
      <c r="AO72" s="938"/>
      <c r="AP72" s="938"/>
      <c r="AQ72" s="952"/>
    </row>
    <row r="73" spans="1:43" s="409" customFormat="1" ht="58.5" customHeight="1" x14ac:dyDescent="0.25">
      <c r="A73" s="649"/>
      <c r="B73" s="109"/>
      <c r="C73" s="109"/>
      <c r="D73" s="649"/>
      <c r="E73" s="109"/>
      <c r="F73" s="650"/>
      <c r="G73" s="856"/>
      <c r="H73" s="856"/>
      <c r="I73" s="857"/>
      <c r="J73" s="836">
        <v>103</v>
      </c>
      <c r="K73" s="960" t="s">
        <v>1172</v>
      </c>
      <c r="L73" s="960" t="s">
        <v>1173</v>
      </c>
      <c r="M73" s="853">
        <v>3</v>
      </c>
      <c r="N73" s="869"/>
      <c r="O73" s="2772" t="s">
        <v>1174</v>
      </c>
      <c r="P73" s="3020" t="s">
        <v>1175</v>
      </c>
      <c r="Q73" s="1011">
        <f>+V73/R73</f>
        <v>2.8901734104046242E-2</v>
      </c>
      <c r="R73" s="2824">
        <f>SUM(V73:V76)</f>
        <v>346000000</v>
      </c>
      <c r="S73" s="3020" t="s">
        <v>1176</v>
      </c>
      <c r="T73" s="3020" t="s">
        <v>1177</v>
      </c>
      <c r="U73" s="852" t="s">
        <v>1178</v>
      </c>
      <c r="V73" s="892">
        <v>10000000</v>
      </c>
      <c r="W73" s="2156" t="s">
        <v>1027</v>
      </c>
      <c r="X73" s="860"/>
      <c r="Y73" s="1048"/>
      <c r="Z73" s="1048"/>
      <c r="AA73" s="1048"/>
      <c r="AB73" s="1048"/>
      <c r="AC73" s="1048"/>
      <c r="AD73" s="1048"/>
      <c r="AE73" s="1048"/>
      <c r="AF73" s="1048"/>
      <c r="AG73" s="1048"/>
      <c r="AH73" s="1048"/>
      <c r="AI73" s="1048"/>
      <c r="AJ73" s="1048"/>
      <c r="AK73" s="1048"/>
      <c r="AL73" s="1048"/>
      <c r="AM73" s="1048"/>
      <c r="AN73" s="1048"/>
      <c r="AO73" s="3070">
        <v>43101</v>
      </c>
      <c r="AP73" s="3070">
        <v>43405</v>
      </c>
      <c r="AQ73" s="3070" t="s">
        <v>1029</v>
      </c>
    </row>
    <row r="74" spans="1:43" s="409" customFormat="1" ht="58.5" customHeight="1" x14ac:dyDescent="0.25">
      <c r="A74" s="649"/>
      <c r="B74" s="109"/>
      <c r="C74" s="109"/>
      <c r="D74" s="649"/>
      <c r="E74" s="109"/>
      <c r="F74" s="650"/>
      <c r="G74" s="856"/>
      <c r="H74" s="856"/>
      <c r="I74" s="857"/>
      <c r="J74" s="827">
        <v>104</v>
      </c>
      <c r="K74" s="669" t="s">
        <v>1179</v>
      </c>
      <c r="L74" s="669" t="s">
        <v>1180</v>
      </c>
      <c r="M74" s="847">
        <v>44</v>
      </c>
      <c r="N74" s="2773" t="s">
        <v>1181</v>
      </c>
      <c r="O74" s="2773"/>
      <c r="P74" s="3021"/>
      <c r="Q74" s="1042">
        <f>+V74/R73</f>
        <v>2.8901734104046242E-2</v>
      </c>
      <c r="R74" s="2825"/>
      <c r="S74" s="3021"/>
      <c r="T74" s="3021"/>
      <c r="U74" s="669" t="s">
        <v>1182</v>
      </c>
      <c r="V74" s="867">
        <v>10000000</v>
      </c>
      <c r="W74" s="2200"/>
      <c r="X74" s="869"/>
      <c r="Y74" s="1049"/>
      <c r="Z74" s="1049"/>
      <c r="AA74" s="1049"/>
      <c r="AB74" s="1049"/>
      <c r="AC74" s="1049"/>
      <c r="AD74" s="1049"/>
      <c r="AE74" s="1049"/>
      <c r="AF74" s="1049"/>
      <c r="AG74" s="1049"/>
      <c r="AH74" s="1049"/>
      <c r="AI74" s="1049"/>
      <c r="AJ74" s="1049"/>
      <c r="AK74" s="1049"/>
      <c r="AL74" s="1049"/>
      <c r="AM74" s="1049"/>
      <c r="AN74" s="1049"/>
      <c r="AO74" s="3071"/>
      <c r="AP74" s="3071"/>
      <c r="AQ74" s="3071"/>
    </row>
    <row r="75" spans="1:43" s="409" customFormat="1" ht="86.25" customHeight="1" x14ac:dyDescent="0.25">
      <c r="A75" s="649"/>
      <c r="B75" s="109"/>
      <c r="C75" s="109"/>
      <c r="D75" s="649"/>
      <c r="E75" s="109"/>
      <c r="F75" s="650"/>
      <c r="G75" s="856"/>
      <c r="H75" s="856"/>
      <c r="I75" s="857"/>
      <c r="J75" s="834">
        <v>105</v>
      </c>
      <c r="K75" s="1012" t="s">
        <v>1183</v>
      </c>
      <c r="L75" s="1012" t="s">
        <v>1180</v>
      </c>
      <c r="M75" s="848">
        <v>47</v>
      </c>
      <c r="N75" s="2773"/>
      <c r="O75" s="2773"/>
      <c r="P75" s="3021"/>
      <c r="Q75" s="1042">
        <f>+V75/R73</f>
        <v>0.80924855491329484</v>
      </c>
      <c r="R75" s="2825"/>
      <c r="S75" s="3021"/>
      <c r="T75" s="3021"/>
      <c r="U75" s="970" t="s">
        <v>1184</v>
      </c>
      <c r="V75" s="1050">
        <f>280000000</f>
        <v>280000000</v>
      </c>
      <c r="W75" s="2200"/>
      <c r="X75" s="869" t="s">
        <v>1154</v>
      </c>
      <c r="Y75" s="1049">
        <v>21554</v>
      </c>
      <c r="Z75" s="1049">
        <v>22392</v>
      </c>
      <c r="AA75" s="1049">
        <v>31677</v>
      </c>
      <c r="AB75" s="1049">
        <v>10302</v>
      </c>
      <c r="AC75" s="1049">
        <v>1874</v>
      </c>
      <c r="AD75" s="1049">
        <v>93</v>
      </c>
      <c r="AE75" s="1049">
        <v>238</v>
      </c>
      <c r="AF75" s="1049">
        <v>245</v>
      </c>
      <c r="AG75" s="1049">
        <v>0</v>
      </c>
      <c r="AH75" s="1049">
        <v>0</v>
      </c>
      <c r="AI75" s="1049">
        <v>0</v>
      </c>
      <c r="AJ75" s="1049">
        <v>0</v>
      </c>
      <c r="AK75" s="1049">
        <v>2629</v>
      </c>
      <c r="AL75" s="1049">
        <v>2629</v>
      </c>
      <c r="AM75" s="1049">
        <v>2683</v>
      </c>
      <c r="AN75" s="1049">
        <v>43946</v>
      </c>
      <c r="AO75" s="3071"/>
      <c r="AP75" s="3071"/>
      <c r="AQ75" s="3071"/>
    </row>
    <row r="76" spans="1:43" s="409" customFormat="1" ht="78" customHeight="1" x14ac:dyDescent="0.25">
      <c r="A76" s="649"/>
      <c r="B76" s="109"/>
      <c r="C76" s="109"/>
      <c r="D76" s="649"/>
      <c r="E76" s="109"/>
      <c r="F76" s="650"/>
      <c r="G76" s="856"/>
      <c r="H76" s="856"/>
      <c r="I76" s="857"/>
      <c r="J76" s="834">
        <v>106</v>
      </c>
      <c r="K76" s="1012" t="s">
        <v>1185</v>
      </c>
      <c r="L76" s="1012" t="s">
        <v>1186</v>
      </c>
      <c r="M76" s="834">
        <v>1</v>
      </c>
      <c r="N76" s="2773"/>
      <c r="O76" s="2773"/>
      <c r="P76" s="3021"/>
      <c r="Q76" s="1042">
        <f>+V76/R73</f>
        <v>0.13294797687861271</v>
      </c>
      <c r="R76" s="2825"/>
      <c r="S76" s="3021"/>
      <c r="T76" s="3021"/>
      <c r="U76" s="970" t="s">
        <v>1187</v>
      </c>
      <c r="V76" s="967">
        <f>46000000</f>
        <v>46000000</v>
      </c>
      <c r="W76" s="2177"/>
      <c r="X76" s="869"/>
      <c r="Y76" s="1049"/>
      <c r="Z76" s="1049"/>
      <c r="AA76" s="1049"/>
      <c r="AB76" s="1049"/>
      <c r="AC76" s="1049"/>
      <c r="AD76" s="1049"/>
      <c r="AE76" s="1049"/>
      <c r="AF76" s="1049"/>
      <c r="AG76" s="1049"/>
      <c r="AH76" s="1049"/>
      <c r="AI76" s="1049"/>
      <c r="AJ76" s="1049"/>
      <c r="AK76" s="1049"/>
      <c r="AL76" s="1049"/>
      <c r="AM76" s="1049"/>
      <c r="AN76" s="1049"/>
      <c r="AO76" s="3072"/>
      <c r="AP76" s="3072"/>
      <c r="AQ76" s="3071"/>
    </row>
    <row r="77" spans="1:43" s="409" customFormat="1" ht="66.75" customHeight="1" x14ac:dyDescent="0.25">
      <c r="A77" s="649"/>
      <c r="B77" s="109"/>
      <c r="C77" s="109"/>
      <c r="D77" s="649"/>
      <c r="E77" s="1051"/>
      <c r="F77" s="650"/>
      <c r="G77" s="856"/>
      <c r="H77" s="856"/>
      <c r="I77" s="1052"/>
      <c r="J77" s="2222">
        <v>107</v>
      </c>
      <c r="K77" s="2232" t="s">
        <v>1188</v>
      </c>
      <c r="L77" s="2229" t="s">
        <v>1189</v>
      </c>
      <c r="M77" s="2222">
        <v>1</v>
      </c>
      <c r="N77" s="831" t="s">
        <v>1190</v>
      </c>
      <c r="O77" s="2184" t="s">
        <v>1191</v>
      </c>
      <c r="P77" s="2232" t="s">
        <v>1192</v>
      </c>
      <c r="Q77" s="2164">
        <f>(+V77+V78)/R77</f>
        <v>1</v>
      </c>
      <c r="R77" s="3074">
        <f>+V77+V78</f>
        <v>1089752352</v>
      </c>
      <c r="S77" s="2232" t="s">
        <v>1176</v>
      </c>
      <c r="T77" s="2232" t="s">
        <v>1177</v>
      </c>
      <c r="U77" s="837" t="s">
        <v>1193</v>
      </c>
      <c r="V77" s="944">
        <f>45000000+44752352</f>
        <v>89752352</v>
      </c>
      <c r="W77" s="2155" t="s">
        <v>1194</v>
      </c>
      <c r="X77" s="2184" t="s">
        <v>1195</v>
      </c>
      <c r="Y77" s="2229">
        <v>21554</v>
      </c>
      <c r="Z77" s="2229">
        <v>22392</v>
      </c>
      <c r="AA77" s="2149">
        <v>31677</v>
      </c>
      <c r="AB77" s="2149">
        <v>10302</v>
      </c>
      <c r="AC77" s="2149">
        <v>15916</v>
      </c>
      <c r="AD77" s="2149">
        <v>15683</v>
      </c>
      <c r="AE77" s="2149">
        <v>238</v>
      </c>
      <c r="AF77" s="2149">
        <v>245</v>
      </c>
      <c r="AG77" s="2149">
        <v>0</v>
      </c>
      <c r="AH77" s="2149">
        <v>0</v>
      </c>
      <c r="AI77" s="2149">
        <v>0</v>
      </c>
      <c r="AJ77" s="3068">
        <v>0</v>
      </c>
      <c r="AK77" s="3068">
        <v>2629</v>
      </c>
      <c r="AL77" s="3068">
        <v>2665</v>
      </c>
      <c r="AM77" s="3068">
        <v>2683</v>
      </c>
      <c r="AN77" s="3073">
        <v>43946</v>
      </c>
      <c r="AO77" s="3075">
        <v>43101</v>
      </c>
      <c r="AP77" s="3075">
        <v>43190</v>
      </c>
      <c r="AQ77" s="3069" t="s">
        <v>1029</v>
      </c>
    </row>
    <row r="78" spans="1:43" s="409" customFormat="1" ht="48.75" customHeight="1" x14ac:dyDescent="0.25">
      <c r="A78" s="649"/>
      <c r="B78" s="109"/>
      <c r="C78" s="109"/>
      <c r="D78" s="655"/>
      <c r="E78" s="656"/>
      <c r="F78" s="657"/>
      <c r="G78" s="856"/>
      <c r="H78" s="856"/>
      <c r="I78" s="856"/>
      <c r="J78" s="2224"/>
      <c r="K78" s="2232"/>
      <c r="L78" s="2229"/>
      <c r="M78" s="2224"/>
      <c r="N78" s="836" t="s">
        <v>1196</v>
      </c>
      <c r="O78" s="2184"/>
      <c r="P78" s="2232"/>
      <c r="Q78" s="2164"/>
      <c r="R78" s="3074"/>
      <c r="S78" s="2232"/>
      <c r="T78" s="2232"/>
      <c r="U78" s="837" t="s">
        <v>1197</v>
      </c>
      <c r="V78" s="944">
        <f>1000000000</f>
        <v>1000000000</v>
      </c>
      <c r="W78" s="2155"/>
      <c r="X78" s="2184"/>
      <c r="Y78" s="2229"/>
      <c r="Z78" s="2229"/>
      <c r="AA78" s="2149"/>
      <c r="AB78" s="2149"/>
      <c r="AC78" s="2149"/>
      <c r="AD78" s="2149"/>
      <c r="AE78" s="2149"/>
      <c r="AF78" s="2149"/>
      <c r="AG78" s="2149"/>
      <c r="AH78" s="2149"/>
      <c r="AI78" s="2149"/>
      <c r="AJ78" s="3068"/>
      <c r="AK78" s="3068"/>
      <c r="AL78" s="3068"/>
      <c r="AM78" s="3068"/>
      <c r="AN78" s="3073"/>
      <c r="AO78" s="3075"/>
      <c r="AP78" s="3075"/>
      <c r="AQ78" s="3069"/>
    </row>
    <row r="79" spans="1:43" s="409" customFormat="1" ht="15.75" x14ac:dyDescent="0.25">
      <c r="A79" s="1021"/>
      <c r="B79" s="1022"/>
      <c r="C79" s="1023"/>
      <c r="D79" s="701">
        <v>8</v>
      </c>
      <c r="E79" s="980" t="s">
        <v>1198</v>
      </c>
      <c r="F79" s="980"/>
      <c r="G79" s="922"/>
      <c r="H79" s="922"/>
      <c r="I79" s="922"/>
      <c r="J79" s="922"/>
      <c r="K79" s="143"/>
      <c r="L79" s="143"/>
      <c r="M79" s="249"/>
      <c r="N79" s="1053"/>
      <c r="O79" s="1053"/>
      <c r="P79" s="143"/>
      <c r="Q79" s="1054"/>
      <c r="R79" s="1055"/>
      <c r="S79" s="143"/>
      <c r="T79" s="143"/>
      <c r="U79" s="143"/>
      <c r="V79" s="1056"/>
      <c r="W79" s="1057"/>
      <c r="X79" s="1053"/>
      <c r="Y79" s="1053"/>
      <c r="Z79" s="1053"/>
      <c r="AA79" s="1058"/>
      <c r="AB79" s="1058"/>
      <c r="AC79" s="1058"/>
      <c r="AD79" s="1058"/>
      <c r="AE79" s="1058"/>
      <c r="AF79" s="1058"/>
      <c r="AG79" s="1058"/>
      <c r="AH79" s="1057"/>
      <c r="AI79" s="1057"/>
      <c r="AJ79" s="1059"/>
      <c r="AK79" s="1059"/>
      <c r="AL79" s="1059"/>
      <c r="AM79" s="1059"/>
      <c r="AN79" s="1060"/>
      <c r="AO79" s="1060"/>
      <c r="AP79" s="1060"/>
      <c r="AQ79" s="1061"/>
    </row>
    <row r="80" spans="1:43" s="409" customFormat="1" ht="15.75" x14ac:dyDescent="0.25">
      <c r="A80" s="1021"/>
      <c r="B80" s="1022"/>
      <c r="C80" s="1022"/>
      <c r="D80" s="1062"/>
      <c r="E80" s="1063"/>
      <c r="F80" s="1064"/>
      <c r="G80" s="991">
        <v>25</v>
      </c>
      <c r="H80" s="825" t="s">
        <v>1199</v>
      </c>
      <c r="I80" s="825"/>
      <c r="J80" s="825"/>
      <c r="K80" s="598"/>
      <c r="L80" s="598"/>
      <c r="M80" s="152"/>
      <c r="N80" s="599"/>
      <c r="O80" s="152"/>
      <c r="P80" s="598"/>
      <c r="Q80" s="152"/>
      <c r="R80" s="620"/>
      <c r="S80" s="598"/>
      <c r="T80" s="598"/>
      <c r="U80" s="598"/>
      <c r="V80" s="621"/>
      <c r="W80" s="152"/>
      <c r="X80" s="152"/>
      <c r="Y80" s="152"/>
      <c r="Z80" s="152"/>
      <c r="AA80" s="152"/>
      <c r="AB80" s="152"/>
      <c r="AC80" s="152"/>
      <c r="AD80" s="152"/>
      <c r="AE80" s="152"/>
      <c r="AF80" s="152"/>
      <c r="AG80" s="152"/>
      <c r="AH80" s="152"/>
      <c r="AI80" s="152"/>
      <c r="AJ80" s="938"/>
      <c r="AK80" s="938"/>
      <c r="AL80" s="938"/>
      <c r="AM80" s="938"/>
      <c r="AN80" s="938"/>
      <c r="AO80" s="938"/>
      <c r="AP80" s="938"/>
      <c r="AQ80" s="952"/>
    </row>
    <row r="81" spans="1:43" s="409" customFormat="1" ht="48" customHeight="1" x14ac:dyDescent="0.25">
      <c r="A81" s="1021"/>
      <c r="B81" s="1022"/>
      <c r="C81" s="1022"/>
      <c r="D81" s="432"/>
      <c r="E81" s="1065"/>
      <c r="F81" s="425"/>
      <c r="G81" s="199"/>
      <c r="H81" s="199"/>
      <c r="I81" s="199"/>
      <c r="J81" s="2222">
        <v>108</v>
      </c>
      <c r="K81" s="3020" t="s">
        <v>1200</v>
      </c>
      <c r="L81" s="3020" t="s">
        <v>1201</v>
      </c>
      <c r="M81" s="2954">
        <v>4</v>
      </c>
      <c r="N81" s="844"/>
      <c r="O81" s="2772" t="s">
        <v>1202</v>
      </c>
      <c r="P81" s="2793" t="s">
        <v>1203</v>
      </c>
      <c r="Q81" s="3076">
        <f>(V81+V82)/R81</f>
        <v>0.35087719298245612</v>
      </c>
      <c r="R81" s="2825">
        <f>+V81+V82+V83</f>
        <v>57000000</v>
      </c>
      <c r="S81" s="2793" t="s">
        <v>1204</v>
      </c>
      <c r="T81" s="3020" t="s">
        <v>1205</v>
      </c>
      <c r="U81" s="3034" t="s">
        <v>1206</v>
      </c>
      <c r="V81" s="967">
        <v>10000000</v>
      </c>
      <c r="W81" s="2843" t="s">
        <v>1027</v>
      </c>
      <c r="X81" s="2772" t="s">
        <v>1028</v>
      </c>
      <c r="Y81" s="3040">
        <v>21554</v>
      </c>
      <c r="Z81" s="3040">
        <v>22392</v>
      </c>
      <c r="AA81" s="3040">
        <v>31677</v>
      </c>
      <c r="AB81" s="3040">
        <v>10302</v>
      </c>
      <c r="AC81" s="3040">
        <v>15916</v>
      </c>
      <c r="AD81" s="3040">
        <v>15683</v>
      </c>
      <c r="AE81" s="3040">
        <v>238</v>
      </c>
      <c r="AF81" s="3040">
        <v>245</v>
      </c>
      <c r="AG81" s="3040">
        <v>0</v>
      </c>
      <c r="AH81" s="3040">
        <v>0</v>
      </c>
      <c r="AI81" s="3040">
        <v>0</v>
      </c>
      <c r="AJ81" s="3040">
        <v>0</v>
      </c>
      <c r="AK81" s="3040">
        <v>2629</v>
      </c>
      <c r="AL81" s="3040">
        <v>2665</v>
      </c>
      <c r="AM81" s="3040">
        <v>2683</v>
      </c>
      <c r="AN81" s="3040">
        <v>43946</v>
      </c>
      <c r="AO81" s="3072">
        <v>43104</v>
      </c>
      <c r="AP81" s="3072">
        <v>43373</v>
      </c>
      <c r="AQ81" s="3046" t="s">
        <v>1029</v>
      </c>
    </row>
    <row r="82" spans="1:43" s="409" customFormat="1" ht="36" customHeight="1" x14ac:dyDescent="0.25">
      <c r="A82" s="1021"/>
      <c r="B82" s="1022"/>
      <c r="C82" s="1022"/>
      <c r="D82" s="432"/>
      <c r="E82" s="1065"/>
      <c r="F82" s="425"/>
      <c r="G82" s="199"/>
      <c r="H82" s="199"/>
      <c r="I82" s="199"/>
      <c r="J82" s="2224"/>
      <c r="K82" s="3022"/>
      <c r="L82" s="3022"/>
      <c r="M82" s="2955"/>
      <c r="N82" s="850" t="s">
        <v>1207</v>
      </c>
      <c r="O82" s="2773"/>
      <c r="P82" s="2793"/>
      <c r="Q82" s="3077"/>
      <c r="R82" s="2825"/>
      <c r="S82" s="2793"/>
      <c r="T82" s="3022"/>
      <c r="U82" s="3035"/>
      <c r="V82" s="967">
        <v>10000000</v>
      </c>
      <c r="W82" s="2807"/>
      <c r="X82" s="2773"/>
      <c r="Y82" s="3040"/>
      <c r="Z82" s="3040"/>
      <c r="AA82" s="3040"/>
      <c r="AB82" s="3040"/>
      <c r="AC82" s="3040"/>
      <c r="AD82" s="3040"/>
      <c r="AE82" s="3040"/>
      <c r="AF82" s="3040"/>
      <c r="AG82" s="3040"/>
      <c r="AH82" s="3040"/>
      <c r="AI82" s="3040"/>
      <c r="AJ82" s="3040"/>
      <c r="AK82" s="3040"/>
      <c r="AL82" s="3040"/>
      <c r="AM82" s="3040"/>
      <c r="AN82" s="3040"/>
      <c r="AO82" s="3071"/>
      <c r="AP82" s="3071"/>
      <c r="AQ82" s="3045"/>
    </row>
    <row r="83" spans="1:43" s="409" customFormat="1" ht="82.5" customHeight="1" x14ac:dyDescent="0.25">
      <c r="A83" s="1021"/>
      <c r="B83" s="1022"/>
      <c r="C83" s="1022"/>
      <c r="D83" s="432"/>
      <c r="E83" s="1065"/>
      <c r="F83" s="425"/>
      <c r="G83" s="199"/>
      <c r="H83" s="199"/>
      <c r="I83" s="199"/>
      <c r="J83" s="834">
        <v>109</v>
      </c>
      <c r="K83" s="969" t="s">
        <v>1208</v>
      </c>
      <c r="L83" s="969" t="s">
        <v>1209</v>
      </c>
      <c r="M83" s="848">
        <v>52</v>
      </c>
      <c r="N83" s="845" t="s">
        <v>1210</v>
      </c>
      <c r="O83" s="2774"/>
      <c r="P83" s="2793"/>
      <c r="Q83" s="863">
        <f>+V83/R81</f>
        <v>0.64912280701754388</v>
      </c>
      <c r="R83" s="2825"/>
      <c r="S83" s="2793"/>
      <c r="T83" s="969" t="s">
        <v>1211</v>
      </c>
      <c r="U83" s="839" t="s">
        <v>1212</v>
      </c>
      <c r="V83" s="1050">
        <v>37000000</v>
      </c>
      <c r="W83" s="2864"/>
      <c r="X83" s="2774"/>
      <c r="Y83" s="3040"/>
      <c r="Z83" s="3040"/>
      <c r="AA83" s="3040"/>
      <c r="AB83" s="3040"/>
      <c r="AC83" s="3040"/>
      <c r="AD83" s="3040"/>
      <c r="AE83" s="3040"/>
      <c r="AF83" s="3040"/>
      <c r="AG83" s="3040"/>
      <c r="AH83" s="3040"/>
      <c r="AI83" s="3040"/>
      <c r="AJ83" s="3040"/>
      <c r="AK83" s="3040"/>
      <c r="AL83" s="3040"/>
      <c r="AM83" s="3040"/>
      <c r="AN83" s="3040"/>
      <c r="AO83" s="3044"/>
      <c r="AP83" s="3044"/>
      <c r="AQ83" s="3044"/>
    </row>
    <row r="84" spans="1:43" s="409" customFormat="1" ht="15.75" x14ac:dyDescent="0.25">
      <c r="A84" s="1044"/>
      <c r="B84" s="1045"/>
      <c r="C84" s="1045"/>
      <c r="D84" s="1044"/>
      <c r="E84" s="1045"/>
      <c r="F84" s="1046"/>
      <c r="G84" s="991">
        <v>26</v>
      </c>
      <c r="H84" s="825" t="s">
        <v>1213</v>
      </c>
      <c r="I84" s="825"/>
      <c r="J84" s="825"/>
      <c r="K84" s="598"/>
      <c r="L84" s="598"/>
      <c r="M84" s="152"/>
      <c r="N84" s="599"/>
      <c r="O84" s="152"/>
      <c r="P84" s="598"/>
      <c r="Q84" s="152"/>
      <c r="R84" s="620"/>
      <c r="S84" s="598"/>
      <c r="T84" s="598"/>
      <c r="U84" s="598"/>
      <c r="V84" s="621"/>
      <c r="W84" s="152"/>
      <c r="X84" s="152"/>
      <c r="Y84" s="152"/>
      <c r="Z84" s="152"/>
      <c r="AA84" s="152"/>
      <c r="AB84" s="152"/>
      <c r="AC84" s="152"/>
      <c r="AD84" s="152"/>
      <c r="AE84" s="152"/>
      <c r="AF84" s="152"/>
      <c r="AG84" s="152"/>
      <c r="AH84" s="152"/>
      <c r="AI84" s="152"/>
      <c r="AJ84" s="938"/>
      <c r="AK84" s="938"/>
      <c r="AL84" s="938"/>
      <c r="AM84" s="938"/>
      <c r="AN84" s="938"/>
      <c r="AO84" s="938"/>
      <c r="AP84" s="938"/>
      <c r="AQ84" s="952"/>
    </row>
    <row r="85" spans="1:43" s="409" customFormat="1" ht="113.25" customHeight="1" x14ac:dyDescent="0.25">
      <c r="A85" s="1021" t="s">
        <v>1214</v>
      </c>
      <c r="B85" s="1022"/>
      <c r="C85" s="1022"/>
      <c r="D85" s="1021"/>
      <c r="E85" s="1022"/>
      <c r="F85" s="1023"/>
      <c r="G85" s="199"/>
      <c r="H85" s="199"/>
      <c r="I85" s="199"/>
      <c r="J85" s="835">
        <v>110</v>
      </c>
      <c r="K85" s="1066" t="s">
        <v>1215</v>
      </c>
      <c r="L85" s="1066" t="s">
        <v>1216</v>
      </c>
      <c r="M85" s="862">
        <v>200</v>
      </c>
      <c r="N85" s="869" t="s">
        <v>1217</v>
      </c>
      <c r="O85" s="859" t="s">
        <v>1218</v>
      </c>
      <c r="P85" s="1067" t="s">
        <v>1219</v>
      </c>
      <c r="Q85" s="864">
        <f>+V85/R85</f>
        <v>1</v>
      </c>
      <c r="R85" s="876">
        <f>+V85</f>
        <v>758000000</v>
      </c>
      <c r="S85" s="1066" t="s">
        <v>1220</v>
      </c>
      <c r="T85" s="1066" t="s">
        <v>1221</v>
      </c>
      <c r="U85" s="995" t="s">
        <v>1222</v>
      </c>
      <c r="V85" s="879">
        <f>2758000000-2000000000</f>
        <v>758000000</v>
      </c>
      <c r="W85" s="874">
        <v>25</v>
      </c>
      <c r="X85" s="869" t="s">
        <v>1223</v>
      </c>
      <c r="Y85" s="869">
        <v>21554</v>
      </c>
      <c r="Z85" s="869">
        <v>22392</v>
      </c>
      <c r="AA85" s="874">
        <v>31677</v>
      </c>
      <c r="AB85" s="874">
        <v>10302</v>
      </c>
      <c r="AC85" s="874">
        <v>15916</v>
      </c>
      <c r="AD85" s="874">
        <v>15683</v>
      </c>
      <c r="AE85" s="874">
        <v>238</v>
      </c>
      <c r="AF85" s="874">
        <v>245</v>
      </c>
      <c r="AG85" s="874">
        <v>0</v>
      </c>
      <c r="AH85" s="874">
        <v>0</v>
      </c>
      <c r="AI85" s="1068">
        <v>0</v>
      </c>
      <c r="AJ85" s="1069">
        <v>0</v>
      </c>
      <c r="AK85" s="1069">
        <v>2629</v>
      </c>
      <c r="AL85" s="1069">
        <v>2665</v>
      </c>
      <c r="AM85" s="1069">
        <v>2683</v>
      </c>
      <c r="AN85" s="1070">
        <v>43946</v>
      </c>
      <c r="AO85" s="1004">
        <v>43101</v>
      </c>
      <c r="AP85" s="1004">
        <v>43190</v>
      </c>
      <c r="AQ85" s="1071" t="s">
        <v>1029</v>
      </c>
    </row>
    <row r="86" spans="1:43" s="409" customFormat="1" ht="15.75" x14ac:dyDescent="0.25">
      <c r="A86" s="1044"/>
      <c r="B86" s="1045"/>
      <c r="C86" s="1045"/>
      <c r="D86" s="1044"/>
      <c r="E86" s="1045"/>
      <c r="F86" s="1046"/>
      <c r="G86" s="991">
        <v>27</v>
      </c>
      <c r="H86" s="825" t="s">
        <v>1224</v>
      </c>
      <c r="I86" s="825"/>
      <c r="J86" s="825"/>
      <c r="K86" s="598"/>
      <c r="L86" s="598"/>
      <c r="M86" s="152"/>
      <c r="N86" s="599"/>
      <c r="O86" s="152"/>
      <c r="P86" s="598"/>
      <c r="Q86" s="152"/>
      <c r="R86" s="620"/>
      <c r="S86" s="598"/>
      <c r="T86" s="598"/>
      <c r="U86" s="598"/>
      <c r="V86" s="621"/>
      <c r="W86" s="152"/>
      <c r="X86" s="152"/>
      <c r="Y86" s="152"/>
      <c r="Z86" s="152"/>
      <c r="AA86" s="152"/>
      <c r="AB86" s="152"/>
      <c r="AC86" s="152"/>
      <c r="AD86" s="152"/>
      <c r="AE86" s="152"/>
      <c r="AF86" s="152"/>
      <c r="AG86" s="152"/>
      <c r="AH86" s="152"/>
      <c r="AI86" s="152"/>
      <c r="AJ86" s="938"/>
      <c r="AK86" s="938"/>
      <c r="AL86" s="938"/>
      <c r="AM86" s="938"/>
      <c r="AN86" s="938"/>
      <c r="AO86" s="938"/>
      <c r="AP86" s="938"/>
      <c r="AQ86" s="952"/>
    </row>
    <row r="87" spans="1:43" s="409" customFormat="1" ht="120" customHeight="1" x14ac:dyDescent="0.25">
      <c r="A87" s="1044"/>
      <c r="B87" s="1045"/>
      <c r="C87" s="1045"/>
      <c r="D87" s="1044"/>
      <c r="E87" s="1045"/>
      <c r="F87" s="1046"/>
      <c r="G87" s="199"/>
      <c r="H87" s="199"/>
      <c r="I87" s="199"/>
      <c r="J87" s="835">
        <v>111</v>
      </c>
      <c r="K87" s="1066" t="s">
        <v>1225</v>
      </c>
      <c r="L87" s="1066" t="s">
        <v>1226</v>
      </c>
      <c r="M87" s="1072">
        <v>1</v>
      </c>
      <c r="N87" s="833" t="s">
        <v>1227</v>
      </c>
      <c r="O87" s="850" t="s">
        <v>1228</v>
      </c>
      <c r="P87" s="1066" t="s">
        <v>1229</v>
      </c>
      <c r="Q87" s="864">
        <f>+V87/R87</f>
        <v>1</v>
      </c>
      <c r="R87" s="876">
        <f>+V87</f>
        <v>19200000000</v>
      </c>
      <c r="S87" s="1066" t="s">
        <v>1230</v>
      </c>
      <c r="T87" s="1066" t="s">
        <v>1231</v>
      </c>
      <c r="U87" s="995" t="s">
        <v>1232</v>
      </c>
      <c r="V87" s="879">
        <f>19000000000+200000000</f>
        <v>19200000000</v>
      </c>
      <c r="W87" s="849" t="s">
        <v>1233</v>
      </c>
      <c r="X87" s="850" t="s">
        <v>1234</v>
      </c>
      <c r="Y87" s="869">
        <v>21554</v>
      </c>
      <c r="Z87" s="869">
        <v>22392</v>
      </c>
      <c r="AA87" s="874">
        <v>31677</v>
      </c>
      <c r="AB87" s="874">
        <v>10302</v>
      </c>
      <c r="AC87" s="874">
        <v>15916</v>
      </c>
      <c r="AD87" s="874">
        <v>15683</v>
      </c>
      <c r="AE87" s="874">
        <v>238</v>
      </c>
      <c r="AF87" s="874">
        <v>245</v>
      </c>
      <c r="AG87" s="874">
        <v>0</v>
      </c>
      <c r="AH87" s="874">
        <v>0</v>
      </c>
      <c r="AI87" s="1068">
        <v>0</v>
      </c>
      <c r="AJ87" s="1069">
        <v>0</v>
      </c>
      <c r="AK87" s="1069">
        <v>2629</v>
      </c>
      <c r="AL87" s="1069">
        <v>2665</v>
      </c>
      <c r="AM87" s="1069">
        <v>2683</v>
      </c>
      <c r="AN87" s="1070">
        <f>Y87+Z87</f>
        <v>43946</v>
      </c>
      <c r="AO87" s="1004">
        <v>43101</v>
      </c>
      <c r="AP87" s="1004">
        <v>43465</v>
      </c>
      <c r="AQ87" s="1071" t="s">
        <v>1029</v>
      </c>
    </row>
    <row r="88" spans="1:43" s="409" customFormat="1" ht="15.75" x14ac:dyDescent="0.25">
      <c r="A88" s="1044"/>
      <c r="B88" s="1045"/>
      <c r="C88" s="1045"/>
      <c r="D88" s="1044"/>
      <c r="E88" s="1045"/>
      <c r="F88" s="1046"/>
      <c r="G88" s="991">
        <v>28</v>
      </c>
      <c r="H88" s="825" t="s">
        <v>1235</v>
      </c>
      <c r="I88" s="825"/>
      <c r="J88" s="825"/>
      <c r="K88" s="598"/>
      <c r="L88" s="598"/>
      <c r="M88" s="152"/>
      <c r="N88" s="599"/>
      <c r="O88" s="599"/>
      <c r="P88" s="598"/>
      <c r="Q88" s="600"/>
      <c r="R88" s="620"/>
      <c r="S88" s="598"/>
      <c r="T88" s="598"/>
      <c r="U88" s="598"/>
      <c r="V88" s="621"/>
      <c r="W88" s="1073"/>
      <c r="X88" s="599"/>
      <c r="Y88" s="599"/>
      <c r="Z88" s="599"/>
      <c r="AA88" s="152"/>
      <c r="AB88" s="152"/>
      <c r="AC88" s="152"/>
      <c r="AD88" s="152"/>
      <c r="AE88" s="152"/>
      <c r="AF88" s="152"/>
      <c r="AG88" s="152"/>
      <c r="AH88" s="624"/>
      <c r="AI88" s="624"/>
      <c r="AJ88" s="938"/>
      <c r="AK88" s="938"/>
      <c r="AL88" s="938"/>
      <c r="AM88" s="938"/>
      <c r="AN88" s="938"/>
      <c r="AO88" s="938"/>
      <c r="AP88" s="938"/>
      <c r="AQ88" s="952"/>
    </row>
    <row r="89" spans="1:43" s="409" customFormat="1" ht="63" customHeight="1" x14ac:dyDescent="0.25">
      <c r="A89" s="1044"/>
      <c r="B89" s="1045"/>
      <c r="C89" s="1045"/>
      <c r="D89" s="432"/>
      <c r="E89" s="1065"/>
      <c r="F89" s="425"/>
      <c r="G89" s="856"/>
      <c r="H89" s="856"/>
      <c r="I89" s="856"/>
      <c r="J89" s="2223">
        <v>112</v>
      </c>
      <c r="K89" s="2793" t="s">
        <v>1236</v>
      </c>
      <c r="L89" s="2793" t="s">
        <v>1237</v>
      </c>
      <c r="M89" s="3040">
        <v>20</v>
      </c>
      <c r="N89" s="2773" t="s">
        <v>1238</v>
      </c>
      <c r="O89" s="2773" t="s">
        <v>1239</v>
      </c>
      <c r="P89" s="2793" t="s">
        <v>1240</v>
      </c>
      <c r="Q89" s="2734">
        <f>+V89/R89</f>
        <v>9.5238095238095233E-2</v>
      </c>
      <c r="R89" s="2735">
        <f>+V89+V91</f>
        <v>21000000</v>
      </c>
      <c r="S89" s="2783" t="s">
        <v>1241</v>
      </c>
      <c r="T89" s="2793" t="s">
        <v>1242</v>
      </c>
      <c r="U89" s="2793" t="s">
        <v>1243</v>
      </c>
      <c r="V89" s="3058">
        <f>10000000-8000000</f>
        <v>2000000</v>
      </c>
      <c r="W89" s="3062">
        <v>20</v>
      </c>
      <c r="X89" s="3006" t="s">
        <v>72</v>
      </c>
      <c r="Y89" s="3040">
        <v>21554</v>
      </c>
      <c r="Z89" s="3040">
        <v>22392</v>
      </c>
      <c r="AA89" s="3040">
        <v>31677</v>
      </c>
      <c r="AB89" s="3040">
        <v>10302</v>
      </c>
      <c r="AC89" s="3040">
        <v>15916</v>
      </c>
      <c r="AD89" s="3040">
        <v>15683</v>
      </c>
      <c r="AE89" s="3040">
        <v>238</v>
      </c>
      <c r="AF89" s="3040">
        <v>245</v>
      </c>
      <c r="AG89" s="3040">
        <v>0</v>
      </c>
      <c r="AH89" s="3040">
        <v>0</v>
      </c>
      <c r="AI89" s="3040">
        <v>0</v>
      </c>
      <c r="AJ89" s="3040">
        <v>0</v>
      </c>
      <c r="AK89" s="3040">
        <v>2629</v>
      </c>
      <c r="AL89" s="3040">
        <v>2665</v>
      </c>
      <c r="AM89" s="3040">
        <v>2683</v>
      </c>
      <c r="AN89" s="3040">
        <f>Y89+Z89</f>
        <v>43946</v>
      </c>
      <c r="AO89" s="3071">
        <v>43101</v>
      </c>
      <c r="AP89" s="3071">
        <v>43465</v>
      </c>
      <c r="AQ89" s="3045" t="s">
        <v>1029</v>
      </c>
    </row>
    <row r="90" spans="1:43" s="409" customFormat="1" ht="55.5" customHeight="1" x14ac:dyDescent="0.25">
      <c r="A90" s="1044"/>
      <c r="B90" s="1045"/>
      <c r="C90" s="1045"/>
      <c r="D90" s="432"/>
      <c r="E90" s="1065"/>
      <c r="F90" s="425"/>
      <c r="G90" s="856"/>
      <c r="H90" s="856"/>
      <c r="I90" s="856"/>
      <c r="J90" s="2224"/>
      <c r="K90" s="2784"/>
      <c r="L90" s="2784"/>
      <c r="M90" s="3078"/>
      <c r="N90" s="2773"/>
      <c r="O90" s="2773"/>
      <c r="P90" s="2793"/>
      <c r="Q90" s="3077"/>
      <c r="R90" s="2735"/>
      <c r="S90" s="2793"/>
      <c r="T90" s="2784"/>
      <c r="U90" s="2784"/>
      <c r="V90" s="3059"/>
      <c r="W90" s="3052"/>
      <c r="X90" s="3040"/>
      <c r="Y90" s="3040"/>
      <c r="Z90" s="3040"/>
      <c r="AA90" s="3040"/>
      <c r="AB90" s="3040"/>
      <c r="AC90" s="3040"/>
      <c r="AD90" s="3040"/>
      <c r="AE90" s="3040"/>
      <c r="AF90" s="3040"/>
      <c r="AG90" s="3040"/>
      <c r="AH90" s="3040"/>
      <c r="AI90" s="3040"/>
      <c r="AJ90" s="3040"/>
      <c r="AK90" s="3040"/>
      <c r="AL90" s="3040"/>
      <c r="AM90" s="3040"/>
      <c r="AN90" s="3040"/>
      <c r="AO90" s="3045"/>
      <c r="AP90" s="3045"/>
      <c r="AQ90" s="3045"/>
    </row>
    <row r="91" spans="1:43" s="409" customFormat="1" ht="103.5" customHeight="1" x14ac:dyDescent="0.25">
      <c r="A91" s="1044"/>
      <c r="B91" s="1045"/>
      <c r="C91" s="1045"/>
      <c r="D91" s="432"/>
      <c r="E91" s="1065"/>
      <c r="F91" s="425"/>
      <c r="G91" s="856"/>
      <c r="H91" s="856"/>
      <c r="I91" s="856"/>
      <c r="J91" s="834">
        <v>113</v>
      </c>
      <c r="K91" s="846" t="s">
        <v>1244</v>
      </c>
      <c r="L91" s="846" t="s">
        <v>1245</v>
      </c>
      <c r="M91" s="860">
        <v>3</v>
      </c>
      <c r="N91" s="2773"/>
      <c r="O91" s="2773"/>
      <c r="P91" s="2793"/>
      <c r="Q91" s="863">
        <f>+V91/R89</f>
        <v>0.90476190476190477</v>
      </c>
      <c r="R91" s="2735"/>
      <c r="S91" s="2793"/>
      <c r="T91" s="846" t="s">
        <v>1246</v>
      </c>
      <c r="U91" s="846" t="s">
        <v>1247</v>
      </c>
      <c r="V91" s="971">
        <f>11000000+8000000</f>
        <v>19000000</v>
      </c>
      <c r="W91" s="3063"/>
      <c r="X91" s="3078"/>
      <c r="Y91" s="3040"/>
      <c r="Z91" s="3040"/>
      <c r="AA91" s="3040"/>
      <c r="AB91" s="3040"/>
      <c r="AC91" s="3040"/>
      <c r="AD91" s="3040"/>
      <c r="AE91" s="3040"/>
      <c r="AF91" s="3040"/>
      <c r="AG91" s="3040"/>
      <c r="AH91" s="3040"/>
      <c r="AI91" s="3040"/>
      <c r="AJ91" s="3040"/>
      <c r="AK91" s="3040"/>
      <c r="AL91" s="3040"/>
      <c r="AM91" s="3040"/>
      <c r="AN91" s="3040"/>
      <c r="AO91" s="3045"/>
      <c r="AP91" s="3045"/>
      <c r="AQ91" s="3045"/>
    </row>
    <row r="92" spans="1:43" s="409" customFormat="1" ht="15.75" x14ac:dyDescent="0.25">
      <c r="A92" s="1044"/>
      <c r="B92" s="1045"/>
      <c r="C92" s="1046"/>
      <c r="D92" s="701">
        <v>16</v>
      </c>
      <c r="E92" s="980" t="s">
        <v>261</v>
      </c>
      <c r="F92" s="980"/>
      <c r="G92" s="922"/>
      <c r="H92" s="922"/>
      <c r="I92" s="922"/>
      <c r="J92" s="922"/>
      <c r="K92" s="243"/>
      <c r="L92" s="243"/>
      <c r="M92" s="242"/>
      <c r="N92" s="244"/>
      <c r="O92" s="244"/>
      <c r="P92" s="243"/>
      <c r="Q92" s="981"/>
      <c r="R92" s="982"/>
      <c r="S92" s="243"/>
      <c r="T92" s="243"/>
      <c r="U92" s="243"/>
      <c r="V92" s="983"/>
      <c r="W92" s="1074"/>
      <c r="X92" s="244"/>
      <c r="Y92" s="244"/>
      <c r="Z92" s="244"/>
      <c r="AA92" s="242"/>
      <c r="AB92" s="242"/>
      <c r="AC92" s="242"/>
      <c r="AD92" s="242"/>
      <c r="AE92" s="242"/>
      <c r="AF92" s="242"/>
      <c r="AG92" s="242"/>
      <c r="AH92" s="984"/>
      <c r="AI92" s="984"/>
      <c r="AJ92" s="926"/>
      <c r="AK92" s="926"/>
      <c r="AL92" s="926"/>
      <c r="AM92" s="926"/>
      <c r="AN92" s="926"/>
      <c r="AO92" s="926"/>
      <c r="AP92" s="926"/>
      <c r="AQ92" s="985"/>
    </row>
    <row r="93" spans="1:43" s="409" customFormat="1" ht="15.75" x14ac:dyDescent="0.25">
      <c r="A93" s="1044"/>
      <c r="B93" s="1045"/>
      <c r="C93" s="1046"/>
      <c r="D93" s="1075"/>
      <c r="E93" s="1075"/>
      <c r="F93" s="1076"/>
      <c r="G93" s="991">
        <v>57</v>
      </c>
      <c r="H93" s="152" t="s">
        <v>1248</v>
      </c>
      <c r="I93" s="152"/>
      <c r="J93" s="152"/>
      <c r="K93" s="731"/>
      <c r="L93" s="731"/>
      <c r="M93" s="1077"/>
      <c r="N93" s="1078"/>
      <c r="O93" s="599"/>
      <c r="P93" s="598"/>
      <c r="Q93" s="600"/>
      <c r="R93" s="620"/>
      <c r="S93" s="598"/>
      <c r="T93" s="598"/>
      <c r="U93" s="598"/>
      <c r="V93" s="621"/>
      <c r="W93" s="672"/>
      <c r="X93" s="599"/>
      <c r="Y93" s="599"/>
      <c r="Z93" s="599"/>
      <c r="AA93" s="152"/>
      <c r="AB93" s="152"/>
      <c r="AC93" s="152"/>
      <c r="AD93" s="152"/>
      <c r="AE93" s="152"/>
      <c r="AF93" s="152"/>
      <c r="AG93" s="152"/>
      <c r="AH93" s="624"/>
      <c r="AI93" s="624"/>
      <c r="AJ93" s="938"/>
      <c r="AK93" s="938"/>
      <c r="AL93" s="938"/>
      <c r="AM93" s="938"/>
      <c r="AN93" s="938"/>
      <c r="AO93" s="938"/>
      <c r="AP93" s="938"/>
      <c r="AQ93" s="952"/>
    </row>
    <row r="94" spans="1:43" s="409" customFormat="1" ht="111" customHeight="1" x14ac:dyDescent="0.25">
      <c r="A94" s="1079"/>
      <c r="B94" s="1080"/>
      <c r="C94" s="1081"/>
      <c r="D94" s="1082"/>
      <c r="E94" s="1082"/>
      <c r="F94" s="1083"/>
      <c r="G94" s="1084"/>
      <c r="H94" s="1084"/>
      <c r="I94" s="1084"/>
      <c r="J94" s="836">
        <v>182</v>
      </c>
      <c r="K94" s="960" t="s">
        <v>1249</v>
      </c>
      <c r="L94" s="960" t="s">
        <v>1250</v>
      </c>
      <c r="M94" s="870">
        <v>1</v>
      </c>
      <c r="N94" s="845" t="s">
        <v>1251</v>
      </c>
      <c r="O94" s="845" t="s">
        <v>1252</v>
      </c>
      <c r="P94" s="960" t="s">
        <v>1253</v>
      </c>
      <c r="Q94" s="865">
        <f>+V94/R94</f>
        <v>1</v>
      </c>
      <c r="R94" s="866">
        <f>+V94</f>
        <v>29000000</v>
      </c>
      <c r="S94" s="960" t="s">
        <v>1254</v>
      </c>
      <c r="T94" s="960" t="s">
        <v>1249</v>
      </c>
      <c r="U94" s="960" t="s">
        <v>1255</v>
      </c>
      <c r="V94" s="866">
        <v>29000000</v>
      </c>
      <c r="W94" s="875">
        <v>20</v>
      </c>
      <c r="X94" s="870" t="s">
        <v>72</v>
      </c>
      <c r="Y94" s="870">
        <v>21554</v>
      </c>
      <c r="Z94" s="870">
        <v>22392</v>
      </c>
      <c r="AA94" s="875">
        <v>31677</v>
      </c>
      <c r="AB94" s="875">
        <v>10302</v>
      </c>
      <c r="AC94" s="875">
        <v>15916</v>
      </c>
      <c r="AD94" s="875">
        <v>15683</v>
      </c>
      <c r="AE94" s="875">
        <v>238</v>
      </c>
      <c r="AF94" s="875">
        <v>245</v>
      </c>
      <c r="AG94" s="875">
        <v>0</v>
      </c>
      <c r="AH94" s="875">
        <v>0</v>
      </c>
      <c r="AI94" s="1085">
        <v>0</v>
      </c>
      <c r="AJ94" s="1086">
        <v>0</v>
      </c>
      <c r="AK94" s="1086">
        <v>2629</v>
      </c>
      <c r="AL94" s="1086">
        <v>2665</v>
      </c>
      <c r="AM94" s="1086">
        <v>2683</v>
      </c>
      <c r="AN94" s="1087">
        <v>4396</v>
      </c>
      <c r="AO94" s="1088"/>
      <c r="AP94" s="1089"/>
      <c r="AQ94" s="1090" t="s">
        <v>1256</v>
      </c>
    </row>
    <row r="95" spans="1:43" s="1098" customFormat="1" ht="31.5" customHeight="1" x14ac:dyDescent="0.25">
      <c r="A95" s="3079"/>
      <c r="B95" s="3080"/>
      <c r="C95" s="3080"/>
      <c r="D95" s="3080"/>
      <c r="E95" s="3080"/>
      <c r="F95" s="3080"/>
      <c r="G95" s="3080"/>
      <c r="H95" s="3080"/>
      <c r="I95" s="2985"/>
      <c r="J95" s="823"/>
      <c r="K95" s="1091"/>
      <c r="L95" s="1091"/>
      <c r="M95" s="861"/>
      <c r="N95" s="861"/>
      <c r="O95" s="1092"/>
      <c r="P95" s="1091"/>
      <c r="Q95" s="1093"/>
      <c r="R95" s="1094">
        <f>SUM(R11:R94)</f>
        <v>178942058408</v>
      </c>
      <c r="S95" s="1091"/>
      <c r="T95" s="1091"/>
      <c r="U95" s="1091"/>
      <c r="V95" s="1094">
        <f>SUM(V11:V94)</f>
        <v>178942058408</v>
      </c>
      <c r="W95" s="1095"/>
      <c r="X95" s="1095"/>
      <c r="Y95" s="1095"/>
      <c r="Z95" s="1095"/>
      <c r="AA95" s="1095"/>
      <c r="AB95" s="1095"/>
      <c r="AC95" s="1095"/>
      <c r="AD95" s="1095"/>
      <c r="AE95" s="1095"/>
      <c r="AF95" s="1095"/>
      <c r="AG95" s="1095"/>
      <c r="AH95" s="1095"/>
      <c r="AI95" s="1095"/>
      <c r="AJ95" s="1095"/>
      <c r="AK95" s="1095"/>
      <c r="AL95" s="1095"/>
      <c r="AM95" s="1095"/>
      <c r="AN95" s="1095"/>
      <c r="AO95" s="1096"/>
      <c r="AP95" s="1096"/>
      <c r="AQ95" s="1097"/>
    </row>
    <row r="96" spans="1:43" s="409" customFormat="1" ht="15.75" x14ac:dyDescent="0.25">
      <c r="A96" s="202"/>
      <c r="B96" s="110"/>
      <c r="C96" s="110"/>
      <c r="D96" s="110"/>
      <c r="E96" s="110"/>
      <c r="F96" s="110"/>
      <c r="G96" s="110"/>
      <c r="H96" s="110"/>
      <c r="I96" s="110"/>
      <c r="J96" s="110"/>
      <c r="K96" s="204"/>
      <c r="L96" s="838"/>
      <c r="M96" s="110"/>
      <c r="N96" s="841"/>
      <c r="O96" s="841"/>
      <c r="P96" s="204"/>
      <c r="Q96" s="1099"/>
      <c r="R96" s="1100"/>
      <c r="S96" s="204"/>
      <c r="T96" s="204"/>
      <c r="U96" s="204"/>
      <c r="V96" s="1101"/>
      <c r="W96" s="110"/>
      <c r="X96" s="110"/>
      <c r="Y96" s="110"/>
      <c r="Z96" s="110"/>
      <c r="AA96" s="110"/>
      <c r="AB96" s="110"/>
      <c r="AC96" s="110"/>
      <c r="AD96" s="110"/>
      <c r="AE96" s="110"/>
      <c r="AF96" s="110"/>
      <c r="AG96" s="110"/>
      <c r="AQ96" s="1102"/>
    </row>
    <row r="97" spans="1:43" s="409" customFormat="1" ht="15.75" x14ac:dyDescent="0.25">
      <c r="A97" s="202"/>
      <c r="B97" s="110"/>
      <c r="C97" s="110"/>
      <c r="D97" s="110"/>
      <c r="E97" s="110"/>
      <c r="F97" s="110"/>
      <c r="G97" s="110"/>
      <c r="H97" s="110"/>
      <c r="I97" s="110"/>
      <c r="J97" s="110"/>
      <c r="K97" s="204"/>
      <c r="L97" s="838"/>
      <c r="M97" s="110"/>
      <c r="N97" s="841"/>
      <c r="O97" s="841"/>
      <c r="P97" s="204"/>
      <c r="Q97" s="1099"/>
      <c r="R97" s="1103"/>
      <c r="S97" s="204"/>
      <c r="T97" s="204"/>
      <c r="U97" s="204"/>
      <c r="V97" s="1103"/>
      <c r="W97" s="110"/>
      <c r="X97" s="110"/>
      <c r="Y97" s="110"/>
      <c r="Z97" s="110"/>
      <c r="AA97" s="110"/>
      <c r="AB97" s="110"/>
      <c r="AC97" s="110"/>
      <c r="AD97" s="110"/>
      <c r="AE97" s="110"/>
      <c r="AF97" s="110"/>
      <c r="AG97" s="110"/>
      <c r="AQ97" s="1102"/>
    </row>
    <row r="98" spans="1:43" s="409" customFormat="1" ht="15.75" x14ac:dyDescent="0.25">
      <c r="A98" s="202"/>
      <c r="B98" s="110"/>
      <c r="C98" s="110"/>
      <c r="D98" s="110"/>
      <c r="E98" s="110"/>
      <c r="F98" s="110"/>
      <c r="G98" s="110"/>
      <c r="H98" s="110"/>
      <c r="I98" s="110"/>
      <c r="J98" s="110"/>
      <c r="K98" s="204"/>
      <c r="L98" s="838"/>
      <c r="M98" s="110"/>
      <c r="N98" s="841"/>
      <c r="O98" s="841"/>
      <c r="P98" s="204"/>
      <c r="Q98" s="1099"/>
      <c r="R98" s="1101"/>
      <c r="S98" s="204"/>
      <c r="T98" s="204"/>
      <c r="U98" s="204"/>
      <c r="V98" s="1104"/>
      <c r="W98" s="110"/>
      <c r="X98" s="110"/>
      <c r="Y98" s="110"/>
      <c r="Z98" s="110"/>
      <c r="AA98" s="110"/>
      <c r="AB98" s="110"/>
      <c r="AC98" s="110"/>
      <c r="AD98" s="110"/>
      <c r="AE98" s="110"/>
      <c r="AF98" s="110"/>
      <c r="AG98" s="110"/>
      <c r="AQ98" s="1102"/>
    </row>
    <row r="99" spans="1:43" s="409" customFormat="1" ht="15.75" x14ac:dyDescent="0.25">
      <c r="A99" s="202"/>
      <c r="B99" s="110"/>
      <c r="C99" s="110"/>
      <c r="D99" s="110"/>
      <c r="E99" s="110"/>
      <c r="F99" s="110"/>
      <c r="G99" s="110"/>
      <c r="H99" s="110"/>
      <c r="I99" s="110"/>
      <c r="J99" s="110"/>
      <c r="K99" s="204"/>
      <c r="L99" s="838"/>
      <c r="M99" s="110"/>
      <c r="N99" s="841"/>
      <c r="O99" s="841"/>
      <c r="P99" s="204"/>
      <c r="Q99" s="1099"/>
      <c r="R99" s="1101"/>
      <c r="S99" s="204"/>
      <c r="T99" s="204"/>
      <c r="U99" s="204"/>
      <c r="V99" s="1105"/>
      <c r="W99" s="110"/>
      <c r="X99" s="110"/>
      <c r="Y99" s="110"/>
      <c r="Z99" s="110"/>
      <c r="AA99" s="110"/>
      <c r="AB99" s="110"/>
      <c r="AC99" s="110"/>
      <c r="AD99" s="110"/>
      <c r="AE99" s="110"/>
      <c r="AF99" s="110"/>
      <c r="AG99" s="110"/>
      <c r="AQ99" s="1102"/>
    </row>
    <row r="100" spans="1:43" s="409" customFormat="1" ht="15.75" x14ac:dyDescent="0.25">
      <c r="A100" s="202"/>
      <c r="B100" s="110"/>
      <c r="C100" s="110"/>
      <c r="D100" s="110"/>
      <c r="E100" s="110"/>
      <c r="F100" s="110"/>
      <c r="G100" s="110"/>
      <c r="H100" s="110"/>
      <c r="I100" s="110"/>
      <c r="J100" s="110"/>
      <c r="K100" s="204"/>
      <c r="L100" s="838"/>
      <c r="M100" s="110"/>
      <c r="N100" s="1113"/>
      <c r="O100" s="1113"/>
      <c r="P100" s="204"/>
      <c r="Q100" s="1099"/>
      <c r="R100" s="1101"/>
      <c r="S100" s="204"/>
      <c r="T100" s="204"/>
      <c r="U100" s="204"/>
      <c r="V100" s="204"/>
      <c r="W100" s="110"/>
      <c r="X100" s="110"/>
      <c r="Y100" s="110"/>
      <c r="Z100" s="110"/>
      <c r="AA100" s="110"/>
      <c r="AB100" s="110"/>
      <c r="AC100" s="110"/>
      <c r="AD100" s="110"/>
      <c r="AE100" s="110"/>
      <c r="AF100" s="110"/>
      <c r="AG100" s="110"/>
      <c r="AQ100" s="1102"/>
    </row>
    <row r="101" spans="1:43" s="409" customFormat="1" ht="15.75" x14ac:dyDescent="0.25">
      <c r="A101" s="110"/>
      <c r="B101" s="110"/>
      <c r="C101" s="110"/>
      <c r="D101" s="110"/>
      <c r="E101" s="110"/>
      <c r="F101" s="110"/>
      <c r="G101" s="841"/>
      <c r="H101" s="838"/>
      <c r="I101" s="110"/>
      <c r="J101" s="110"/>
      <c r="K101" s="1106"/>
      <c r="L101" s="838"/>
      <c r="M101" s="841"/>
      <c r="N101" s="1107" t="s">
        <v>1257</v>
      </c>
      <c r="O101" s="1107"/>
      <c r="P101" s="1107"/>
      <c r="Q101" s="110"/>
      <c r="R101" s="838"/>
      <c r="S101" s="838"/>
      <c r="T101" s="1108"/>
      <c r="U101" s="1108"/>
      <c r="V101" s="1108"/>
      <c r="W101" s="110"/>
      <c r="X101" s="110"/>
      <c r="Y101" s="110"/>
      <c r="Z101" s="110"/>
      <c r="AA101" s="1109"/>
      <c r="AB101" s="110"/>
      <c r="AC101" s="1109"/>
      <c r="AD101" s="110"/>
      <c r="AE101" s="1109"/>
      <c r="AF101" s="110"/>
      <c r="AG101" s="1109"/>
      <c r="AQ101" s="1102"/>
    </row>
    <row r="102" spans="1:43" s="409" customFormat="1" ht="15.75" x14ac:dyDescent="0.25">
      <c r="A102" s="110"/>
      <c r="B102" s="110"/>
      <c r="C102" s="110"/>
      <c r="D102" s="110"/>
      <c r="E102" s="110"/>
      <c r="F102" s="110"/>
      <c r="G102" s="841"/>
      <c r="H102" s="838"/>
      <c r="I102" s="110"/>
      <c r="J102" s="110"/>
      <c r="K102" s="1106"/>
      <c r="L102" s="838"/>
      <c r="M102" s="110"/>
      <c r="N102" s="1110" t="s">
        <v>1258</v>
      </c>
      <c r="O102" s="110"/>
      <c r="P102" s="1111"/>
      <c r="Q102" s="110"/>
      <c r="R102" s="838"/>
      <c r="S102" s="838"/>
      <c r="T102" s="1112"/>
      <c r="U102" s="1108"/>
      <c r="V102" s="1108"/>
      <c r="W102" s="110"/>
      <c r="X102" s="110"/>
      <c r="Y102" s="110"/>
      <c r="Z102" s="110"/>
      <c r="AA102" s="1109"/>
      <c r="AB102" s="110"/>
      <c r="AC102" s="1109"/>
      <c r="AD102" s="110"/>
      <c r="AE102" s="1109"/>
      <c r="AF102" s="110"/>
      <c r="AG102" s="1109"/>
      <c r="AQ102" s="1102"/>
    </row>
    <row r="103" spans="1:43" s="409" customFormat="1" ht="15.75" x14ac:dyDescent="0.25">
      <c r="A103" s="110"/>
      <c r="B103" s="110"/>
      <c r="C103" s="110"/>
      <c r="D103" s="110"/>
      <c r="E103" s="110"/>
      <c r="F103" s="110"/>
      <c r="G103" s="841"/>
      <c r="H103" s="838"/>
      <c r="I103" s="110"/>
      <c r="J103" s="110"/>
      <c r="K103" s="1106"/>
      <c r="L103" s="838"/>
      <c r="M103" s="110"/>
      <c r="N103" s="569"/>
      <c r="O103" s="110"/>
      <c r="P103" s="1111"/>
      <c r="Q103" s="110"/>
      <c r="R103" s="838"/>
      <c r="S103" s="838"/>
      <c r="T103" s="1112"/>
      <c r="U103" s="1108"/>
      <c r="V103" s="1108"/>
      <c r="W103" s="110"/>
      <c r="X103" s="110"/>
      <c r="Y103" s="110"/>
      <c r="Z103" s="110"/>
      <c r="AA103" s="1109"/>
      <c r="AB103" s="110"/>
      <c r="AC103" s="1109"/>
      <c r="AD103" s="110"/>
      <c r="AE103" s="1109"/>
      <c r="AF103" s="110"/>
      <c r="AG103" s="1109"/>
      <c r="AQ103" s="1102"/>
    </row>
  </sheetData>
  <sheetProtection password="CBEB" sheet="1" objects="1" scenarios="1"/>
  <mergeCells count="378">
    <mergeCell ref="AN89:AN91"/>
    <mergeCell ref="AO89:AO91"/>
    <mergeCell ref="AP89:AP91"/>
    <mergeCell ref="AQ89:AQ91"/>
    <mergeCell ref="A95:I95"/>
    <mergeCell ref="AH89:AH91"/>
    <mergeCell ref="AI89:AI91"/>
    <mergeCell ref="AJ89:AJ91"/>
    <mergeCell ref="AK89:AK91"/>
    <mergeCell ref="AL89:AL91"/>
    <mergeCell ref="AM89:AM91"/>
    <mergeCell ref="AB89:AB91"/>
    <mergeCell ref="AC89:AC91"/>
    <mergeCell ref="AD89:AD91"/>
    <mergeCell ref="AE89:AE91"/>
    <mergeCell ref="AF89:AF91"/>
    <mergeCell ref="AG89:AG91"/>
    <mergeCell ref="V89:V90"/>
    <mergeCell ref="W89:W91"/>
    <mergeCell ref="X89:X91"/>
    <mergeCell ref="Y89:Y91"/>
    <mergeCell ref="Z89:Z91"/>
    <mergeCell ref="AA89:AA91"/>
    <mergeCell ref="P89:P91"/>
    <mergeCell ref="Q89:Q90"/>
    <mergeCell ref="R89:R91"/>
    <mergeCell ref="S89:S91"/>
    <mergeCell ref="T89:T90"/>
    <mergeCell ref="U89:U90"/>
    <mergeCell ref="J89:J90"/>
    <mergeCell ref="K89:K90"/>
    <mergeCell ref="L89:L90"/>
    <mergeCell ref="M89:M90"/>
    <mergeCell ref="N89:N91"/>
    <mergeCell ref="O89:O91"/>
    <mergeCell ref="AL81:AL83"/>
    <mergeCell ref="AM81:AM83"/>
    <mergeCell ref="AN81:AN83"/>
    <mergeCell ref="AO81:AO83"/>
    <mergeCell ref="AP81:AP83"/>
    <mergeCell ref="AQ81:AQ83"/>
    <mergeCell ref="AF81:AF83"/>
    <mergeCell ref="AG81:AG83"/>
    <mergeCell ref="AH81:AH83"/>
    <mergeCell ref="AI81:AI83"/>
    <mergeCell ref="AJ81:AJ83"/>
    <mergeCell ref="AK81:AK83"/>
    <mergeCell ref="Z81:Z83"/>
    <mergeCell ref="AA81:AA83"/>
    <mergeCell ref="AB81:AB83"/>
    <mergeCell ref="AC81:AC83"/>
    <mergeCell ref="AD81:AD83"/>
    <mergeCell ref="AE81:AE83"/>
    <mergeCell ref="S81:S83"/>
    <mergeCell ref="T81:T82"/>
    <mergeCell ref="U81:U82"/>
    <mergeCell ref="W81:W83"/>
    <mergeCell ref="X81:X83"/>
    <mergeCell ref="Y81:Y83"/>
    <mergeCell ref="AP77:AP78"/>
    <mergeCell ref="AQ77:AQ78"/>
    <mergeCell ref="J81:J82"/>
    <mergeCell ref="K81:K82"/>
    <mergeCell ref="L81:L82"/>
    <mergeCell ref="M81:M82"/>
    <mergeCell ref="O81:O83"/>
    <mergeCell ref="P81:P83"/>
    <mergeCell ref="Q81:Q82"/>
    <mergeCell ref="R81:R83"/>
    <mergeCell ref="AJ77:AJ78"/>
    <mergeCell ref="AK77:AK78"/>
    <mergeCell ref="AL77:AL78"/>
    <mergeCell ref="AM77:AM78"/>
    <mergeCell ref="AN77:AN78"/>
    <mergeCell ref="AO77:AO78"/>
    <mergeCell ref="AD77:AD78"/>
    <mergeCell ref="AE77:AE78"/>
    <mergeCell ref="AF77:AF78"/>
    <mergeCell ref="AG77:AG78"/>
    <mergeCell ref="AH77:AH78"/>
    <mergeCell ref="AI77:AI78"/>
    <mergeCell ref="X77:X78"/>
    <mergeCell ref="Y77:Y78"/>
    <mergeCell ref="Z77:Z78"/>
    <mergeCell ref="AA77:AA78"/>
    <mergeCell ref="AB77:AB78"/>
    <mergeCell ref="AC77:AC78"/>
    <mergeCell ref="P77:P78"/>
    <mergeCell ref="Q77:Q78"/>
    <mergeCell ref="R77:R78"/>
    <mergeCell ref="S77:S78"/>
    <mergeCell ref="T77:T78"/>
    <mergeCell ref="W77:W78"/>
    <mergeCell ref="N74:N76"/>
    <mergeCell ref="J77:J78"/>
    <mergeCell ref="K77:K78"/>
    <mergeCell ref="L77:L78"/>
    <mergeCell ref="M77:M78"/>
    <mergeCell ref="O77:O78"/>
    <mergeCell ref="AQ67:AQ71"/>
    <mergeCell ref="O73:O76"/>
    <mergeCell ref="P73:P76"/>
    <mergeCell ref="R73:R76"/>
    <mergeCell ref="S73:S76"/>
    <mergeCell ref="T73:T76"/>
    <mergeCell ref="W73:W76"/>
    <mergeCell ref="AO73:AO76"/>
    <mergeCell ref="AP73:AP76"/>
    <mergeCell ref="AQ73:AQ76"/>
    <mergeCell ref="AK67:AK71"/>
    <mergeCell ref="AL67:AL71"/>
    <mergeCell ref="AM67:AM71"/>
    <mergeCell ref="AN67:AN71"/>
    <mergeCell ref="AO67:AO71"/>
    <mergeCell ref="AP67:AP71"/>
    <mergeCell ref="AE67:AE71"/>
    <mergeCell ref="AF67:AF71"/>
    <mergeCell ref="AG67:AG71"/>
    <mergeCell ref="AH67:AH71"/>
    <mergeCell ref="AI67:AI71"/>
    <mergeCell ref="AJ67:AJ71"/>
    <mergeCell ref="Y67:Y71"/>
    <mergeCell ref="Z67:Z71"/>
    <mergeCell ref="AA67:AA71"/>
    <mergeCell ref="AB67:AB71"/>
    <mergeCell ref="AC67:AC71"/>
    <mergeCell ref="AD67:AD71"/>
    <mergeCell ref="AN60:AN64"/>
    <mergeCell ref="AO60:AO64"/>
    <mergeCell ref="AP60:AP64"/>
    <mergeCell ref="AQ60:AQ64"/>
    <mergeCell ref="O67:O71"/>
    <mergeCell ref="P67:P71"/>
    <mergeCell ref="R67:R71"/>
    <mergeCell ref="S67:S71"/>
    <mergeCell ref="W67:W71"/>
    <mergeCell ref="X67:X71"/>
    <mergeCell ref="AH60:AH64"/>
    <mergeCell ref="AI60:AI64"/>
    <mergeCell ref="AJ60:AJ64"/>
    <mergeCell ref="AK60:AK64"/>
    <mergeCell ref="AL60:AL64"/>
    <mergeCell ref="AM60:AM64"/>
    <mergeCell ref="AB60:AB64"/>
    <mergeCell ref="AC60:AC64"/>
    <mergeCell ref="AD60:AD64"/>
    <mergeCell ref="AE60:AE64"/>
    <mergeCell ref="AF60:AF64"/>
    <mergeCell ref="AG60:AG64"/>
    <mergeCell ref="V60:V64"/>
    <mergeCell ref="W60:W64"/>
    <mergeCell ref="X60:X64"/>
    <mergeCell ref="Y60:Y64"/>
    <mergeCell ref="Z60:Z64"/>
    <mergeCell ref="AA60:AA64"/>
    <mergeCell ref="P60:P64"/>
    <mergeCell ref="Q60:Q64"/>
    <mergeCell ref="R60:R64"/>
    <mergeCell ref="S60:S64"/>
    <mergeCell ref="T60:T64"/>
    <mergeCell ref="U60:U64"/>
    <mergeCell ref="G60:I64"/>
    <mergeCell ref="J60:J64"/>
    <mergeCell ref="K60:K64"/>
    <mergeCell ref="L60:L64"/>
    <mergeCell ref="M60:M64"/>
    <mergeCell ref="O60:O64"/>
    <mergeCell ref="AQ54:AQ58"/>
    <mergeCell ref="J56:J57"/>
    <mergeCell ref="K56:K57"/>
    <mergeCell ref="L56:L57"/>
    <mergeCell ref="M56:M57"/>
    <mergeCell ref="Q56:Q57"/>
    <mergeCell ref="T56:T57"/>
    <mergeCell ref="U56:U57"/>
    <mergeCell ref="V56:V57"/>
    <mergeCell ref="AK54:AK58"/>
    <mergeCell ref="AL54:AL58"/>
    <mergeCell ref="AM54:AM58"/>
    <mergeCell ref="AN54:AN58"/>
    <mergeCell ref="AO54:AO58"/>
    <mergeCell ref="AP54:AP58"/>
    <mergeCell ref="AE54:AE58"/>
    <mergeCell ref="AF54:AF58"/>
    <mergeCell ref="AG54:AG58"/>
    <mergeCell ref="J49:J50"/>
    <mergeCell ref="K49:K50"/>
    <mergeCell ref="L49:L50"/>
    <mergeCell ref="M49:M50"/>
    <mergeCell ref="Q49:Q50"/>
    <mergeCell ref="T49:T50"/>
    <mergeCell ref="AH54:AH58"/>
    <mergeCell ref="AI54:AI58"/>
    <mergeCell ref="AJ54:AJ58"/>
    <mergeCell ref="Y54:Y58"/>
    <mergeCell ref="Z54:Z58"/>
    <mergeCell ref="AA54:AA58"/>
    <mergeCell ref="AB54:AB58"/>
    <mergeCell ref="AC54:AC58"/>
    <mergeCell ref="AD54:AD58"/>
    <mergeCell ref="T45:T47"/>
    <mergeCell ref="AL39:AL52"/>
    <mergeCell ref="AM39:AM52"/>
    <mergeCell ref="AN39:AN52"/>
    <mergeCell ref="O54:O58"/>
    <mergeCell ref="P54:P58"/>
    <mergeCell ref="R54:R58"/>
    <mergeCell ref="S54:S58"/>
    <mergeCell ref="W54:W58"/>
    <mergeCell ref="X54:X58"/>
    <mergeCell ref="AQ39:AQ52"/>
    <mergeCell ref="J43:J44"/>
    <mergeCell ref="K43:K44"/>
    <mergeCell ref="L43:L44"/>
    <mergeCell ref="M43:M44"/>
    <mergeCell ref="Q43:Q44"/>
    <mergeCell ref="T43:T44"/>
    <mergeCell ref="AF39:AF52"/>
    <mergeCell ref="AG39:AG52"/>
    <mergeCell ref="AH39:AH52"/>
    <mergeCell ref="AI39:AI52"/>
    <mergeCell ref="AJ39:AJ52"/>
    <mergeCell ref="AK39:AK52"/>
    <mergeCell ref="Z39:Z52"/>
    <mergeCell ref="AA39:AA52"/>
    <mergeCell ref="AB39:AB52"/>
    <mergeCell ref="AC39:AC52"/>
    <mergeCell ref="AD39:AD52"/>
    <mergeCell ref="AE39:AE52"/>
    <mergeCell ref="J45:J47"/>
    <mergeCell ref="K45:K47"/>
    <mergeCell ref="L45:L47"/>
    <mergeCell ref="M45:M47"/>
    <mergeCell ref="Q45:Q47"/>
    <mergeCell ref="AQ30:AQ37"/>
    <mergeCell ref="N31:N37"/>
    <mergeCell ref="G39:I52"/>
    <mergeCell ref="O39:O52"/>
    <mergeCell ref="P39:P52"/>
    <mergeCell ref="R39:R52"/>
    <mergeCell ref="S39:S52"/>
    <mergeCell ref="W39:W52"/>
    <mergeCell ref="X39:X52"/>
    <mergeCell ref="Y39:Y52"/>
    <mergeCell ref="AK30:AK37"/>
    <mergeCell ref="AL30:AL37"/>
    <mergeCell ref="AM30:AM37"/>
    <mergeCell ref="AN30:AN37"/>
    <mergeCell ref="AO30:AO37"/>
    <mergeCell ref="AP30:AP37"/>
    <mergeCell ref="AE30:AE37"/>
    <mergeCell ref="AF30:AF37"/>
    <mergeCell ref="AG30:AG37"/>
    <mergeCell ref="AH30:AH37"/>
    <mergeCell ref="AI30:AI37"/>
    <mergeCell ref="AJ30:AJ37"/>
    <mergeCell ref="Y30:Y37"/>
    <mergeCell ref="Z30:Z37"/>
    <mergeCell ref="AA30:AA37"/>
    <mergeCell ref="AB30:AB37"/>
    <mergeCell ref="AC30:AC37"/>
    <mergeCell ref="AD30:AD37"/>
    <mergeCell ref="O30:O37"/>
    <mergeCell ref="P30:P37"/>
    <mergeCell ref="R30:R37"/>
    <mergeCell ref="S30:S37"/>
    <mergeCell ref="W30:W37"/>
    <mergeCell ref="X30:X37"/>
    <mergeCell ref="AQ20:AQ26"/>
    <mergeCell ref="J22:J23"/>
    <mergeCell ref="K22:K23"/>
    <mergeCell ref="L22:L23"/>
    <mergeCell ref="M22:M23"/>
    <mergeCell ref="Q22:Q23"/>
    <mergeCell ref="AK20:AK26"/>
    <mergeCell ref="AL20:AL26"/>
    <mergeCell ref="AM20:AM26"/>
    <mergeCell ref="AN20:AN26"/>
    <mergeCell ref="AO20:AO26"/>
    <mergeCell ref="AP20:AP26"/>
    <mergeCell ref="AE20:AE26"/>
    <mergeCell ref="AF20:AF26"/>
    <mergeCell ref="AG20:AG26"/>
    <mergeCell ref="AH20:AH26"/>
    <mergeCell ref="AI20:AI26"/>
    <mergeCell ref="AJ20:AJ26"/>
    <mergeCell ref="Y20:Y26"/>
    <mergeCell ref="Z20:Z26"/>
    <mergeCell ref="AA20:AA26"/>
    <mergeCell ref="AB20:AB26"/>
    <mergeCell ref="AC20:AC26"/>
    <mergeCell ref="AD20:AD26"/>
    <mergeCell ref="N20:N26"/>
    <mergeCell ref="O20:O26"/>
    <mergeCell ref="P20:P26"/>
    <mergeCell ref="R20:R26"/>
    <mergeCell ref="S20:S26"/>
    <mergeCell ref="T20:T26"/>
    <mergeCell ref="J17:J18"/>
    <mergeCell ref="K17:K18"/>
    <mergeCell ref="L17:L18"/>
    <mergeCell ref="M17:M18"/>
    <mergeCell ref="Q17:Q18"/>
    <mergeCell ref="T17:T18"/>
    <mergeCell ref="AO11:AO18"/>
    <mergeCell ref="AP11:AP18"/>
    <mergeCell ref="AQ11:AQ18"/>
    <mergeCell ref="J14:J16"/>
    <mergeCell ref="K14:K16"/>
    <mergeCell ref="L14:L16"/>
    <mergeCell ref="M14:M16"/>
    <mergeCell ref="Q14:Q16"/>
    <mergeCell ref="T14:T16"/>
    <mergeCell ref="U14:U15"/>
    <mergeCell ref="AI11:AI18"/>
    <mergeCell ref="AJ11:AJ18"/>
    <mergeCell ref="AK11:AK18"/>
    <mergeCell ref="AL11:AL18"/>
    <mergeCell ref="AM11:AM18"/>
    <mergeCell ref="AN11:AN18"/>
    <mergeCell ref="AC11:AC18"/>
    <mergeCell ref="AD11:AD18"/>
    <mergeCell ref="AE11:AE18"/>
    <mergeCell ref="AF11:AF18"/>
    <mergeCell ref="AG11:AG18"/>
    <mergeCell ref="AH11:AH18"/>
    <mergeCell ref="W11:W18"/>
    <mergeCell ref="X11:X18"/>
    <mergeCell ref="AA11:AA18"/>
    <mergeCell ref="AB11:AB18"/>
    <mergeCell ref="Q11:Q13"/>
    <mergeCell ref="R11:R18"/>
    <mergeCell ref="S11:S18"/>
    <mergeCell ref="T11:T13"/>
    <mergeCell ref="U11:U13"/>
    <mergeCell ref="V11:V13"/>
    <mergeCell ref="V14:V15"/>
    <mergeCell ref="U17:U18"/>
    <mergeCell ref="J11:J13"/>
    <mergeCell ref="K11:K13"/>
    <mergeCell ref="L11:L13"/>
    <mergeCell ref="M11:M13"/>
    <mergeCell ref="O11:O18"/>
    <mergeCell ref="P11:P18"/>
    <mergeCell ref="W6:W7"/>
    <mergeCell ref="X6:X7"/>
    <mergeCell ref="Y6:Z6"/>
    <mergeCell ref="Q6:Q7"/>
    <mergeCell ref="R6:R7"/>
    <mergeCell ref="S6:S7"/>
    <mergeCell ref="T6:T7"/>
    <mergeCell ref="U6:U7"/>
    <mergeCell ref="V6:V7"/>
    <mergeCell ref="K6:K7"/>
    <mergeCell ref="L6:L7"/>
    <mergeCell ref="Y11:Y18"/>
    <mergeCell ref="Z11:Z18"/>
    <mergeCell ref="M6:M7"/>
    <mergeCell ref="N6:N7"/>
    <mergeCell ref="O6:O7"/>
    <mergeCell ref="P6:P7"/>
    <mergeCell ref="A1:AO4"/>
    <mergeCell ref="A5:M5"/>
    <mergeCell ref="P5:AQ5"/>
    <mergeCell ref="A6:A7"/>
    <mergeCell ref="B6:C7"/>
    <mergeCell ref="D6:D7"/>
    <mergeCell ref="E6:F7"/>
    <mergeCell ref="G6:G7"/>
    <mergeCell ref="H6:I7"/>
    <mergeCell ref="J6:J7"/>
    <mergeCell ref="AN6:AN7"/>
    <mergeCell ref="AO6:AO7"/>
    <mergeCell ref="AP6:AP7"/>
    <mergeCell ref="AQ6:AQ7"/>
    <mergeCell ref="AA6:AD6"/>
    <mergeCell ref="AE6:AJ6"/>
    <mergeCell ref="AK6:AM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SB164"/>
  <sheetViews>
    <sheetView showGridLines="0" topLeftCell="N1" zoomScale="51" zoomScaleNormal="51" workbookViewId="0">
      <selection activeCell="AM1" sqref="AM1"/>
    </sheetView>
  </sheetViews>
  <sheetFormatPr baseColWidth="10" defaultColWidth="11.42578125" defaultRowHeight="15" x14ac:dyDescent="0.2"/>
  <cols>
    <col min="1" max="1" width="14.42578125" style="110" customWidth="1"/>
    <col min="2" max="2" width="21.140625" style="110" customWidth="1"/>
    <col min="3" max="3" width="13.85546875" style="110" customWidth="1"/>
    <col min="4" max="4" width="21.42578125" style="110" customWidth="1"/>
    <col min="5" max="5" width="15.85546875" style="110" customWidth="1"/>
    <col min="6" max="6" width="26.140625" style="206" customWidth="1"/>
    <col min="7" max="7" width="19.28515625" style="110" customWidth="1"/>
    <col min="8" max="8" width="30.85546875" style="384" customWidth="1"/>
    <col min="9" max="9" width="20.7109375" style="384" customWidth="1"/>
    <col min="10" max="10" width="12.140625" style="110" bestFit="1" customWidth="1"/>
    <col min="11" max="11" width="36.28515625" style="110" customWidth="1"/>
    <col min="12" max="12" width="19.7109375" style="110" customWidth="1"/>
    <col min="13" max="13" width="35.5703125" style="384" customWidth="1"/>
    <col min="14" max="14" width="18.7109375" style="110" customWidth="1"/>
    <col min="15" max="15" width="27.140625" style="305" customWidth="1"/>
    <col min="16" max="16" width="29.42578125" style="384" customWidth="1"/>
    <col min="17" max="17" width="29" style="384" customWidth="1"/>
    <col min="18" max="18" width="57.42578125" style="204" customWidth="1"/>
    <col min="19" max="19" width="30.28515625" style="305" customWidth="1"/>
    <col min="20" max="20" width="19.5703125" style="206" customWidth="1"/>
    <col min="21" max="21" width="25" style="384" customWidth="1"/>
    <col min="22" max="22" width="12.140625" style="110" bestFit="1" customWidth="1"/>
    <col min="23" max="23" width="10.7109375" style="110" bestFit="1" customWidth="1"/>
    <col min="24" max="27" width="12.140625" style="110" customWidth="1"/>
    <col min="28" max="28" width="6.42578125" style="110" bestFit="1" customWidth="1"/>
    <col min="29" max="29" width="8.28515625" style="110" customWidth="1"/>
    <col min="30" max="30" width="4.140625" style="110" customWidth="1"/>
    <col min="31" max="33" width="4.140625" style="110" bestFit="1" customWidth="1"/>
    <col min="34" max="34" width="7" style="110" bestFit="1" customWidth="1"/>
    <col min="35" max="35" width="6.7109375" style="110" customWidth="1"/>
    <col min="36" max="36" width="6.85546875" style="110" customWidth="1"/>
    <col min="37" max="37" width="18" style="110" customWidth="1"/>
    <col min="38" max="38" width="18.42578125" style="110" customWidth="1"/>
    <col min="39" max="39" width="38.42578125" style="384" customWidth="1"/>
    <col min="40" max="44" width="11.42578125" style="204"/>
    <col min="45" max="255" width="11.42578125" style="110"/>
    <col min="256" max="256" width="13.5703125" style="110" customWidth="1"/>
    <col min="257" max="257" width="19" style="110" customWidth="1"/>
    <col min="258" max="258" width="13.5703125" style="110" customWidth="1"/>
    <col min="259" max="259" width="19.7109375" style="110" customWidth="1"/>
    <col min="260" max="260" width="13.5703125" style="110" customWidth="1"/>
    <col min="261" max="262" width="14.7109375" style="110" customWidth="1"/>
    <col min="263" max="263" width="36.140625" style="110" customWidth="1"/>
    <col min="264" max="264" width="29.42578125" style="110" customWidth="1"/>
    <col min="265" max="265" width="16" style="110" customWidth="1"/>
    <col min="266" max="266" width="38.28515625" style="110" customWidth="1"/>
    <col min="267" max="267" width="12" style="110" customWidth="1"/>
    <col min="268" max="268" width="38.140625" style="110" customWidth="1"/>
    <col min="269" max="269" width="17.85546875" style="110" bestFit="1" customWidth="1"/>
    <col min="270" max="270" width="24.7109375" style="110" customWidth="1"/>
    <col min="271" max="271" width="36.42578125" style="110" customWidth="1"/>
    <col min="272" max="272" width="46.7109375" style="110" customWidth="1"/>
    <col min="273" max="273" width="43.7109375" style="110" customWidth="1"/>
    <col min="274" max="274" width="25.42578125" style="110" customWidth="1"/>
    <col min="275" max="275" width="12.42578125" style="110" customWidth="1"/>
    <col min="276" max="276" width="16.42578125" style="110" customWidth="1"/>
    <col min="277" max="277" width="13.42578125" style="110" customWidth="1"/>
    <col min="278" max="278" width="8.5703125" style="110" customWidth="1"/>
    <col min="279" max="282" width="11.42578125" style="110" customWidth="1"/>
    <col min="283" max="283" width="12.7109375" style="110" customWidth="1"/>
    <col min="284" max="284" width="11.85546875" style="110" customWidth="1"/>
    <col min="285" max="285" width="7.85546875" style="110" customWidth="1"/>
    <col min="286" max="286" width="7.5703125" style="110" customWidth="1"/>
    <col min="287" max="287" width="8.85546875" style="110" customWidth="1"/>
    <col min="288" max="288" width="8.140625" style="110" customWidth="1"/>
    <col min="289" max="289" width="7.85546875" style="110" customWidth="1"/>
    <col min="290" max="290" width="8.5703125" style="110" customWidth="1"/>
    <col min="291" max="291" width="8.28515625" style="110" customWidth="1"/>
    <col min="292" max="292" width="11.42578125" style="110" customWidth="1"/>
    <col min="293" max="293" width="18" style="110" customWidth="1"/>
    <col min="294" max="294" width="21.42578125" style="110" customWidth="1"/>
    <col min="295" max="295" width="27.85546875" style="110" customWidth="1"/>
    <col min="296" max="511" width="11.42578125" style="110"/>
    <col min="512" max="512" width="13.5703125" style="110" customWidth="1"/>
    <col min="513" max="513" width="19" style="110" customWidth="1"/>
    <col min="514" max="514" width="13.5703125" style="110" customWidth="1"/>
    <col min="515" max="515" width="19.7109375" style="110" customWidth="1"/>
    <col min="516" max="516" width="13.5703125" style="110" customWidth="1"/>
    <col min="517" max="518" width="14.7109375" style="110" customWidth="1"/>
    <col min="519" max="519" width="36.140625" style="110" customWidth="1"/>
    <col min="520" max="520" width="29.42578125" style="110" customWidth="1"/>
    <col min="521" max="521" width="16" style="110" customWidth="1"/>
    <col min="522" max="522" width="38.28515625" style="110" customWidth="1"/>
    <col min="523" max="523" width="12" style="110" customWidth="1"/>
    <col min="524" max="524" width="38.140625" style="110" customWidth="1"/>
    <col min="525" max="525" width="17.85546875" style="110" bestFit="1" customWidth="1"/>
    <col min="526" max="526" width="24.7109375" style="110" customWidth="1"/>
    <col min="527" max="527" width="36.42578125" style="110" customWidth="1"/>
    <col min="528" max="528" width="46.7109375" style="110" customWidth="1"/>
    <col min="529" max="529" width="43.7109375" style="110" customWidth="1"/>
    <col min="530" max="530" width="25.42578125" style="110" customWidth="1"/>
    <col min="531" max="531" width="12.42578125" style="110" customWidth="1"/>
    <col min="532" max="532" width="16.42578125" style="110" customWidth="1"/>
    <col min="533" max="533" width="13.42578125" style="110" customWidth="1"/>
    <col min="534" max="534" width="8.5703125" style="110" customWidth="1"/>
    <col min="535" max="538" width="11.42578125" style="110" customWidth="1"/>
    <col min="539" max="539" width="12.7109375" style="110" customWidth="1"/>
    <col min="540" max="540" width="11.85546875" style="110" customWidth="1"/>
    <col min="541" max="541" width="7.85546875" style="110" customWidth="1"/>
    <col min="542" max="542" width="7.5703125" style="110" customWidth="1"/>
    <col min="543" max="543" width="8.85546875" style="110" customWidth="1"/>
    <col min="544" max="544" width="8.140625" style="110" customWidth="1"/>
    <col min="545" max="545" width="7.85546875" style="110" customWidth="1"/>
    <col min="546" max="546" width="8.5703125" style="110" customWidth="1"/>
    <col min="547" max="547" width="8.28515625" style="110" customWidth="1"/>
    <col min="548" max="548" width="11.42578125" style="110" customWidth="1"/>
    <col min="549" max="549" width="18" style="110" customWidth="1"/>
    <col min="550" max="550" width="21.42578125" style="110" customWidth="1"/>
    <col min="551" max="551" width="27.85546875" style="110" customWidth="1"/>
    <col min="552" max="767" width="11.42578125" style="110"/>
    <col min="768" max="768" width="13.5703125" style="110" customWidth="1"/>
    <col min="769" max="769" width="19" style="110" customWidth="1"/>
    <col min="770" max="770" width="13.5703125" style="110" customWidth="1"/>
    <col min="771" max="771" width="19.7109375" style="110" customWidth="1"/>
    <col min="772" max="772" width="13.5703125" style="110" customWidth="1"/>
    <col min="773" max="774" width="14.7109375" style="110" customWidth="1"/>
    <col min="775" max="775" width="36.140625" style="110" customWidth="1"/>
    <col min="776" max="776" width="29.42578125" style="110" customWidth="1"/>
    <col min="777" max="777" width="16" style="110" customWidth="1"/>
    <col min="778" max="778" width="38.28515625" style="110" customWidth="1"/>
    <col min="779" max="779" width="12" style="110" customWidth="1"/>
    <col min="780" max="780" width="38.140625" style="110" customWidth="1"/>
    <col min="781" max="781" width="17.85546875" style="110" bestFit="1" customWidth="1"/>
    <col min="782" max="782" width="24.7109375" style="110" customWidth="1"/>
    <col min="783" max="783" width="36.42578125" style="110" customWidth="1"/>
    <col min="784" max="784" width="46.7109375" style="110" customWidth="1"/>
    <col min="785" max="785" width="43.7109375" style="110" customWidth="1"/>
    <col min="786" max="786" width="25.42578125" style="110" customWidth="1"/>
    <col min="787" max="787" width="12.42578125" style="110" customWidth="1"/>
    <col min="788" max="788" width="16.42578125" style="110" customWidth="1"/>
    <col min="789" max="789" width="13.42578125" style="110" customWidth="1"/>
    <col min="790" max="790" width="8.5703125" style="110" customWidth="1"/>
    <col min="791" max="794" width="11.42578125" style="110" customWidth="1"/>
    <col min="795" max="795" width="12.7109375" style="110" customWidth="1"/>
    <col min="796" max="796" width="11.85546875" style="110" customWidth="1"/>
    <col min="797" max="797" width="7.85546875" style="110" customWidth="1"/>
    <col min="798" max="798" width="7.5703125" style="110" customWidth="1"/>
    <col min="799" max="799" width="8.85546875" style="110" customWidth="1"/>
    <col min="800" max="800" width="8.140625" style="110" customWidth="1"/>
    <col min="801" max="801" width="7.85546875" style="110" customWidth="1"/>
    <col min="802" max="802" width="8.5703125" style="110" customWidth="1"/>
    <col min="803" max="803" width="8.28515625" style="110" customWidth="1"/>
    <col min="804" max="804" width="11.42578125" style="110" customWidth="1"/>
    <col min="805" max="805" width="18" style="110" customWidth="1"/>
    <col min="806" max="806" width="21.42578125" style="110" customWidth="1"/>
    <col min="807" max="807" width="27.85546875" style="110" customWidth="1"/>
    <col min="808" max="1023" width="11.42578125" style="110"/>
    <col min="1024" max="1024" width="13.5703125" style="110" customWidth="1"/>
    <col min="1025" max="1025" width="19" style="110" customWidth="1"/>
    <col min="1026" max="1026" width="13.5703125" style="110" customWidth="1"/>
    <col min="1027" max="1027" width="19.7109375" style="110" customWidth="1"/>
    <col min="1028" max="1028" width="13.5703125" style="110" customWidth="1"/>
    <col min="1029" max="1030" width="14.7109375" style="110" customWidth="1"/>
    <col min="1031" max="1031" width="36.140625" style="110" customWidth="1"/>
    <col min="1032" max="1032" width="29.42578125" style="110" customWidth="1"/>
    <col min="1033" max="1033" width="16" style="110" customWidth="1"/>
    <col min="1034" max="1034" width="38.28515625" style="110" customWidth="1"/>
    <col min="1035" max="1035" width="12" style="110" customWidth="1"/>
    <col min="1036" max="1036" width="38.140625" style="110" customWidth="1"/>
    <col min="1037" max="1037" width="17.85546875" style="110" bestFit="1" customWidth="1"/>
    <col min="1038" max="1038" width="24.7109375" style="110" customWidth="1"/>
    <col min="1039" max="1039" width="36.42578125" style="110" customWidth="1"/>
    <col min="1040" max="1040" width="46.7109375" style="110" customWidth="1"/>
    <col min="1041" max="1041" width="43.7109375" style="110" customWidth="1"/>
    <col min="1042" max="1042" width="25.42578125" style="110" customWidth="1"/>
    <col min="1043" max="1043" width="12.42578125" style="110" customWidth="1"/>
    <col min="1044" max="1044" width="16.42578125" style="110" customWidth="1"/>
    <col min="1045" max="1045" width="13.42578125" style="110" customWidth="1"/>
    <col min="1046" max="1046" width="8.5703125" style="110" customWidth="1"/>
    <col min="1047" max="1050" width="11.42578125" style="110" customWidth="1"/>
    <col min="1051" max="1051" width="12.7109375" style="110" customWidth="1"/>
    <col min="1052" max="1052" width="11.85546875" style="110" customWidth="1"/>
    <col min="1053" max="1053" width="7.85546875" style="110" customWidth="1"/>
    <col min="1054" max="1054" width="7.5703125" style="110" customWidth="1"/>
    <col min="1055" max="1055" width="8.85546875" style="110" customWidth="1"/>
    <col min="1056" max="1056" width="8.140625" style="110" customWidth="1"/>
    <col min="1057" max="1057" width="7.85546875" style="110" customWidth="1"/>
    <col min="1058" max="1058" width="8.5703125" style="110" customWidth="1"/>
    <col min="1059" max="1059" width="8.28515625" style="110" customWidth="1"/>
    <col min="1060" max="1060" width="11.42578125" style="110" customWidth="1"/>
    <col min="1061" max="1061" width="18" style="110" customWidth="1"/>
    <col min="1062" max="1062" width="21.42578125" style="110" customWidth="1"/>
    <col min="1063" max="1063" width="27.85546875" style="110" customWidth="1"/>
    <col min="1064" max="1279" width="11.42578125" style="110"/>
    <col min="1280" max="1280" width="13.5703125" style="110" customWidth="1"/>
    <col min="1281" max="1281" width="19" style="110" customWidth="1"/>
    <col min="1282" max="1282" width="13.5703125" style="110" customWidth="1"/>
    <col min="1283" max="1283" width="19.7109375" style="110" customWidth="1"/>
    <col min="1284" max="1284" width="13.5703125" style="110" customWidth="1"/>
    <col min="1285" max="1286" width="14.7109375" style="110" customWidth="1"/>
    <col min="1287" max="1287" width="36.140625" style="110" customWidth="1"/>
    <col min="1288" max="1288" width="29.42578125" style="110" customWidth="1"/>
    <col min="1289" max="1289" width="16" style="110" customWidth="1"/>
    <col min="1290" max="1290" width="38.28515625" style="110" customWidth="1"/>
    <col min="1291" max="1291" width="12" style="110" customWidth="1"/>
    <col min="1292" max="1292" width="38.140625" style="110" customWidth="1"/>
    <col min="1293" max="1293" width="17.85546875" style="110" bestFit="1" customWidth="1"/>
    <col min="1294" max="1294" width="24.7109375" style="110" customWidth="1"/>
    <col min="1295" max="1295" width="36.42578125" style="110" customWidth="1"/>
    <col min="1296" max="1296" width="46.7109375" style="110" customWidth="1"/>
    <col min="1297" max="1297" width="43.7109375" style="110" customWidth="1"/>
    <col min="1298" max="1298" width="25.42578125" style="110" customWidth="1"/>
    <col min="1299" max="1299" width="12.42578125" style="110" customWidth="1"/>
    <col min="1300" max="1300" width="16.42578125" style="110" customWidth="1"/>
    <col min="1301" max="1301" width="13.42578125" style="110" customWidth="1"/>
    <col min="1302" max="1302" width="8.5703125" style="110" customWidth="1"/>
    <col min="1303" max="1306" width="11.42578125" style="110" customWidth="1"/>
    <col min="1307" max="1307" width="12.7109375" style="110" customWidth="1"/>
    <col min="1308" max="1308" width="11.85546875" style="110" customWidth="1"/>
    <col min="1309" max="1309" width="7.85546875" style="110" customWidth="1"/>
    <col min="1310" max="1310" width="7.5703125" style="110" customWidth="1"/>
    <col min="1311" max="1311" width="8.85546875" style="110" customWidth="1"/>
    <col min="1312" max="1312" width="8.140625" style="110" customWidth="1"/>
    <col min="1313" max="1313" width="7.85546875" style="110" customWidth="1"/>
    <col min="1314" max="1314" width="8.5703125" style="110" customWidth="1"/>
    <col min="1315" max="1315" width="8.28515625" style="110" customWidth="1"/>
    <col min="1316" max="1316" width="11.42578125" style="110" customWidth="1"/>
    <col min="1317" max="1317" width="18" style="110" customWidth="1"/>
    <col min="1318" max="1318" width="21.42578125" style="110" customWidth="1"/>
    <col min="1319" max="1319" width="27.85546875" style="110" customWidth="1"/>
    <col min="1320" max="1535" width="11.42578125" style="110"/>
    <col min="1536" max="1536" width="13.5703125" style="110" customWidth="1"/>
    <col min="1537" max="1537" width="19" style="110" customWidth="1"/>
    <col min="1538" max="1538" width="13.5703125" style="110" customWidth="1"/>
    <col min="1539" max="1539" width="19.7109375" style="110" customWidth="1"/>
    <col min="1540" max="1540" width="13.5703125" style="110" customWidth="1"/>
    <col min="1541" max="1542" width="14.7109375" style="110" customWidth="1"/>
    <col min="1543" max="1543" width="36.140625" style="110" customWidth="1"/>
    <col min="1544" max="1544" width="29.42578125" style="110" customWidth="1"/>
    <col min="1545" max="1545" width="16" style="110" customWidth="1"/>
    <col min="1546" max="1546" width="38.28515625" style="110" customWidth="1"/>
    <col min="1547" max="1547" width="12" style="110" customWidth="1"/>
    <col min="1548" max="1548" width="38.140625" style="110" customWidth="1"/>
    <col min="1549" max="1549" width="17.85546875" style="110" bestFit="1" customWidth="1"/>
    <col min="1550" max="1550" width="24.7109375" style="110" customWidth="1"/>
    <col min="1551" max="1551" width="36.42578125" style="110" customWidth="1"/>
    <col min="1552" max="1552" width="46.7109375" style="110" customWidth="1"/>
    <col min="1553" max="1553" width="43.7109375" style="110" customWidth="1"/>
    <col min="1554" max="1554" width="25.42578125" style="110" customWidth="1"/>
    <col min="1555" max="1555" width="12.42578125" style="110" customWidth="1"/>
    <col min="1556" max="1556" width="16.42578125" style="110" customWidth="1"/>
    <col min="1557" max="1557" width="13.42578125" style="110" customWidth="1"/>
    <col min="1558" max="1558" width="8.5703125" style="110" customWidth="1"/>
    <col min="1559" max="1562" width="11.42578125" style="110" customWidth="1"/>
    <col min="1563" max="1563" width="12.7109375" style="110" customWidth="1"/>
    <col min="1564" max="1564" width="11.85546875" style="110" customWidth="1"/>
    <col min="1565" max="1565" width="7.85546875" style="110" customWidth="1"/>
    <col min="1566" max="1566" width="7.5703125" style="110" customWidth="1"/>
    <col min="1567" max="1567" width="8.85546875" style="110" customWidth="1"/>
    <col min="1568" max="1568" width="8.140625" style="110" customWidth="1"/>
    <col min="1569" max="1569" width="7.85546875" style="110" customWidth="1"/>
    <col min="1570" max="1570" width="8.5703125" style="110" customWidth="1"/>
    <col min="1571" max="1571" width="8.28515625" style="110" customWidth="1"/>
    <col min="1572" max="1572" width="11.42578125" style="110" customWidth="1"/>
    <col min="1573" max="1573" width="18" style="110" customWidth="1"/>
    <col min="1574" max="1574" width="21.42578125" style="110" customWidth="1"/>
    <col min="1575" max="1575" width="27.85546875" style="110" customWidth="1"/>
    <col min="1576" max="1791" width="11.42578125" style="110"/>
    <col min="1792" max="1792" width="13.5703125" style="110" customWidth="1"/>
    <col min="1793" max="1793" width="19" style="110" customWidth="1"/>
    <col min="1794" max="1794" width="13.5703125" style="110" customWidth="1"/>
    <col min="1795" max="1795" width="19.7109375" style="110" customWidth="1"/>
    <col min="1796" max="1796" width="13.5703125" style="110" customWidth="1"/>
    <col min="1797" max="1798" width="14.7109375" style="110" customWidth="1"/>
    <col min="1799" max="1799" width="36.140625" style="110" customWidth="1"/>
    <col min="1800" max="1800" width="29.42578125" style="110" customWidth="1"/>
    <col min="1801" max="1801" width="16" style="110" customWidth="1"/>
    <col min="1802" max="1802" width="38.28515625" style="110" customWidth="1"/>
    <col min="1803" max="1803" width="12" style="110" customWidth="1"/>
    <col min="1804" max="1804" width="38.140625" style="110" customWidth="1"/>
    <col min="1805" max="1805" width="17.85546875" style="110" bestFit="1" customWidth="1"/>
    <col min="1806" max="1806" width="24.7109375" style="110" customWidth="1"/>
    <col min="1807" max="1807" width="36.42578125" style="110" customWidth="1"/>
    <col min="1808" max="1808" width="46.7109375" style="110" customWidth="1"/>
    <col min="1809" max="1809" width="43.7109375" style="110" customWidth="1"/>
    <col min="1810" max="1810" width="25.42578125" style="110" customWidth="1"/>
    <col min="1811" max="1811" width="12.42578125" style="110" customWidth="1"/>
    <col min="1812" max="1812" width="16.42578125" style="110" customWidth="1"/>
    <col min="1813" max="1813" width="13.42578125" style="110" customWidth="1"/>
    <col min="1814" max="1814" width="8.5703125" style="110" customWidth="1"/>
    <col min="1815" max="1818" width="11.42578125" style="110" customWidth="1"/>
    <col min="1819" max="1819" width="12.7109375" style="110" customWidth="1"/>
    <col min="1820" max="1820" width="11.85546875" style="110" customWidth="1"/>
    <col min="1821" max="1821" width="7.85546875" style="110" customWidth="1"/>
    <col min="1822" max="1822" width="7.5703125" style="110" customWidth="1"/>
    <col min="1823" max="1823" width="8.85546875" style="110" customWidth="1"/>
    <col min="1824" max="1824" width="8.140625" style="110" customWidth="1"/>
    <col min="1825" max="1825" width="7.85546875" style="110" customWidth="1"/>
    <col min="1826" max="1826" width="8.5703125" style="110" customWidth="1"/>
    <col min="1827" max="1827" width="8.28515625" style="110" customWidth="1"/>
    <col min="1828" max="1828" width="11.42578125" style="110" customWidth="1"/>
    <col min="1829" max="1829" width="18" style="110" customWidth="1"/>
    <col min="1830" max="1830" width="21.42578125" style="110" customWidth="1"/>
    <col min="1831" max="1831" width="27.85546875" style="110" customWidth="1"/>
    <col min="1832" max="2047" width="11.42578125" style="110"/>
    <col min="2048" max="2048" width="13.5703125" style="110" customWidth="1"/>
    <col min="2049" max="2049" width="19" style="110" customWidth="1"/>
    <col min="2050" max="2050" width="13.5703125" style="110" customWidth="1"/>
    <col min="2051" max="2051" width="19.7109375" style="110" customWidth="1"/>
    <col min="2052" max="2052" width="13.5703125" style="110" customWidth="1"/>
    <col min="2053" max="2054" width="14.7109375" style="110" customWidth="1"/>
    <col min="2055" max="2055" width="36.140625" style="110" customWidth="1"/>
    <col min="2056" max="2056" width="29.42578125" style="110" customWidth="1"/>
    <col min="2057" max="2057" width="16" style="110" customWidth="1"/>
    <col min="2058" max="2058" width="38.28515625" style="110" customWidth="1"/>
    <col min="2059" max="2059" width="12" style="110" customWidth="1"/>
    <col min="2060" max="2060" width="38.140625" style="110" customWidth="1"/>
    <col min="2061" max="2061" width="17.85546875" style="110" bestFit="1" customWidth="1"/>
    <col min="2062" max="2062" width="24.7109375" style="110" customWidth="1"/>
    <col min="2063" max="2063" width="36.42578125" style="110" customWidth="1"/>
    <col min="2064" max="2064" width="46.7109375" style="110" customWidth="1"/>
    <col min="2065" max="2065" width="43.7109375" style="110" customWidth="1"/>
    <col min="2066" max="2066" width="25.42578125" style="110" customWidth="1"/>
    <col min="2067" max="2067" width="12.42578125" style="110" customWidth="1"/>
    <col min="2068" max="2068" width="16.42578125" style="110" customWidth="1"/>
    <col min="2069" max="2069" width="13.42578125" style="110" customWidth="1"/>
    <col min="2070" max="2070" width="8.5703125" style="110" customWidth="1"/>
    <col min="2071" max="2074" width="11.42578125" style="110" customWidth="1"/>
    <col min="2075" max="2075" width="12.7109375" style="110" customWidth="1"/>
    <col min="2076" max="2076" width="11.85546875" style="110" customWidth="1"/>
    <col min="2077" max="2077" width="7.85546875" style="110" customWidth="1"/>
    <col min="2078" max="2078" width="7.5703125" style="110" customWidth="1"/>
    <col min="2079" max="2079" width="8.85546875" style="110" customWidth="1"/>
    <col min="2080" max="2080" width="8.140625" style="110" customWidth="1"/>
    <col min="2081" max="2081" width="7.85546875" style="110" customWidth="1"/>
    <col min="2082" max="2082" width="8.5703125" style="110" customWidth="1"/>
    <col min="2083" max="2083" width="8.28515625" style="110" customWidth="1"/>
    <col min="2084" max="2084" width="11.42578125" style="110" customWidth="1"/>
    <col min="2085" max="2085" width="18" style="110" customWidth="1"/>
    <col min="2086" max="2086" width="21.42578125" style="110" customWidth="1"/>
    <col min="2087" max="2087" width="27.85546875" style="110" customWidth="1"/>
    <col min="2088" max="2303" width="11.42578125" style="110"/>
    <col min="2304" max="2304" width="13.5703125" style="110" customWidth="1"/>
    <col min="2305" max="2305" width="19" style="110" customWidth="1"/>
    <col min="2306" max="2306" width="13.5703125" style="110" customWidth="1"/>
    <col min="2307" max="2307" width="19.7109375" style="110" customWidth="1"/>
    <col min="2308" max="2308" width="13.5703125" style="110" customWidth="1"/>
    <col min="2309" max="2310" width="14.7109375" style="110" customWidth="1"/>
    <col min="2311" max="2311" width="36.140625" style="110" customWidth="1"/>
    <col min="2312" max="2312" width="29.42578125" style="110" customWidth="1"/>
    <col min="2313" max="2313" width="16" style="110" customWidth="1"/>
    <col min="2314" max="2314" width="38.28515625" style="110" customWidth="1"/>
    <col min="2315" max="2315" width="12" style="110" customWidth="1"/>
    <col min="2316" max="2316" width="38.140625" style="110" customWidth="1"/>
    <col min="2317" max="2317" width="17.85546875" style="110" bestFit="1" customWidth="1"/>
    <col min="2318" max="2318" width="24.7109375" style="110" customWidth="1"/>
    <col min="2319" max="2319" width="36.42578125" style="110" customWidth="1"/>
    <col min="2320" max="2320" width="46.7109375" style="110" customWidth="1"/>
    <col min="2321" max="2321" width="43.7109375" style="110" customWidth="1"/>
    <col min="2322" max="2322" width="25.42578125" style="110" customWidth="1"/>
    <col min="2323" max="2323" width="12.42578125" style="110" customWidth="1"/>
    <col min="2324" max="2324" width="16.42578125" style="110" customWidth="1"/>
    <col min="2325" max="2325" width="13.42578125" style="110" customWidth="1"/>
    <col min="2326" max="2326" width="8.5703125" style="110" customWidth="1"/>
    <col min="2327" max="2330" width="11.42578125" style="110" customWidth="1"/>
    <col min="2331" max="2331" width="12.7109375" style="110" customWidth="1"/>
    <col min="2332" max="2332" width="11.85546875" style="110" customWidth="1"/>
    <col min="2333" max="2333" width="7.85546875" style="110" customWidth="1"/>
    <col min="2334" max="2334" width="7.5703125" style="110" customWidth="1"/>
    <col min="2335" max="2335" width="8.85546875" style="110" customWidth="1"/>
    <col min="2336" max="2336" width="8.140625" style="110" customWidth="1"/>
    <col min="2337" max="2337" width="7.85546875" style="110" customWidth="1"/>
    <col min="2338" max="2338" width="8.5703125" style="110" customWidth="1"/>
    <col min="2339" max="2339" width="8.28515625" style="110" customWidth="1"/>
    <col min="2340" max="2340" width="11.42578125" style="110" customWidth="1"/>
    <col min="2341" max="2341" width="18" style="110" customWidth="1"/>
    <col min="2342" max="2342" width="21.42578125" style="110" customWidth="1"/>
    <col min="2343" max="2343" width="27.85546875" style="110" customWidth="1"/>
    <col min="2344" max="2559" width="11.42578125" style="110"/>
    <col min="2560" max="2560" width="13.5703125" style="110" customWidth="1"/>
    <col min="2561" max="2561" width="19" style="110" customWidth="1"/>
    <col min="2562" max="2562" width="13.5703125" style="110" customWidth="1"/>
    <col min="2563" max="2563" width="19.7109375" style="110" customWidth="1"/>
    <col min="2564" max="2564" width="13.5703125" style="110" customWidth="1"/>
    <col min="2565" max="2566" width="14.7109375" style="110" customWidth="1"/>
    <col min="2567" max="2567" width="36.140625" style="110" customWidth="1"/>
    <col min="2568" max="2568" width="29.42578125" style="110" customWidth="1"/>
    <col min="2569" max="2569" width="16" style="110" customWidth="1"/>
    <col min="2570" max="2570" width="38.28515625" style="110" customWidth="1"/>
    <col min="2571" max="2571" width="12" style="110" customWidth="1"/>
    <col min="2572" max="2572" width="38.140625" style="110" customWidth="1"/>
    <col min="2573" max="2573" width="17.85546875" style="110" bestFit="1" customWidth="1"/>
    <col min="2574" max="2574" width="24.7109375" style="110" customWidth="1"/>
    <col min="2575" max="2575" width="36.42578125" style="110" customWidth="1"/>
    <col min="2576" max="2576" width="46.7109375" style="110" customWidth="1"/>
    <col min="2577" max="2577" width="43.7109375" style="110" customWidth="1"/>
    <col min="2578" max="2578" width="25.42578125" style="110" customWidth="1"/>
    <col min="2579" max="2579" width="12.42578125" style="110" customWidth="1"/>
    <col min="2580" max="2580" width="16.42578125" style="110" customWidth="1"/>
    <col min="2581" max="2581" width="13.42578125" style="110" customWidth="1"/>
    <col min="2582" max="2582" width="8.5703125" style="110" customWidth="1"/>
    <col min="2583" max="2586" width="11.42578125" style="110" customWidth="1"/>
    <col min="2587" max="2587" width="12.7109375" style="110" customWidth="1"/>
    <col min="2588" max="2588" width="11.85546875" style="110" customWidth="1"/>
    <col min="2589" max="2589" width="7.85546875" style="110" customWidth="1"/>
    <col min="2590" max="2590" width="7.5703125" style="110" customWidth="1"/>
    <col min="2591" max="2591" width="8.85546875" style="110" customWidth="1"/>
    <col min="2592" max="2592" width="8.140625" style="110" customWidth="1"/>
    <col min="2593" max="2593" width="7.85546875" style="110" customWidth="1"/>
    <col min="2594" max="2594" width="8.5703125" style="110" customWidth="1"/>
    <col min="2595" max="2595" width="8.28515625" style="110" customWidth="1"/>
    <col min="2596" max="2596" width="11.42578125" style="110" customWidth="1"/>
    <col min="2597" max="2597" width="18" style="110" customWidth="1"/>
    <col min="2598" max="2598" width="21.42578125" style="110" customWidth="1"/>
    <col min="2599" max="2599" width="27.85546875" style="110" customWidth="1"/>
    <col min="2600" max="2815" width="11.42578125" style="110"/>
    <col min="2816" max="2816" width="13.5703125" style="110" customWidth="1"/>
    <col min="2817" max="2817" width="19" style="110" customWidth="1"/>
    <col min="2818" max="2818" width="13.5703125" style="110" customWidth="1"/>
    <col min="2819" max="2819" width="19.7109375" style="110" customWidth="1"/>
    <col min="2820" max="2820" width="13.5703125" style="110" customWidth="1"/>
    <col min="2821" max="2822" width="14.7109375" style="110" customWidth="1"/>
    <col min="2823" max="2823" width="36.140625" style="110" customWidth="1"/>
    <col min="2824" max="2824" width="29.42578125" style="110" customWidth="1"/>
    <col min="2825" max="2825" width="16" style="110" customWidth="1"/>
    <col min="2826" max="2826" width="38.28515625" style="110" customWidth="1"/>
    <col min="2827" max="2827" width="12" style="110" customWidth="1"/>
    <col min="2828" max="2828" width="38.140625" style="110" customWidth="1"/>
    <col min="2829" max="2829" width="17.85546875" style="110" bestFit="1" customWidth="1"/>
    <col min="2830" max="2830" width="24.7109375" style="110" customWidth="1"/>
    <col min="2831" max="2831" width="36.42578125" style="110" customWidth="1"/>
    <col min="2832" max="2832" width="46.7109375" style="110" customWidth="1"/>
    <col min="2833" max="2833" width="43.7109375" style="110" customWidth="1"/>
    <col min="2834" max="2834" width="25.42578125" style="110" customWidth="1"/>
    <col min="2835" max="2835" width="12.42578125" style="110" customWidth="1"/>
    <col min="2836" max="2836" width="16.42578125" style="110" customWidth="1"/>
    <col min="2837" max="2837" width="13.42578125" style="110" customWidth="1"/>
    <col min="2838" max="2838" width="8.5703125" style="110" customWidth="1"/>
    <col min="2839" max="2842" width="11.42578125" style="110" customWidth="1"/>
    <col min="2843" max="2843" width="12.7109375" style="110" customWidth="1"/>
    <col min="2844" max="2844" width="11.85546875" style="110" customWidth="1"/>
    <col min="2845" max="2845" width="7.85546875" style="110" customWidth="1"/>
    <col min="2846" max="2846" width="7.5703125" style="110" customWidth="1"/>
    <col min="2847" max="2847" width="8.85546875" style="110" customWidth="1"/>
    <col min="2848" max="2848" width="8.140625" style="110" customWidth="1"/>
    <col min="2849" max="2849" width="7.85546875" style="110" customWidth="1"/>
    <col min="2850" max="2850" width="8.5703125" style="110" customWidth="1"/>
    <col min="2851" max="2851" width="8.28515625" style="110" customWidth="1"/>
    <col min="2852" max="2852" width="11.42578125" style="110" customWidth="1"/>
    <col min="2853" max="2853" width="18" style="110" customWidth="1"/>
    <col min="2854" max="2854" width="21.42578125" style="110" customWidth="1"/>
    <col min="2855" max="2855" width="27.85546875" style="110" customWidth="1"/>
    <col min="2856" max="3071" width="11.42578125" style="110"/>
    <col min="3072" max="3072" width="13.5703125" style="110" customWidth="1"/>
    <col min="3073" max="3073" width="19" style="110" customWidth="1"/>
    <col min="3074" max="3074" width="13.5703125" style="110" customWidth="1"/>
    <col min="3075" max="3075" width="19.7109375" style="110" customWidth="1"/>
    <col min="3076" max="3076" width="13.5703125" style="110" customWidth="1"/>
    <col min="3077" max="3078" width="14.7109375" style="110" customWidth="1"/>
    <col min="3079" max="3079" width="36.140625" style="110" customWidth="1"/>
    <col min="3080" max="3080" width="29.42578125" style="110" customWidth="1"/>
    <col min="3081" max="3081" width="16" style="110" customWidth="1"/>
    <col min="3082" max="3082" width="38.28515625" style="110" customWidth="1"/>
    <col min="3083" max="3083" width="12" style="110" customWidth="1"/>
    <col min="3084" max="3084" width="38.140625" style="110" customWidth="1"/>
    <col min="3085" max="3085" width="17.85546875" style="110" bestFit="1" customWidth="1"/>
    <col min="3086" max="3086" width="24.7109375" style="110" customWidth="1"/>
    <col min="3087" max="3087" width="36.42578125" style="110" customWidth="1"/>
    <col min="3088" max="3088" width="46.7109375" style="110" customWidth="1"/>
    <col min="3089" max="3089" width="43.7109375" style="110" customWidth="1"/>
    <col min="3090" max="3090" width="25.42578125" style="110" customWidth="1"/>
    <col min="3091" max="3091" width="12.42578125" style="110" customWidth="1"/>
    <col min="3092" max="3092" width="16.42578125" style="110" customWidth="1"/>
    <col min="3093" max="3093" width="13.42578125" style="110" customWidth="1"/>
    <col min="3094" max="3094" width="8.5703125" style="110" customWidth="1"/>
    <col min="3095" max="3098" width="11.42578125" style="110" customWidth="1"/>
    <col min="3099" max="3099" width="12.7109375" style="110" customWidth="1"/>
    <col min="3100" max="3100" width="11.85546875" style="110" customWidth="1"/>
    <col min="3101" max="3101" width="7.85546875" style="110" customWidth="1"/>
    <col min="3102" max="3102" width="7.5703125" style="110" customWidth="1"/>
    <col min="3103" max="3103" width="8.85546875" style="110" customWidth="1"/>
    <col min="3104" max="3104" width="8.140625" style="110" customWidth="1"/>
    <col min="3105" max="3105" width="7.85546875" style="110" customWidth="1"/>
    <col min="3106" max="3106" width="8.5703125" style="110" customWidth="1"/>
    <col min="3107" max="3107" width="8.28515625" style="110" customWidth="1"/>
    <col min="3108" max="3108" width="11.42578125" style="110" customWidth="1"/>
    <col min="3109" max="3109" width="18" style="110" customWidth="1"/>
    <col min="3110" max="3110" width="21.42578125" style="110" customWidth="1"/>
    <col min="3111" max="3111" width="27.85546875" style="110" customWidth="1"/>
    <col min="3112" max="3327" width="11.42578125" style="110"/>
    <col min="3328" max="3328" width="13.5703125" style="110" customWidth="1"/>
    <col min="3329" max="3329" width="19" style="110" customWidth="1"/>
    <col min="3330" max="3330" width="13.5703125" style="110" customWidth="1"/>
    <col min="3331" max="3331" width="19.7109375" style="110" customWidth="1"/>
    <col min="3332" max="3332" width="13.5703125" style="110" customWidth="1"/>
    <col min="3333" max="3334" width="14.7109375" style="110" customWidth="1"/>
    <col min="3335" max="3335" width="36.140625" style="110" customWidth="1"/>
    <col min="3336" max="3336" width="29.42578125" style="110" customWidth="1"/>
    <col min="3337" max="3337" width="16" style="110" customWidth="1"/>
    <col min="3338" max="3338" width="38.28515625" style="110" customWidth="1"/>
    <col min="3339" max="3339" width="12" style="110" customWidth="1"/>
    <col min="3340" max="3340" width="38.140625" style="110" customWidth="1"/>
    <col min="3341" max="3341" width="17.85546875" style="110" bestFit="1" customWidth="1"/>
    <col min="3342" max="3342" width="24.7109375" style="110" customWidth="1"/>
    <col min="3343" max="3343" width="36.42578125" style="110" customWidth="1"/>
    <col min="3344" max="3344" width="46.7109375" style="110" customWidth="1"/>
    <col min="3345" max="3345" width="43.7109375" style="110" customWidth="1"/>
    <col min="3346" max="3346" width="25.42578125" style="110" customWidth="1"/>
    <col min="3347" max="3347" width="12.42578125" style="110" customWidth="1"/>
    <col min="3348" max="3348" width="16.42578125" style="110" customWidth="1"/>
    <col min="3349" max="3349" width="13.42578125" style="110" customWidth="1"/>
    <col min="3350" max="3350" width="8.5703125" style="110" customWidth="1"/>
    <col min="3351" max="3354" width="11.42578125" style="110" customWidth="1"/>
    <col min="3355" max="3355" width="12.7109375" style="110" customWidth="1"/>
    <col min="3356" max="3356" width="11.85546875" style="110" customWidth="1"/>
    <col min="3357" max="3357" width="7.85546875" style="110" customWidth="1"/>
    <col min="3358" max="3358" width="7.5703125" style="110" customWidth="1"/>
    <col min="3359" max="3359" width="8.85546875" style="110" customWidth="1"/>
    <col min="3360" max="3360" width="8.140625" style="110" customWidth="1"/>
    <col min="3361" max="3361" width="7.85546875" style="110" customWidth="1"/>
    <col min="3362" max="3362" width="8.5703125" style="110" customWidth="1"/>
    <col min="3363" max="3363" width="8.28515625" style="110" customWidth="1"/>
    <col min="3364" max="3364" width="11.42578125" style="110" customWidth="1"/>
    <col min="3365" max="3365" width="18" style="110" customWidth="1"/>
    <col min="3366" max="3366" width="21.42578125" style="110" customWidth="1"/>
    <col min="3367" max="3367" width="27.85546875" style="110" customWidth="1"/>
    <col min="3368" max="3583" width="11.42578125" style="110"/>
    <col min="3584" max="3584" width="13.5703125" style="110" customWidth="1"/>
    <col min="3585" max="3585" width="19" style="110" customWidth="1"/>
    <col min="3586" max="3586" width="13.5703125" style="110" customWidth="1"/>
    <col min="3587" max="3587" width="19.7109375" style="110" customWidth="1"/>
    <col min="3588" max="3588" width="13.5703125" style="110" customWidth="1"/>
    <col min="3589" max="3590" width="14.7109375" style="110" customWidth="1"/>
    <col min="3591" max="3591" width="36.140625" style="110" customWidth="1"/>
    <col min="3592" max="3592" width="29.42578125" style="110" customWidth="1"/>
    <col min="3593" max="3593" width="16" style="110" customWidth="1"/>
    <col min="3594" max="3594" width="38.28515625" style="110" customWidth="1"/>
    <col min="3595" max="3595" width="12" style="110" customWidth="1"/>
    <col min="3596" max="3596" width="38.140625" style="110" customWidth="1"/>
    <col min="3597" max="3597" width="17.85546875" style="110" bestFit="1" customWidth="1"/>
    <col min="3598" max="3598" width="24.7109375" style="110" customWidth="1"/>
    <col min="3599" max="3599" width="36.42578125" style="110" customWidth="1"/>
    <col min="3600" max="3600" width="46.7109375" style="110" customWidth="1"/>
    <col min="3601" max="3601" width="43.7109375" style="110" customWidth="1"/>
    <col min="3602" max="3602" width="25.42578125" style="110" customWidth="1"/>
    <col min="3603" max="3603" width="12.42578125" style="110" customWidth="1"/>
    <col min="3604" max="3604" width="16.42578125" style="110" customWidth="1"/>
    <col min="3605" max="3605" width="13.42578125" style="110" customWidth="1"/>
    <col min="3606" max="3606" width="8.5703125" style="110" customWidth="1"/>
    <col min="3607" max="3610" width="11.42578125" style="110" customWidth="1"/>
    <col min="3611" max="3611" width="12.7109375" style="110" customWidth="1"/>
    <col min="3612" max="3612" width="11.85546875" style="110" customWidth="1"/>
    <col min="3613" max="3613" width="7.85546875" style="110" customWidth="1"/>
    <col min="3614" max="3614" width="7.5703125" style="110" customWidth="1"/>
    <col min="3615" max="3615" width="8.85546875" style="110" customWidth="1"/>
    <col min="3616" max="3616" width="8.140625" style="110" customWidth="1"/>
    <col min="3617" max="3617" width="7.85546875" style="110" customWidth="1"/>
    <col min="3618" max="3618" width="8.5703125" style="110" customWidth="1"/>
    <col min="3619" max="3619" width="8.28515625" style="110" customWidth="1"/>
    <col min="3620" max="3620" width="11.42578125" style="110" customWidth="1"/>
    <col min="3621" max="3621" width="18" style="110" customWidth="1"/>
    <col min="3622" max="3622" width="21.42578125" style="110" customWidth="1"/>
    <col min="3623" max="3623" width="27.85546875" style="110" customWidth="1"/>
    <col min="3624" max="3839" width="11.42578125" style="110"/>
    <col min="3840" max="3840" width="13.5703125" style="110" customWidth="1"/>
    <col min="3841" max="3841" width="19" style="110" customWidth="1"/>
    <col min="3842" max="3842" width="13.5703125" style="110" customWidth="1"/>
    <col min="3843" max="3843" width="19.7109375" style="110" customWidth="1"/>
    <col min="3844" max="3844" width="13.5703125" style="110" customWidth="1"/>
    <col min="3845" max="3846" width="14.7109375" style="110" customWidth="1"/>
    <col min="3847" max="3847" width="36.140625" style="110" customWidth="1"/>
    <col min="3848" max="3848" width="29.42578125" style="110" customWidth="1"/>
    <col min="3849" max="3849" width="16" style="110" customWidth="1"/>
    <col min="3850" max="3850" width="38.28515625" style="110" customWidth="1"/>
    <col min="3851" max="3851" width="12" style="110" customWidth="1"/>
    <col min="3852" max="3852" width="38.140625" style="110" customWidth="1"/>
    <col min="3853" max="3853" width="17.85546875" style="110" bestFit="1" customWidth="1"/>
    <col min="3854" max="3854" width="24.7109375" style="110" customWidth="1"/>
    <col min="3855" max="3855" width="36.42578125" style="110" customWidth="1"/>
    <col min="3856" max="3856" width="46.7109375" style="110" customWidth="1"/>
    <col min="3857" max="3857" width="43.7109375" style="110" customWidth="1"/>
    <col min="3858" max="3858" width="25.42578125" style="110" customWidth="1"/>
    <col min="3859" max="3859" width="12.42578125" style="110" customWidth="1"/>
    <col min="3860" max="3860" width="16.42578125" style="110" customWidth="1"/>
    <col min="3861" max="3861" width="13.42578125" style="110" customWidth="1"/>
    <col min="3862" max="3862" width="8.5703125" style="110" customWidth="1"/>
    <col min="3863" max="3866" width="11.42578125" style="110" customWidth="1"/>
    <col min="3867" max="3867" width="12.7109375" style="110" customWidth="1"/>
    <col min="3868" max="3868" width="11.85546875" style="110" customWidth="1"/>
    <col min="3869" max="3869" width="7.85546875" style="110" customWidth="1"/>
    <col min="3870" max="3870" width="7.5703125" style="110" customWidth="1"/>
    <col min="3871" max="3871" width="8.85546875" style="110" customWidth="1"/>
    <col min="3872" max="3872" width="8.140625" style="110" customWidth="1"/>
    <col min="3873" max="3873" width="7.85546875" style="110" customWidth="1"/>
    <col min="3874" max="3874" width="8.5703125" style="110" customWidth="1"/>
    <col min="3875" max="3875" width="8.28515625" style="110" customWidth="1"/>
    <col min="3876" max="3876" width="11.42578125" style="110" customWidth="1"/>
    <col min="3877" max="3877" width="18" style="110" customWidth="1"/>
    <col min="3878" max="3878" width="21.42578125" style="110" customWidth="1"/>
    <col min="3879" max="3879" width="27.85546875" style="110" customWidth="1"/>
    <col min="3880" max="4095" width="11.42578125" style="110"/>
    <col min="4096" max="4096" width="13.5703125" style="110" customWidth="1"/>
    <col min="4097" max="4097" width="19" style="110" customWidth="1"/>
    <col min="4098" max="4098" width="13.5703125" style="110" customWidth="1"/>
    <col min="4099" max="4099" width="19.7109375" style="110" customWidth="1"/>
    <col min="4100" max="4100" width="13.5703125" style="110" customWidth="1"/>
    <col min="4101" max="4102" width="14.7109375" style="110" customWidth="1"/>
    <col min="4103" max="4103" width="36.140625" style="110" customWidth="1"/>
    <col min="4104" max="4104" width="29.42578125" style="110" customWidth="1"/>
    <col min="4105" max="4105" width="16" style="110" customWidth="1"/>
    <col min="4106" max="4106" width="38.28515625" style="110" customWidth="1"/>
    <col min="4107" max="4107" width="12" style="110" customWidth="1"/>
    <col min="4108" max="4108" width="38.140625" style="110" customWidth="1"/>
    <col min="4109" max="4109" width="17.85546875" style="110" bestFit="1" customWidth="1"/>
    <col min="4110" max="4110" width="24.7109375" style="110" customWidth="1"/>
    <col min="4111" max="4111" width="36.42578125" style="110" customWidth="1"/>
    <col min="4112" max="4112" width="46.7109375" style="110" customWidth="1"/>
    <col min="4113" max="4113" width="43.7109375" style="110" customWidth="1"/>
    <col min="4114" max="4114" width="25.42578125" style="110" customWidth="1"/>
    <col min="4115" max="4115" width="12.42578125" style="110" customWidth="1"/>
    <col min="4116" max="4116" width="16.42578125" style="110" customWidth="1"/>
    <col min="4117" max="4117" width="13.42578125" style="110" customWidth="1"/>
    <col min="4118" max="4118" width="8.5703125" style="110" customWidth="1"/>
    <col min="4119" max="4122" width="11.42578125" style="110" customWidth="1"/>
    <col min="4123" max="4123" width="12.7109375" style="110" customWidth="1"/>
    <col min="4124" max="4124" width="11.85546875" style="110" customWidth="1"/>
    <col min="4125" max="4125" width="7.85546875" style="110" customWidth="1"/>
    <col min="4126" max="4126" width="7.5703125" style="110" customWidth="1"/>
    <col min="4127" max="4127" width="8.85546875" style="110" customWidth="1"/>
    <col min="4128" max="4128" width="8.140625" style="110" customWidth="1"/>
    <col min="4129" max="4129" width="7.85546875" style="110" customWidth="1"/>
    <col min="4130" max="4130" width="8.5703125" style="110" customWidth="1"/>
    <col min="4131" max="4131" width="8.28515625" style="110" customWidth="1"/>
    <col min="4132" max="4132" width="11.42578125" style="110" customWidth="1"/>
    <col min="4133" max="4133" width="18" style="110" customWidth="1"/>
    <col min="4134" max="4134" width="21.42578125" style="110" customWidth="1"/>
    <col min="4135" max="4135" width="27.85546875" style="110" customWidth="1"/>
    <col min="4136" max="4351" width="11.42578125" style="110"/>
    <col min="4352" max="4352" width="13.5703125" style="110" customWidth="1"/>
    <col min="4353" max="4353" width="19" style="110" customWidth="1"/>
    <col min="4354" max="4354" width="13.5703125" style="110" customWidth="1"/>
    <col min="4355" max="4355" width="19.7109375" style="110" customWidth="1"/>
    <col min="4356" max="4356" width="13.5703125" style="110" customWidth="1"/>
    <col min="4357" max="4358" width="14.7109375" style="110" customWidth="1"/>
    <col min="4359" max="4359" width="36.140625" style="110" customWidth="1"/>
    <col min="4360" max="4360" width="29.42578125" style="110" customWidth="1"/>
    <col min="4361" max="4361" width="16" style="110" customWidth="1"/>
    <col min="4362" max="4362" width="38.28515625" style="110" customWidth="1"/>
    <col min="4363" max="4363" width="12" style="110" customWidth="1"/>
    <col min="4364" max="4364" width="38.140625" style="110" customWidth="1"/>
    <col min="4365" max="4365" width="17.85546875" style="110" bestFit="1" customWidth="1"/>
    <col min="4366" max="4366" width="24.7109375" style="110" customWidth="1"/>
    <col min="4367" max="4367" width="36.42578125" style="110" customWidth="1"/>
    <col min="4368" max="4368" width="46.7109375" style="110" customWidth="1"/>
    <col min="4369" max="4369" width="43.7109375" style="110" customWidth="1"/>
    <col min="4370" max="4370" width="25.42578125" style="110" customWidth="1"/>
    <col min="4371" max="4371" width="12.42578125" style="110" customWidth="1"/>
    <col min="4372" max="4372" width="16.42578125" style="110" customWidth="1"/>
    <col min="4373" max="4373" width="13.42578125" style="110" customWidth="1"/>
    <col min="4374" max="4374" width="8.5703125" style="110" customWidth="1"/>
    <col min="4375" max="4378" width="11.42578125" style="110" customWidth="1"/>
    <col min="4379" max="4379" width="12.7109375" style="110" customWidth="1"/>
    <col min="4380" max="4380" width="11.85546875" style="110" customWidth="1"/>
    <col min="4381" max="4381" width="7.85546875" style="110" customWidth="1"/>
    <col min="4382" max="4382" width="7.5703125" style="110" customWidth="1"/>
    <col min="4383" max="4383" width="8.85546875" style="110" customWidth="1"/>
    <col min="4384" max="4384" width="8.140625" style="110" customWidth="1"/>
    <col min="4385" max="4385" width="7.85546875" style="110" customWidth="1"/>
    <col min="4386" max="4386" width="8.5703125" style="110" customWidth="1"/>
    <col min="4387" max="4387" width="8.28515625" style="110" customWidth="1"/>
    <col min="4388" max="4388" width="11.42578125" style="110" customWidth="1"/>
    <col min="4389" max="4389" width="18" style="110" customWidth="1"/>
    <col min="4390" max="4390" width="21.42578125" style="110" customWidth="1"/>
    <col min="4391" max="4391" width="27.85546875" style="110" customWidth="1"/>
    <col min="4392" max="4607" width="11.42578125" style="110"/>
    <col min="4608" max="4608" width="13.5703125" style="110" customWidth="1"/>
    <col min="4609" max="4609" width="19" style="110" customWidth="1"/>
    <col min="4610" max="4610" width="13.5703125" style="110" customWidth="1"/>
    <col min="4611" max="4611" width="19.7109375" style="110" customWidth="1"/>
    <col min="4612" max="4612" width="13.5703125" style="110" customWidth="1"/>
    <col min="4613" max="4614" width="14.7109375" style="110" customWidth="1"/>
    <col min="4615" max="4615" width="36.140625" style="110" customWidth="1"/>
    <col min="4616" max="4616" width="29.42578125" style="110" customWidth="1"/>
    <col min="4617" max="4617" width="16" style="110" customWidth="1"/>
    <col min="4618" max="4618" width="38.28515625" style="110" customWidth="1"/>
    <col min="4619" max="4619" width="12" style="110" customWidth="1"/>
    <col min="4620" max="4620" width="38.140625" style="110" customWidth="1"/>
    <col min="4621" max="4621" width="17.85546875" style="110" bestFit="1" customWidth="1"/>
    <col min="4622" max="4622" width="24.7109375" style="110" customWidth="1"/>
    <col min="4623" max="4623" width="36.42578125" style="110" customWidth="1"/>
    <col min="4624" max="4624" width="46.7109375" style="110" customWidth="1"/>
    <col min="4625" max="4625" width="43.7109375" style="110" customWidth="1"/>
    <col min="4626" max="4626" width="25.42578125" style="110" customWidth="1"/>
    <col min="4627" max="4627" width="12.42578125" style="110" customWidth="1"/>
    <col min="4628" max="4628" width="16.42578125" style="110" customWidth="1"/>
    <col min="4629" max="4629" width="13.42578125" style="110" customWidth="1"/>
    <col min="4630" max="4630" width="8.5703125" style="110" customWidth="1"/>
    <col min="4631" max="4634" width="11.42578125" style="110" customWidth="1"/>
    <col min="4635" max="4635" width="12.7109375" style="110" customWidth="1"/>
    <col min="4636" max="4636" width="11.85546875" style="110" customWidth="1"/>
    <col min="4637" max="4637" width="7.85546875" style="110" customWidth="1"/>
    <col min="4638" max="4638" width="7.5703125" style="110" customWidth="1"/>
    <col min="4639" max="4639" width="8.85546875" style="110" customWidth="1"/>
    <col min="4640" max="4640" width="8.140625" style="110" customWidth="1"/>
    <col min="4641" max="4641" width="7.85546875" style="110" customWidth="1"/>
    <col min="4642" max="4642" width="8.5703125" style="110" customWidth="1"/>
    <col min="4643" max="4643" width="8.28515625" style="110" customWidth="1"/>
    <col min="4644" max="4644" width="11.42578125" style="110" customWidth="1"/>
    <col min="4645" max="4645" width="18" style="110" customWidth="1"/>
    <col min="4646" max="4646" width="21.42578125" style="110" customWidth="1"/>
    <col min="4647" max="4647" width="27.85546875" style="110" customWidth="1"/>
    <col min="4648" max="4863" width="11.42578125" style="110"/>
    <col min="4864" max="4864" width="13.5703125" style="110" customWidth="1"/>
    <col min="4865" max="4865" width="19" style="110" customWidth="1"/>
    <col min="4866" max="4866" width="13.5703125" style="110" customWidth="1"/>
    <col min="4867" max="4867" width="19.7109375" style="110" customWidth="1"/>
    <col min="4868" max="4868" width="13.5703125" style="110" customWidth="1"/>
    <col min="4869" max="4870" width="14.7109375" style="110" customWidth="1"/>
    <col min="4871" max="4871" width="36.140625" style="110" customWidth="1"/>
    <col min="4872" max="4872" width="29.42578125" style="110" customWidth="1"/>
    <col min="4873" max="4873" width="16" style="110" customWidth="1"/>
    <col min="4874" max="4874" width="38.28515625" style="110" customWidth="1"/>
    <col min="4875" max="4875" width="12" style="110" customWidth="1"/>
    <col min="4876" max="4876" width="38.140625" style="110" customWidth="1"/>
    <col min="4877" max="4877" width="17.85546875" style="110" bestFit="1" customWidth="1"/>
    <col min="4878" max="4878" width="24.7109375" style="110" customWidth="1"/>
    <col min="4879" max="4879" width="36.42578125" style="110" customWidth="1"/>
    <col min="4880" max="4880" width="46.7109375" style="110" customWidth="1"/>
    <col min="4881" max="4881" width="43.7109375" style="110" customWidth="1"/>
    <col min="4882" max="4882" width="25.42578125" style="110" customWidth="1"/>
    <col min="4883" max="4883" width="12.42578125" style="110" customWidth="1"/>
    <col min="4884" max="4884" width="16.42578125" style="110" customWidth="1"/>
    <col min="4885" max="4885" width="13.42578125" style="110" customWidth="1"/>
    <col min="4886" max="4886" width="8.5703125" style="110" customWidth="1"/>
    <col min="4887" max="4890" width="11.42578125" style="110" customWidth="1"/>
    <col min="4891" max="4891" width="12.7109375" style="110" customWidth="1"/>
    <col min="4892" max="4892" width="11.85546875" style="110" customWidth="1"/>
    <col min="4893" max="4893" width="7.85546875" style="110" customWidth="1"/>
    <col min="4894" max="4894" width="7.5703125" style="110" customWidth="1"/>
    <col min="4895" max="4895" width="8.85546875" style="110" customWidth="1"/>
    <col min="4896" max="4896" width="8.140625" style="110" customWidth="1"/>
    <col min="4897" max="4897" width="7.85546875" style="110" customWidth="1"/>
    <col min="4898" max="4898" width="8.5703125" style="110" customWidth="1"/>
    <col min="4899" max="4899" width="8.28515625" style="110" customWidth="1"/>
    <col min="4900" max="4900" width="11.42578125" style="110" customWidth="1"/>
    <col min="4901" max="4901" width="18" style="110" customWidth="1"/>
    <col min="4902" max="4902" width="21.42578125" style="110" customWidth="1"/>
    <col min="4903" max="4903" width="27.85546875" style="110" customWidth="1"/>
    <col min="4904" max="5119" width="11.42578125" style="110"/>
    <col min="5120" max="5120" width="13.5703125" style="110" customWidth="1"/>
    <col min="5121" max="5121" width="19" style="110" customWidth="1"/>
    <col min="5122" max="5122" width="13.5703125" style="110" customWidth="1"/>
    <col min="5123" max="5123" width="19.7109375" style="110" customWidth="1"/>
    <col min="5124" max="5124" width="13.5703125" style="110" customWidth="1"/>
    <col min="5125" max="5126" width="14.7109375" style="110" customWidth="1"/>
    <col min="5127" max="5127" width="36.140625" style="110" customWidth="1"/>
    <col min="5128" max="5128" width="29.42578125" style="110" customWidth="1"/>
    <col min="5129" max="5129" width="16" style="110" customWidth="1"/>
    <col min="5130" max="5130" width="38.28515625" style="110" customWidth="1"/>
    <col min="5131" max="5131" width="12" style="110" customWidth="1"/>
    <col min="5132" max="5132" width="38.140625" style="110" customWidth="1"/>
    <col min="5133" max="5133" width="17.85546875" style="110" bestFit="1" customWidth="1"/>
    <col min="5134" max="5134" width="24.7109375" style="110" customWidth="1"/>
    <col min="5135" max="5135" width="36.42578125" style="110" customWidth="1"/>
    <col min="5136" max="5136" width="46.7109375" style="110" customWidth="1"/>
    <col min="5137" max="5137" width="43.7109375" style="110" customWidth="1"/>
    <col min="5138" max="5138" width="25.42578125" style="110" customWidth="1"/>
    <col min="5139" max="5139" width="12.42578125" style="110" customWidth="1"/>
    <col min="5140" max="5140" width="16.42578125" style="110" customWidth="1"/>
    <col min="5141" max="5141" width="13.42578125" style="110" customWidth="1"/>
    <col min="5142" max="5142" width="8.5703125" style="110" customWidth="1"/>
    <col min="5143" max="5146" width="11.42578125" style="110" customWidth="1"/>
    <col min="5147" max="5147" width="12.7109375" style="110" customWidth="1"/>
    <col min="5148" max="5148" width="11.85546875" style="110" customWidth="1"/>
    <col min="5149" max="5149" width="7.85546875" style="110" customWidth="1"/>
    <col min="5150" max="5150" width="7.5703125" style="110" customWidth="1"/>
    <col min="5151" max="5151" width="8.85546875" style="110" customWidth="1"/>
    <col min="5152" max="5152" width="8.140625" style="110" customWidth="1"/>
    <col min="5153" max="5153" width="7.85546875" style="110" customWidth="1"/>
    <col min="5154" max="5154" width="8.5703125" style="110" customWidth="1"/>
    <col min="5155" max="5155" width="8.28515625" style="110" customWidth="1"/>
    <col min="5156" max="5156" width="11.42578125" style="110" customWidth="1"/>
    <col min="5157" max="5157" width="18" style="110" customWidth="1"/>
    <col min="5158" max="5158" width="21.42578125" style="110" customWidth="1"/>
    <col min="5159" max="5159" width="27.85546875" style="110" customWidth="1"/>
    <col min="5160" max="5375" width="11.42578125" style="110"/>
    <col min="5376" max="5376" width="13.5703125" style="110" customWidth="1"/>
    <col min="5377" max="5377" width="19" style="110" customWidth="1"/>
    <col min="5378" max="5378" width="13.5703125" style="110" customWidth="1"/>
    <col min="5379" max="5379" width="19.7109375" style="110" customWidth="1"/>
    <col min="5380" max="5380" width="13.5703125" style="110" customWidth="1"/>
    <col min="5381" max="5382" width="14.7109375" style="110" customWidth="1"/>
    <col min="5383" max="5383" width="36.140625" style="110" customWidth="1"/>
    <col min="5384" max="5384" width="29.42578125" style="110" customWidth="1"/>
    <col min="5385" max="5385" width="16" style="110" customWidth="1"/>
    <col min="5386" max="5386" width="38.28515625" style="110" customWidth="1"/>
    <col min="5387" max="5387" width="12" style="110" customWidth="1"/>
    <col min="5388" max="5388" width="38.140625" style="110" customWidth="1"/>
    <col min="5389" max="5389" width="17.85546875" style="110" bestFit="1" customWidth="1"/>
    <col min="5390" max="5390" width="24.7109375" style="110" customWidth="1"/>
    <col min="5391" max="5391" width="36.42578125" style="110" customWidth="1"/>
    <col min="5392" max="5392" width="46.7109375" style="110" customWidth="1"/>
    <col min="5393" max="5393" width="43.7109375" style="110" customWidth="1"/>
    <col min="5394" max="5394" width="25.42578125" style="110" customWidth="1"/>
    <col min="5395" max="5395" width="12.42578125" style="110" customWidth="1"/>
    <col min="5396" max="5396" width="16.42578125" style="110" customWidth="1"/>
    <col min="5397" max="5397" width="13.42578125" style="110" customWidth="1"/>
    <col min="5398" max="5398" width="8.5703125" style="110" customWidth="1"/>
    <col min="5399" max="5402" width="11.42578125" style="110" customWidth="1"/>
    <col min="5403" max="5403" width="12.7109375" style="110" customWidth="1"/>
    <col min="5404" max="5404" width="11.85546875" style="110" customWidth="1"/>
    <col min="5405" max="5405" width="7.85546875" style="110" customWidth="1"/>
    <col min="5406" max="5406" width="7.5703125" style="110" customWidth="1"/>
    <col min="5407" max="5407" width="8.85546875" style="110" customWidth="1"/>
    <col min="5408" max="5408" width="8.140625" style="110" customWidth="1"/>
    <col min="5409" max="5409" width="7.85546875" style="110" customWidth="1"/>
    <col min="5410" max="5410" width="8.5703125" style="110" customWidth="1"/>
    <col min="5411" max="5411" width="8.28515625" style="110" customWidth="1"/>
    <col min="5412" max="5412" width="11.42578125" style="110" customWidth="1"/>
    <col min="5413" max="5413" width="18" style="110" customWidth="1"/>
    <col min="5414" max="5414" width="21.42578125" style="110" customWidth="1"/>
    <col min="5415" max="5415" width="27.85546875" style="110" customWidth="1"/>
    <col min="5416" max="5631" width="11.42578125" style="110"/>
    <col min="5632" max="5632" width="13.5703125" style="110" customWidth="1"/>
    <col min="5633" max="5633" width="19" style="110" customWidth="1"/>
    <col min="5634" max="5634" width="13.5703125" style="110" customWidth="1"/>
    <col min="5635" max="5635" width="19.7109375" style="110" customWidth="1"/>
    <col min="5636" max="5636" width="13.5703125" style="110" customWidth="1"/>
    <col min="5637" max="5638" width="14.7109375" style="110" customWidth="1"/>
    <col min="5639" max="5639" width="36.140625" style="110" customWidth="1"/>
    <col min="5640" max="5640" width="29.42578125" style="110" customWidth="1"/>
    <col min="5641" max="5641" width="16" style="110" customWidth="1"/>
    <col min="5642" max="5642" width="38.28515625" style="110" customWidth="1"/>
    <col min="5643" max="5643" width="12" style="110" customWidth="1"/>
    <col min="5644" max="5644" width="38.140625" style="110" customWidth="1"/>
    <col min="5645" max="5645" width="17.85546875" style="110" bestFit="1" customWidth="1"/>
    <col min="5646" max="5646" width="24.7109375" style="110" customWidth="1"/>
    <col min="5647" max="5647" width="36.42578125" style="110" customWidth="1"/>
    <col min="5648" max="5648" width="46.7109375" style="110" customWidth="1"/>
    <col min="5649" max="5649" width="43.7109375" style="110" customWidth="1"/>
    <col min="5650" max="5650" width="25.42578125" style="110" customWidth="1"/>
    <col min="5651" max="5651" width="12.42578125" style="110" customWidth="1"/>
    <col min="5652" max="5652" width="16.42578125" style="110" customWidth="1"/>
    <col min="5653" max="5653" width="13.42578125" style="110" customWidth="1"/>
    <col min="5654" max="5654" width="8.5703125" style="110" customWidth="1"/>
    <col min="5655" max="5658" width="11.42578125" style="110" customWidth="1"/>
    <col min="5659" max="5659" width="12.7109375" style="110" customWidth="1"/>
    <col min="5660" max="5660" width="11.85546875" style="110" customWidth="1"/>
    <col min="5661" max="5661" width="7.85546875" style="110" customWidth="1"/>
    <col min="5662" max="5662" width="7.5703125" style="110" customWidth="1"/>
    <col min="5663" max="5663" width="8.85546875" style="110" customWidth="1"/>
    <col min="5664" max="5664" width="8.140625" style="110" customWidth="1"/>
    <col min="5665" max="5665" width="7.85546875" style="110" customWidth="1"/>
    <col min="5666" max="5666" width="8.5703125" style="110" customWidth="1"/>
    <col min="5667" max="5667" width="8.28515625" style="110" customWidth="1"/>
    <col min="5668" max="5668" width="11.42578125" style="110" customWidth="1"/>
    <col min="5669" max="5669" width="18" style="110" customWidth="1"/>
    <col min="5670" max="5670" width="21.42578125" style="110" customWidth="1"/>
    <col min="5671" max="5671" width="27.85546875" style="110" customWidth="1"/>
    <col min="5672" max="5887" width="11.42578125" style="110"/>
    <col min="5888" max="5888" width="13.5703125" style="110" customWidth="1"/>
    <col min="5889" max="5889" width="19" style="110" customWidth="1"/>
    <col min="5890" max="5890" width="13.5703125" style="110" customWidth="1"/>
    <col min="5891" max="5891" width="19.7109375" style="110" customWidth="1"/>
    <col min="5892" max="5892" width="13.5703125" style="110" customWidth="1"/>
    <col min="5893" max="5894" width="14.7109375" style="110" customWidth="1"/>
    <col min="5895" max="5895" width="36.140625" style="110" customWidth="1"/>
    <col min="5896" max="5896" width="29.42578125" style="110" customWidth="1"/>
    <col min="5897" max="5897" width="16" style="110" customWidth="1"/>
    <col min="5898" max="5898" width="38.28515625" style="110" customWidth="1"/>
    <col min="5899" max="5899" width="12" style="110" customWidth="1"/>
    <col min="5900" max="5900" width="38.140625" style="110" customWidth="1"/>
    <col min="5901" max="5901" width="17.85546875" style="110" bestFit="1" customWidth="1"/>
    <col min="5902" max="5902" width="24.7109375" style="110" customWidth="1"/>
    <col min="5903" max="5903" width="36.42578125" style="110" customWidth="1"/>
    <col min="5904" max="5904" width="46.7109375" style="110" customWidth="1"/>
    <col min="5905" max="5905" width="43.7109375" style="110" customWidth="1"/>
    <col min="5906" max="5906" width="25.42578125" style="110" customWidth="1"/>
    <col min="5907" max="5907" width="12.42578125" style="110" customWidth="1"/>
    <col min="5908" max="5908" width="16.42578125" style="110" customWidth="1"/>
    <col min="5909" max="5909" width="13.42578125" style="110" customWidth="1"/>
    <col min="5910" max="5910" width="8.5703125" style="110" customWidth="1"/>
    <col min="5911" max="5914" width="11.42578125" style="110" customWidth="1"/>
    <col min="5915" max="5915" width="12.7109375" style="110" customWidth="1"/>
    <col min="5916" max="5916" width="11.85546875" style="110" customWidth="1"/>
    <col min="5917" max="5917" width="7.85546875" style="110" customWidth="1"/>
    <col min="5918" max="5918" width="7.5703125" style="110" customWidth="1"/>
    <col min="5919" max="5919" width="8.85546875" style="110" customWidth="1"/>
    <col min="5920" max="5920" width="8.140625" style="110" customWidth="1"/>
    <col min="5921" max="5921" width="7.85546875" style="110" customWidth="1"/>
    <col min="5922" max="5922" width="8.5703125" style="110" customWidth="1"/>
    <col min="5923" max="5923" width="8.28515625" style="110" customWidth="1"/>
    <col min="5924" max="5924" width="11.42578125" style="110" customWidth="1"/>
    <col min="5925" max="5925" width="18" style="110" customWidth="1"/>
    <col min="5926" max="5926" width="21.42578125" style="110" customWidth="1"/>
    <col min="5927" max="5927" width="27.85546875" style="110" customWidth="1"/>
    <col min="5928" max="6143" width="11.42578125" style="110"/>
    <col min="6144" max="6144" width="13.5703125" style="110" customWidth="1"/>
    <col min="6145" max="6145" width="19" style="110" customWidth="1"/>
    <col min="6146" max="6146" width="13.5703125" style="110" customWidth="1"/>
    <col min="6147" max="6147" width="19.7109375" style="110" customWidth="1"/>
    <col min="6148" max="6148" width="13.5703125" style="110" customWidth="1"/>
    <col min="6149" max="6150" width="14.7109375" style="110" customWidth="1"/>
    <col min="6151" max="6151" width="36.140625" style="110" customWidth="1"/>
    <col min="6152" max="6152" width="29.42578125" style="110" customWidth="1"/>
    <col min="6153" max="6153" width="16" style="110" customWidth="1"/>
    <col min="6154" max="6154" width="38.28515625" style="110" customWidth="1"/>
    <col min="6155" max="6155" width="12" style="110" customWidth="1"/>
    <col min="6156" max="6156" width="38.140625" style="110" customWidth="1"/>
    <col min="6157" max="6157" width="17.85546875" style="110" bestFit="1" customWidth="1"/>
    <col min="6158" max="6158" width="24.7109375" style="110" customWidth="1"/>
    <col min="6159" max="6159" width="36.42578125" style="110" customWidth="1"/>
    <col min="6160" max="6160" width="46.7109375" style="110" customWidth="1"/>
    <col min="6161" max="6161" width="43.7109375" style="110" customWidth="1"/>
    <col min="6162" max="6162" width="25.42578125" style="110" customWidth="1"/>
    <col min="6163" max="6163" width="12.42578125" style="110" customWidth="1"/>
    <col min="6164" max="6164" width="16.42578125" style="110" customWidth="1"/>
    <col min="6165" max="6165" width="13.42578125" style="110" customWidth="1"/>
    <col min="6166" max="6166" width="8.5703125" style="110" customWidth="1"/>
    <col min="6167" max="6170" width="11.42578125" style="110" customWidth="1"/>
    <col min="6171" max="6171" width="12.7109375" style="110" customWidth="1"/>
    <col min="6172" max="6172" width="11.85546875" style="110" customWidth="1"/>
    <col min="6173" max="6173" width="7.85546875" style="110" customWidth="1"/>
    <col min="6174" max="6174" width="7.5703125" style="110" customWidth="1"/>
    <col min="6175" max="6175" width="8.85546875" style="110" customWidth="1"/>
    <col min="6176" max="6176" width="8.140625" style="110" customWidth="1"/>
    <col min="6177" max="6177" width="7.85546875" style="110" customWidth="1"/>
    <col min="6178" max="6178" width="8.5703125" style="110" customWidth="1"/>
    <col min="6179" max="6179" width="8.28515625" style="110" customWidth="1"/>
    <col min="6180" max="6180" width="11.42578125" style="110" customWidth="1"/>
    <col min="6181" max="6181" width="18" style="110" customWidth="1"/>
    <col min="6182" max="6182" width="21.42578125" style="110" customWidth="1"/>
    <col min="6183" max="6183" width="27.85546875" style="110" customWidth="1"/>
    <col min="6184" max="6399" width="11.42578125" style="110"/>
    <col min="6400" max="6400" width="13.5703125" style="110" customWidth="1"/>
    <col min="6401" max="6401" width="19" style="110" customWidth="1"/>
    <col min="6402" max="6402" width="13.5703125" style="110" customWidth="1"/>
    <col min="6403" max="6403" width="19.7109375" style="110" customWidth="1"/>
    <col min="6404" max="6404" width="13.5703125" style="110" customWidth="1"/>
    <col min="6405" max="6406" width="14.7109375" style="110" customWidth="1"/>
    <col min="6407" max="6407" width="36.140625" style="110" customWidth="1"/>
    <col min="6408" max="6408" width="29.42578125" style="110" customWidth="1"/>
    <col min="6409" max="6409" width="16" style="110" customWidth="1"/>
    <col min="6410" max="6410" width="38.28515625" style="110" customWidth="1"/>
    <col min="6411" max="6411" width="12" style="110" customWidth="1"/>
    <col min="6412" max="6412" width="38.140625" style="110" customWidth="1"/>
    <col min="6413" max="6413" width="17.85546875" style="110" bestFit="1" customWidth="1"/>
    <col min="6414" max="6414" width="24.7109375" style="110" customWidth="1"/>
    <col min="6415" max="6415" width="36.42578125" style="110" customWidth="1"/>
    <col min="6416" max="6416" width="46.7109375" style="110" customWidth="1"/>
    <col min="6417" max="6417" width="43.7109375" style="110" customWidth="1"/>
    <col min="6418" max="6418" width="25.42578125" style="110" customWidth="1"/>
    <col min="6419" max="6419" width="12.42578125" style="110" customWidth="1"/>
    <col min="6420" max="6420" width="16.42578125" style="110" customWidth="1"/>
    <col min="6421" max="6421" width="13.42578125" style="110" customWidth="1"/>
    <col min="6422" max="6422" width="8.5703125" style="110" customWidth="1"/>
    <col min="6423" max="6426" width="11.42578125" style="110" customWidth="1"/>
    <col min="6427" max="6427" width="12.7109375" style="110" customWidth="1"/>
    <col min="6428" max="6428" width="11.85546875" style="110" customWidth="1"/>
    <col min="6429" max="6429" width="7.85546875" style="110" customWidth="1"/>
    <col min="6430" max="6430" width="7.5703125" style="110" customWidth="1"/>
    <col min="6431" max="6431" width="8.85546875" style="110" customWidth="1"/>
    <col min="6432" max="6432" width="8.140625" style="110" customWidth="1"/>
    <col min="6433" max="6433" width="7.85546875" style="110" customWidth="1"/>
    <col min="6434" max="6434" width="8.5703125" style="110" customWidth="1"/>
    <col min="6435" max="6435" width="8.28515625" style="110" customWidth="1"/>
    <col min="6436" max="6436" width="11.42578125" style="110" customWidth="1"/>
    <col min="6437" max="6437" width="18" style="110" customWidth="1"/>
    <col min="6438" max="6438" width="21.42578125" style="110" customWidth="1"/>
    <col min="6439" max="6439" width="27.85546875" style="110" customWidth="1"/>
    <col min="6440" max="6655" width="11.42578125" style="110"/>
    <col min="6656" max="6656" width="13.5703125" style="110" customWidth="1"/>
    <col min="6657" max="6657" width="19" style="110" customWidth="1"/>
    <col min="6658" max="6658" width="13.5703125" style="110" customWidth="1"/>
    <col min="6659" max="6659" width="19.7109375" style="110" customWidth="1"/>
    <col min="6660" max="6660" width="13.5703125" style="110" customWidth="1"/>
    <col min="6661" max="6662" width="14.7109375" style="110" customWidth="1"/>
    <col min="6663" max="6663" width="36.140625" style="110" customWidth="1"/>
    <col min="6664" max="6664" width="29.42578125" style="110" customWidth="1"/>
    <col min="6665" max="6665" width="16" style="110" customWidth="1"/>
    <col min="6666" max="6666" width="38.28515625" style="110" customWidth="1"/>
    <col min="6667" max="6667" width="12" style="110" customWidth="1"/>
    <col min="6668" max="6668" width="38.140625" style="110" customWidth="1"/>
    <col min="6669" max="6669" width="17.85546875" style="110" bestFit="1" customWidth="1"/>
    <col min="6670" max="6670" width="24.7109375" style="110" customWidth="1"/>
    <col min="6671" max="6671" width="36.42578125" style="110" customWidth="1"/>
    <col min="6672" max="6672" width="46.7109375" style="110" customWidth="1"/>
    <col min="6673" max="6673" width="43.7109375" style="110" customWidth="1"/>
    <col min="6674" max="6674" width="25.42578125" style="110" customWidth="1"/>
    <col min="6675" max="6675" width="12.42578125" style="110" customWidth="1"/>
    <col min="6676" max="6676" width="16.42578125" style="110" customWidth="1"/>
    <col min="6677" max="6677" width="13.42578125" style="110" customWidth="1"/>
    <col min="6678" max="6678" width="8.5703125" style="110" customWidth="1"/>
    <col min="6679" max="6682" width="11.42578125" style="110" customWidth="1"/>
    <col min="6683" max="6683" width="12.7109375" style="110" customWidth="1"/>
    <col min="6684" max="6684" width="11.85546875" style="110" customWidth="1"/>
    <col min="6685" max="6685" width="7.85546875" style="110" customWidth="1"/>
    <col min="6686" max="6686" width="7.5703125" style="110" customWidth="1"/>
    <col min="6687" max="6687" width="8.85546875" style="110" customWidth="1"/>
    <col min="6688" max="6688" width="8.140625" style="110" customWidth="1"/>
    <col min="6689" max="6689" width="7.85546875" style="110" customWidth="1"/>
    <col min="6690" max="6690" width="8.5703125" style="110" customWidth="1"/>
    <col min="6691" max="6691" width="8.28515625" style="110" customWidth="1"/>
    <col min="6692" max="6692" width="11.42578125" style="110" customWidth="1"/>
    <col min="6693" max="6693" width="18" style="110" customWidth="1"/>
    <col min="6694" max="6694" width="21.42578125" style="110" customWidth="1"/>
    <col min="6695" max="6695" width="27.85546875" style="110" customWidth="1"/>
    <col min="6696" max="6911" width="11.42578125" style="110"/>
    <col min="6912" max="6912" width="13.5703125" style="110" customWidth="1"/>
    <col min="6913" max="6913" width="19" style="110" customWidth="1"/>
    <col min="6914" max="6914" width="13.5703125" style="110" customWidth="1"/>
    <col min="6915" max="6915" width="19.7109375" style="110" customWidth="1"/>
    <col min="6916" max="6916" width="13.5703125" style="110" customWidth="1"/>
    <col min="6917" max="6918" width="14.7109375" style="110" customWidth="1"/>
    <col min="6919" max="6919" width="36.140625" style="110" customWidth="1"/>
    <col min="6920" max="6920" width="29.42578125" style="110" customWidth="1"/>
    <col min="6921" max="6921" width="16" style="110" customWidth="1"/>
    <col min="6922" max="6922" width="38.28515625" style="110" customWidth="1"/>
    <col min="6923" max="6923" width="12" style="110" customWidth="1"/>
    <col min="6924" max="6924" width="38.140625" style="110" customWidth="1"/>
    <col min="6925" max="6925" width="17.85546875" style="110" bestFit="1" customWidth="1"/>
    <col min="6926" max="6926" width="24.7109375" style="110" customWidth="1"/>
    <col min="6927" max="6927" width="36.42578125" style="110" customWidth="1"/>
    <col min="6928" max="6928" width="46.7109375" style="110" customWidth="1"/>
    <col min="6929" max="6929" width="43.7109375" style="110" customWidth="1"/>
    <col min="6930" max="6930" width="25.42578125" style="110" customWidth="1"/>
    <col min="6931" max="6931" width="12.42578125" style="110" customWidth="1"/>
    <col min="6932" max="6932" width="16.42578125" style="110" customWidth="1"/>
    <col min="6933" max="6933" width="13.42578125" style="110" customWidth="1"/>
    <col min="6934" max="6934" width="8.5703125" style="110" customWidth="1"/>
    <col min="6935" max="6938" width="11.42578125" style="110" customWidth="1"/>
    <col min="6939" max="6939" width="12.7109375" style="110" customWidth="1"/>
    <col min="6940" max="6940" width="11.85546875" style="110" customWidth="1"/>
    <col min="6941" max="6941" width="7.85546875" style="110" customWidth="1"/>
    <col min="6942" max="6942" width="7.5703125" style="110" customWidth="1"/>
    <col min="6943" max="6943" width="8.85546875" style="110" customWidth="1"/>
    <col min="6944" max="6944" width="8.140625" style="110" customWidth="1"/>
    <col min="6945" max="6945" width="7.85546875" style="110" customWidth="1"/>
    <col min="6946" max="6946" width="8.5703125" style="110" customWidth="1"/>
    <col min="6947" max="6947" width="8.28515625" style="110" customWidth="1"/>
    <col min="6948" max="6948" width="11.42578125" style="110" customWidth="1"/>
    <col min="6949" max="6949" width="18" style="110" customWidth="1"/>
    <col min="6950" max="6950" width="21.42578125" style="110" customWidth="1"/>
    <col min="6951" max="6951" width="27.85546875" style="110" customWidth="1"/>
    <col min="6952" max="7167" width="11.42578125" style="110"/>
    <col min="7168" max="7168" width="13.5703125" style="110" customWidth="1"/>
    <col min="7169" max="7169" width="19" style="110" customWidth="1"/>
    <col min="7170" max="7170" width="13.5703125" style="110" customWidth="1"/>
    <col min="7171" max="7171" width="19.7109375" style="110" customWidth="1"/>
    <col min="7172" max="7172" width="13.5703125" style="110" customWidth="1"/>
    <col min="7173" max="7174" width="14.7109375" style="110" customWidth="1"/>
    <col min="7175" max="7175" width="36.140625" style="110" customWidth="1"/>
    <col min="7176" max="7176" width="29.42578125" style="110" customWidth="1"/>
    <col min="7177" max="7177" width="16" style="110" customWidth="1"/>
    <col min="7178" max="7178" width="38.28515625" style="110" customWidth="1"/>
    <col min="7179" max="7179" width="12" style="110" customWidth="1"/>
    <col min="7180" max="7180" width="38.140625" style="110" customWidth="1"/>
    <col min="7181" max="7181" width="17.85546875" style="110" bestFit="1" customWidth="1"/>
    <col min="7182" max="7182" width="24.7109375" style="110" customWidth="1"/>
    <col min="7183" max="7183" width="36.42578125" style="110" customWidth="1"/>
    <col min="7184" max="7184" width="46.7109375" style="110" customWidth="1"/>
    <col min="7185" max="7185" width="43.7109375" style="110" customWidth="1"/>
    <col min="7186" max="7186" width="25.42578125" style="110" customWidth="1"/>
    <col min="7187" max="7187" width="12.42578125" style="110" customWidth="1"/>
    <col min="7188" max="7188" width="16.42578125" style="110" customWidth="1"/>
    <col min="7189" max="7189" width="13.42578125" style="110" customWidth="1"/>
    <col min="7190" max="7190" width="8.5703125" style="110" customWidth="1"/>
    <col min="7191" max="7194" width="11.42578125" style="110" customWidth="1"/>
    <col min="7195" max="7195" width="12.7109375" style="110" customWidth="1"/>
    <col min="7196" max="7196" width="11.85546875" style="110" customWidth="1"/>
    <col min="7197" max="7197" width="7.85546875" style="110" customWidth="1"/>
    <col min="7198" max="7198" width="7.5703125" style="110" customWidth="1"/>
    <col min="7199" max="7199" width="8.85546875" style="110" customWidth="1"/>
    <col min="7200" max="7200" width="8.140625" style="110" customWidth="1"/>
    <col min="7201" max="7201" width="7.85546875" style="110" customWidth="1"/>
    <col min="7202" max="7202" width="8.5703125" style="110" customWidth="1"/>
    <col min="7203" max="7203" width="8.28515625" style="110" customWidth="1"/>
    <col min="7204" max="7204" width="11.42578125" style="110" customWidth="1"/>
    <col min="7205" max="7205" width="18" style="110" customWidth="1"/>
    <col min="7206" max="7206" width="21.42578125" style="110" customWidth="1"/>
    <col min="7207" max="7207" width="27.85546875" style="110" customWidth="1"/>
    <col min="7208" max="7423" width="11.42578125" style="110"/>
    <col min="7424" max="7424" width="13.5703125" style="110" customWidth="1"/>
    <col min="7425" max="7425" width="19" style="110" customWidth="1"/>
    <col min="7426" max="7426" width="13.5703125" style="110" customWidth="1"/>
    <col min="7427" max="7427" width="19.7109375" style="110" customWidth="1"/>
    <col min="7428" max="7428" width="13.5703125" style="110" customWidth="1"/>
    <col min="7429" max="7430" width="14.7109375" style="110" customWidth="1"/>
    <col min="7431" max="7431" width="36.140625" style="110" customWidth="1"/>
    <col min="7432" max="7432" width="29.42578125" style="110" customWidth="1"/>
    <col min="7433" max="7433" width="16" style="110" customWidth="1"/>
    <col min="7434" max="7434" width="38.28515625" style="110" customWidth="1"/>
    <col min="7435" max="7435" width="12" style="110" customWidth="1"/>
    <col min="7436" max="7436" width="38.140625" style="110" customWidth="1"/>
    <col min="7437" max="7437" width="17.85546875" style="110" bestFit="1" customWidth="1"/>
    <col min="7438" max="7438" width="24.7109375" style="110" customWidth="1"/>
    <col min="7439" max="7439" width="36.42578125" style="110" customWidth="1"/>
    <col min="7440" max="7440" width="46.7109375" style="110" customWidth="1"/>
    <col min="7441" max="7441" width="43.7109375" style="110" customWidth="1"/>
    <col min="7442" max="7442" width="25.42578125" style="110" customWidth="1"/>
    <col min="7443" max="7443" width="12.42578125" style="110" customWidth="1"/>
    <col min="7444" max="7444" width="16.42578125" style="110" customWidth="1"/>
    <col min="7445" max="7445" width="13.42578125" style="110" customWidth="1"/>
    <col min="7446" max="7446" width="8.5703125" style="110" customWidth="1"/>
    <col min="7447" max="7450" width="11.42578125" style="110" customWidth="1"/>
    <col min="7451" max="7451" width="12.7109375" style="110" customWidth="1"/>
    <col min="7452" max="7452" width="11.85546875" style="110" customWidth="1"/>
    <col min="7453" max="7453" width="7.85546875" style="110" customWidth="1"/>
    <col min="7454" max="7454" width="7.5703125" style="110" customWidth="1"/>
    <col min="7455" max="7455" width="8.85546875" style="110" customWidth="1"/>
    <col min="7456" max="7456" width="8.140625" style="110" customWidth="1"/>
    <col min="7457" max="7457" width="7.85546875" style="110" customWidth="1"/>
    <col min="7458" max="7458" width="8.5703125" style="110" customWidth="1"/>
    <col min="7459" max="7459" width="8.28515625" style="110" customWidth="1"/>
    <col min="7460" max="7460" width="11.42578125" style="110" customWidth="1"/>
    <col min="7461" max="7461" width="18" style="110" customWidth="1"/>
    <col min="7462" max="7462" width="21.42578125" style="110" customWidth="1"/>
    <col min="7463" max="7463" width="27.85546875" style="110" customWidth="1"/>
    <col min="7464" max="7679" width="11.42578125" style="110"/>
    <col min="7680" max="7680" width="13.5703125" style="110" customWidth="1"/>
    <col min="7681" max="7681" width="19" style="110" customWidth="1"/>
    <col min="7682" max="7682" width="13.5703125" style="110" customWidth="1"/>
    <col min="7683" max="7683" width="19.7109375" style="110" customWidth="1"/>
    <col min="7684" max="7684" width="13.5703125" style="110" customWidth="1"/>
    <col min="7685" max="7686" width="14.7109375" style="110" customWidth="1"/>
    <col min="7687" max="7687" width="36.140625" style="110" customWidth="1"/>
    <col min="7688" max="7688" width="29.42578125" style="110" customWidth="1"/>
    <col min="7689" max="7689" width="16" style="110" customWidth="1"/>
    <col min="7690" max="7690" width="38.28515625" style="110" customWidth="1"/>
    <col min="7691" max="7691" width="12" style="110" customWidth="1"/>
    <col min="7692" max="7692" width="38.140625" style="110" customWidth="1"/>
    <col min="7693" max="7693" width="17.85546875" style="110" bestFit="1" customWidth="1"/>
    <col min="7694" max="7694" width="24.7109375" style="110" customWidth="1"/>
    <col min="7695" max="7695" width="36.42578125" style="110" customWidth="1"/>
    <col min="7696" max="7696" width="46.7109375" style="110" customWidth="1"/>
    <col min="7697" max="7697" width="43.7109375" style="110" customWidth="1"/>
    <col min="7698" max="7698" width="25.42578125" style="110" customWidth="1"/>
    <col min="7699" max="7699" width="12.42578125" style="110" customWidth="1"/>
    <col min="7700" max="7700" width="16.42578125" style="110" customWidth="1"/>
    <col min="7701" max="7701" width="13.42578125" style="110" customWidth="1"/>
    <col min="7702" max="7702" width="8.5703125" style="110" customWidth="1"/>
    <col min="7703" max="7706" width="11.42578125" style="110" customWidth="1"/>
    <col min="7707" max="7707" width="12.7109375" style="110" customWidth="1"/>
    <col min="7708" max="7708" width="11.85546875" style="110" customWidth="1"/>
    <col min="7709" max="7709" width="7.85546875" style="110" customWidth="1"/>
    <col min="7710" max="7710" width="7.5703125" style="110" customWidth="1"/>
    <col min="7711" max="7711" width="8.85546875" style="110" customWidth="1"/>
    <col min="7712" max="7712" width="8.140625" style="110" customWidth="1"/>
    <col min="7713" max="7713" width="7.85546875" style="110" customWidth="1"/>
    <col min="7714" max="7714" width="8.5703125" style="110" customWidth="1"/>
    <col min="7715" max="7715" width="8.28515625" style="110" customWidth="1"/>
    <col min="7716" max="7716" width="11.42578125" style="110" customWidth="1"/>
    <col min="7717" max="7717" width="18" style="110" customWidth="1"/>
    <col min="7718" max="7718" width="21.42578125" style="110" customWidth="1"/>
    <col min="7719" max="7719" width="27.85546875" style="110" customWidth="1"/>
    <col min="7720" max="7935" width="11.42578125" style="110"/>
    <col min="7936" max="7936" width="13.5703125" style="110" customWidth="1"/>
    <col min="7937" max="7937" width="19" style="110" customWidth="1"/>
    <col min="7938" max="7938" width="13.5703125" style="110" customWidth="1"/>
    <col min="7939" max="7939" width="19.7109375" style="110" customWidth="1"/>
    <col min="7940" max="7940" width="13.5703125" style="110" customWidth="1"/>
    <col min="7941" max="7942" width="14.7109375" style="110" customWidth="1"/>
    <col min="7943" max="7943" width="36.140625" style="110" customWidth="1"/>
    <col min="7944" max="7944" width="29.42578125" style="110" customWidth="1"/>
    <col min="7945" max="7945" width="16" style="110" customWidth="1"/>
    <col min="7946" max="7946" width="38.28515625" style="110" customWidth="1"/>
    <col min="7947" max="7947" width="12" style="110" customWidth="1"/>
    <col min="7948" max="7948" width="38.140625" style="110" customWidth="1"/>
    <col min="7949" max="7949" width="17.85546875" style="110" bestFit="1" customWidth="1"/>
    <col min="7950" max="7950" width="24.7109375" style="110" customWidth="1"/>
    <col min="7951" max="7951" width="36.42578125" style="110" customWidth="1"/>
    <col min="7952" max="7952" width="46.7109375" style="110" customWidth="1"/>
    <col min="7953" max="7953" width="43.7109375" style="110" customWidth="1"/>
    <col min="7954" max="7954" width="25.42578125" style="110" customWidth="1"/>
    <col min="7955" max="7955" width="12.42578125" style="110" customWidth="1"/>
    <col min="7956" max="7956" width="16.42578125" style="110" customWidth="1"/>
    <col min="7957" max="7957" width="13.42578125" style="110" customWidth="1"/>
    <col min="7958" max="7958" width="8.5703125" style="110" customWidth="1"/>
    <col min="7959" max="7962" width="11.42578125" style="110" customWidth="1"/>
    <col min="7963" max="7963" width="12.7109375" style="110" customWidth="1"/>
    <col min="7964" max="7964" width="11.85546875" style="110" customWidth="1"/>
    <col min="7965" max="7965" width="7.85546875" style="110" customWidth="1"/>
    <col min="7966" max="7966" width="7.5703125" style="110" customWidth="1"/>
    <col min="7967" max="7967" width="8.85546875" style="110" customWidth="1"/>
    <col min="7968" max="7968" width="8.140625" style="110" customWidth="1"/>
    <col min="7969" max="7969" width="7.85546875" style="110" customWidth="1"/>
    <col min="7970" max="7970" width="8.5703125" style="110" customWidth="1"/>
    <col min="7971" max="7971" width="8.28515625" style="110" customWidth="1"/>
    <col min="7972" max="7972" width="11.42578125" style="110" customWidth="1"/>
    <col min="7973" max="7973" width="18" style="110" customWidth="1"/>
    <col min="7974" max="7974" width="21.42578125" style="110" customWidth="1"/>
    <col min="7975" max="7975" width="27.85546875" style="110" customWidth="1"/>
    <col min="7976" max="8191" width="11.42578125" style="110"/>
    <col min="8192" max="8192" width="13.5703125" style="110" customWidth="1"/>
    <col min="8193" max="8193" width="19" style="110" customWidth="1"/>
    <col min="8194" max="8194" width="13.5703125" style="110" customWidth="1"/>
    <col min="8195" max="8195" width="19.7109375" style="110" customWidth="1"/>
    <col min="8196" max="8196" width="13.5703125" style="110" customWidth="1"/>
    <col min="8197" max="8198" width="14.7109375" style="110" customWidth="1"/>
    <col min="8199" max="8199" width="36.140625" style="110" customWidth="1"/>
    <col min="8200" max="8200" width="29.42578125" style="110" customWidth="1"/>
    <col min="8201" max="8201" width="16" style="110" customWidth="1"/>
    <col min="8202" max="8202" width="38.28515625" style="110" customWidth="1"/>
    <col min="8203" max="8203" width="12" style="110" customWidth="1"/>
    <col min="8204" max="8204" width="38.140625" style="110" customWidth="1"/>
    <col min="8205" max="8205" width="17.85546875" style="110" bestFit="1" customWidth="1"/>
    <col min="8206" max="8206" width="24.7109375" style="110" customWidth="1"/>
    <col min="8207" max="8207" width="36.42578125" style="110" customWidth="1"/>
    <col min="8208" max="8208" width="46.7109375" style="110" customWidth="1"/>
    <col min="8209" max="8209" width="43.7109375" style="110" customWidth="1"/>
    <col min="8210" max="8210" width="25.42578125" style="110" customWidth="1"/>
    <col min="8211" max="8211" width="12.42578125" style="110" customWidth="1"/>
    <col min="8212" max="8212" width="16.42578125" style="110" customWidth="1"/>
    <col min="8213" max="8213" width="13.42578125" style="110" customWidth="1"/>
    <col min="8214" max="8214" width="8.5703125" style="110" customWidth="1"/>
    <col min="8215" max="8218" width="11.42578125" style="110" customWidth="1"/>
    <col min="8219" max="8219" width="12.7109375" style="110" customWidth="1"/>
    <col min="8220" max="8220" width="11.85546875" style="110" customWidth="1"/>
    <col min="8221" max="8221" width="7.85546875" style="110" customWidth="1"/>
    <col min="8222" max="8222" width="7.5703125" style="110" customWidth="1"/>
    <col min="8223" max="8223" width="8.85546875" style="110" customWidth="1"/>
    <col min="8224" max="8224" width="8.140625" style="110" customWidth="1"/>
    <col min="8225" max="8225" width="7.85546875" style="110" customWidth="1"/>
    <col min="8226" max="8226" width="8.5703125" style="110" customWidth="1"/>
    <col min="8227" max="8227" width="8.28515625" style="110" customWidth="1"/>
    <col min="8228" max="8228" width="11.42578125" style="110" customWidth="1"/>
    <col min="8229" max="8229" width="18" style="110" customWidth="1"/>
    <col min="8230" max="8230" width="21.42578125" style="110" customWidth="1"/>
    <col min="8231" max="8231" width="27.85546875" style="110" customWidth="1"/>
    <col min="8232" max="8447" width="11.42578125" style="110"/>
    <col min="8448" max="8448" width="13.5703125" style="110" customWidth="1"/>
    <col min="8449" max="8449" width="19" style="110" customWidth="1"/>
    <col min="8450" max="8450" width="13.5703125" style="110" customWidth="1"/>
    <col min="8451" max="8451" width="19.7109375" style="110" customWidth="1"/>
    <col min="8452" max="8452" width="13.5703125" style="110" customWidth="1"/>
    <col min="8453" max="8454" width="14.7109375" style="110" customWidth="1"/>
    <col min="8455" max="8455" width="36.140625" style="110" customWidth="1"/>
    <col min="8456" max="8456" width="29.42578125" style="110" customWidth="1"/>
    <col min="8457" max="8457" width="16" style="110" customWidth="1"/>
    <col min="8458" max="8458" width="38.28515625" style="110" customWidth="1"/>
    <col min="8459" max="8459" width="12" style="110" customWidth="1"/>
    <col min="8460" max="8460" width="38.140625" style="110" customWidth="1"/>
    <col min="8461" max="8461" width="17.85546875" style="110" bestFit="1" customWidth="1"/>
    <col min="8462" max="8462" width="24.7109375" style="110" customWidth="1"/>
    <col min="8463" max="8463" width="36.42578125" style="110" customWidth="1"/>
    <col min="8464" max="8464" width="46.7109375" style="110" customWidth="1"/>
    <col min="8465" max="8465" width="43.7109375" style="110" customWidth="1"/>
    <col min="8466" max="8466" width="25.42578125" style="110" customWidth="1"/>
    <col min="8467" max="8467" width="12.42578125" style="110" customWidth="1"/>
    <col min="8468" max="8468" width="16.42578125" style="110" customWidth="1"/>
    <col min="8469" max="8469" width="13.42578125" style="110" customWidth="1"/>
    <col min="8470" max="8470" width="8.5703125" style="110" customWidth="1"/>
    <col min="8471" max="8474" width="11.42578125" style="110" customWidth="1"/>
    <col min="8475" max="8475" width="12.7109375" style="110" customWidth="1"/>
    <col min="8476" max="8476" width="11.85546875" style="110" customWidth="1"/>
    <col min="8477" max="8477" width="7.85546875" style="110" customWidth="1"/>
    <col min="8478" max="8478" width="7.5703125" style="110" customWidth="1"/>
    <col min="8479" max="8479" width="8.85546875" style="110" customWidth="1"/>
    <col min="8480" max="8480" width="8.140625" style="110" customWidth="1"/>
    <col min="8481" max="8481" width="7.85546875" style="110" customWidth="1"/>
    <col min="8482" max="8482" width="8.5703125" style="110" customWidth="1"/>
    <col min="8483" max="8483" width="8.28515625" style="110" customWidth="1"/>
    <col min="8484" max="8484" width="11.42578125" style="110" customWidth="1"/>
    <col min="8485" max="8485" width="18" style="110" customWidth="1"/>
    <col min="8486" max="8486" width="21.42578125" style="110" customWidth="1"/>
    <col min="8487" max="8487" width="27.85546875" style="110" customWidth="1"/>
    <col min="8488" max="8703" width="11.42578125" style="110"/>
    <col min="8704" max="8704" width="13.5703125" style="110" customWidth="1"/>
    <col min="8705" max="8705" width="19" style="110" customWidth="1"/>
    <col min="8706" max="8706" width="13.5703125" style="110" customWidth="1"/>
    <col min="8707" max="8707" width="19.7109375" style="110" customWidth="1"/>
    <col min="8708" max="8708" width="13.5703125" style="110" customWidth="1"/>
    <col min="8709" max="8710" width="14.7109375" style="110" customWidth="1"/>
    <col min="8711" max="8711" width="36.140625" style="110" customWidth="1"/>
    <col min="8712" max="8712" width="29.42578125" style="110" customWidth="1"/>
    <col min="8713" max="8713" width="16" style="110" customWidth="1"/>
    <col min="8714" max="8714" width="38.28515625" style="110" customWidth="1"/>
    <col min="8715" max="8715" width="12" style="110" customWidth="1"/>
    <col min="8716" max="8716" width="38.140625" style="110" customWidth="1"/>
    <col min="8717" max="8717" width="17.85546875" style="110" bestFit="1" customWidth="1"/>
    <col min="8718" max="8718" width="24.7109375" style="110" customWidth="1"/>
    <col min="8719" max="8719" width="36.42578125" style="110" customWidth="1"/>
    <col min="8720" max="8720" width="46.7109375" style="110" customWidth="1"/>
    <col min="8721" max="8721" width="43.7109375" style="110" customWidth="1"/>
    <col min="8722" max="8722" width="25.42578125" style="110" customWidth="1"/>
    <col min="8723" max="8723" width="12.42578125" style="110" customWidth="1"/>
    <col min="8724" max="8724" width="16.42578125" style="110" customWidth="1"/>
    <col min="8725" max="8725" width="13.42578125" style="110" customWidth="1"/>
    <col min="8726" max="8726" width="8.5703125" style="110" customWidth="1"/>
    <col min="8727" max="8730" width="11.42578125" style="110" customWidth="1"/>
    <col min="8731" max="8731" width="12.7109375" style="110" customWidth="1"/>
    <col min="8732" max="8732" width="11.85546875" style="110" customWidth="1"/>
    <col min="8733" max="8733" width="7.85546875" style="110" customWidth="1"/>
    <col min="8734" max="8734" width="7.5703125" style="110" customWidth="1"/>
    <col min="8735" max="8735" width="8.85546875" style="110" customWidth="1"/>
    <col min="8736" max="8736" width="8.140625" style="110" customWidth="1"/>
    <col min="8737" max="8737" width="7.85546875" style="110" customWidth="1"/>
    <col min="8738" max="8738" width="8.5703125" style="110" customWidth="1"/>
    <col min="8739" max="8739" width="8.28515625" style="110" customWidth="1"/>
    <col min="8740" max="8740" width="11.42578125" style="110" customWidth="1"/>
    <col min="8741" max="8741" width="18" style="110" customWidth="1"/>
    <col min="8742" max="8742" width="21.42578125" style="110" customWidth="1"/>
    <col min="8743" max="8743" width="27.85546875" style="110" customWidth="1"/>
    <col min="8744" max="8959" width="11.42578125" style="110"/>
    <col min="8960" max="8960" width="13.5703125" style="110" customWidth="1"/>
    <col min="8961" max="8961" width="19" style="110" customWidth="1"/>
    <col min="8962" max="8962" width="13.5703125" style="110" customWidth="1"/>
    <col min="8963" max="8963" width="19.7109375" style="110" customWidth="1"/>
    <col min="8964" max="8964" width="13.5703125" style="110" customWidth="1"/>
    <col min="8965" max="8966" width="14.7109375" style="110" customWidth="1"/>
    <col min="8967" max="8967" width="36.140625" style="110" customWidth="1"/>
    <col min="8968" max="8968" width="29.42578125" style="110" customWidth="1"/>
    <col min="8969" max="8969" width="16" style="110" customWidth="1"/>
    <col min="8970" max="8970" width="38.28515625" style="110" customWidth="1"/>
    <col min="8971" max="8971" width="12" style="110" customWidth="1"/>
    <col min="8972" max="8972" width="38.140625" style="110" customWidth="1"/>
    <col min="8973" max="8973" width="17.85546875" style="110" bestFit="1" customWidth="1"/>
    <col min="8974" max="8974" width="24.7109375" style="110" customWidth="1"/>
    <col min="8975" max="8975" width="36.42578125" style="110" customWidth="1"/>
    <col min="8976" max="8976" width="46.7109375" style="110" customWidth="1"/>
    <col min="8977" max="8977" width="43.7109375" style="110" customWidth="1"/>
    <col min="8978" max="8978" width="25.42578125" style="110" customWidth="1"/>
    <col min="8979" max="8979" width="12.42578125" style="110" customWidth="1"/>
    <col min="8980" max="8980" width="16.42578125" style="110" customWidth="1"/>
    <col min="8981" max="8981" width="13.42578125" style="110" customWidth="1"/>
    <col min="8982" max="8982" width="8.5703125" style="110" customWidth="1"/>
    <col min="8983" max="8986" width="11.42578125" style="110" customWidth="1"/>
    <col min="8987" max="8987" width="12.7109375" style="110" customWidth="1"/>
    <col min="8988" max="8988" width="11.85546875" style="110" customWidth="1"/>
    <col min="8989" max="8989" width="7.85546875" style="110" customWidth="1"/>
    <col min="8990" max="8990" width="7.5703125" style="110" customWidth="1"/>
    <col min="8991" max="8991" width="8.85546875" style="110" customWidth="1"/>
    <col min="8992" max="8992" width="8.140625" style="110" customWidth="1"/>
    <col min="8993" max="8993" width="7.85546875" style="110" customWidth="1"/>
    <col min="8994" max="8994" width="8.5703125" style="110" customWidth="1"/>
    <col min="8995" max="8995" width="8.28515625" style="110" customWidth="1"/>
    <col min="8996" max="8996" width="11.42578125" style="110" customWidth="1"/>
    <col min="8997" max="8997" width="18" style="110" customWidth="1"/>
    <col min="8998" max="8998" width="21.42578125" style="110" customWidth="1"/>
    <col min="8999" max="8999" width="27.85546875" style="110" customWidth="1"/>
    <col min="9000" max="9215" width="11.42578125" style="110"/>
    <col min="9216" max="9216" width="13.5703125" style="110" customWidth="1"/>
    <col min="9217" max="9217" width="19" style="110" customWidth="1"/>
    <col min="9218" max="9218" width="13.5703125" style="110" customWidth="1"/>
    <col min="9219" max="9219" width="19.7109375" style="110" customWidth="1"/>
    <col min="9220" max="9220" width="13.5703125" style="110" customWidth="1"/>
    <col min="9221" max="9222" width="14.7109375" style="110" customWidth="1"/>
    <col min="9223" max="9223" width="36.140625" style="110" customWidth="1"/>
    <col min="9224" max="9224" width="29.42578125" style="110" customWidth="1"/>
    <col min="9225" max="9225" width="16" style="110" customWidth="1"/>
    <col min="9226" max="9226" width="38.28515625" style="110" customWidth="1"/>
    <col min="9227" max="9227" width="12" style="110" customWidth="1"/>
    <col min="9228" max="9228" width="38.140625" style="110" customWidth="1"/>
    <col min="9229" max="9229" width="17.85546875" style="110" bestFit="1" customWidth="1"/>
    <col min="9230" max="9230" width="24.7109375" style="110" customWidth="1"/>
    <col min="9231" max="9231" width="36.42578125" style="110" customWidth="1"/>
    <col min="9232" max="9232" width="46.7109375" style="110" customWidth="1"/>
    <col min="9233" max="9233" width="43.7109375" style="110" customWidth="1"/>
    <col min="9234" max="9234" width="25.42578125" style="110" customWidth="1"/>
    <col min="9235" max="9235" width="12.42578125" style="110" customWidth="1"/>
    <col min="9236" max="9236" width="16.42578125" style="110" customWidth="1"/>
    <col min="9237" max="9237" width="13.42578125" style="110" customWidth="1"/>
    <col min="9238" max="9238" width="8.5703125" style="110" customWidth="1"/>
    <col min="9239" max="9242" width="11.42578125" style="110" customWidth="1"/>
    <col min="9243" max="9243" width="12.7109375" style="110" customWidth="1"/>
    <col min="9244" max="9244" width="11.85546875" style="110" customWidth="1"/>
    <col min="9245" max="9245" width="7.85546875" style="110" customWidth="1"/>
    <col min="9246" max="9246" width="7.5703125" style="110" customWidth="1"/>
    <col min="9247" max="9247" width="8.85546875" style="110" customWidth="1"/>
    <col min="9248" max="9248" width="8.140625" style="110" customWidth="1"/>
    <col min="9249" max="9249" width="7.85546875" style="110" customWidth="1"/>
    <col min="9250" max="9250" width="8.5703125" style="110" customWidth="1"/>
    <col min="9251" max="9251" width="8.28515625" style="110" customWidth="1"/>
    <col min="9252" max="9252" width="11.42578125" style="110" customWidth="1"/>
    <col min="9253" max="9253" width="18" style="110" customWidth="1"/>
    <col min="9254" max="9254" width="21.42578125" style="110" customWidth="1"/>
    <col min="9255" max="9255" width="27.85546875" style="110" customWidth="1"/>
    <col min="9256" max="9471" width="11.42578125" style="110"/>
    <col min="9472" max="9472" width="13.5703125" style="110" customWidth="1"/>
    <col min="9473" max="9473" width="19" style="110" customWidth="1"/>
    <col min="9474" max="9474" width="13.5703125" style="110" customWidth="1"/>
    <col min="9475" max="9475" width="19.7109375" style="110" customWidth="1"/>
    <col min="9476" max="9476" width="13.5703125" style="110" customWidth="1"/>
    <col min="9477" max="9478" width="14.7109375" style="110" customWidth="1"/>
    <col min="9479" max="9479" width="36.140625" style="110" customWidth="1"/>
    <col min="9480" max="9480" width="29.42578125" style="110" customWidth="1"/>
    <col min="9481" max="9481" width="16" style="110" customWidth="1"/>
    <col min="9482" max="9482" width="38.28515625" style="110" customWidth="1"/>
    <col min="9483" max="9483" width="12" style="110" customWidth="1"/>
    <col min="9484" max="9484" width="38.140625" style="110" customWidth="1"/>
    <col min="9485" max="9485" width="17.85546875" style="110" bestFit="1" customWidth="1"/>
    <col min="9486" max="9486" width="24.7109375" style="110" customWidth="1"/>
    <col min="9487" max="9487" width="36.42578125" style="110" customWidth="1"/>
    <col min="9488" max="9488" width="46.7109375" style="110" customWidth="1"/>
    <col min="9489" max="9489" width="43.7109375" style="110" customWidth="1"/>
    <col min="9490" max="9490" width="25.42578125" style="110" customWidth="1"/>
    <col min="9491" max="9491" width="12.42578125" style="110" customWidth="1"/>
    <col min="9492" max="9492" width="16.42578125" style="110" customWidth="1"/>
    <col min="9493" max="9493" width="13.42578125" style="110" customWidth="1"/>
    <col min="9494" max="9494" width="8.5703125" style="110" customWidth="1"/>
    <col min="9495" max="9498" width="11.42578125" style="110" customWidth="1"/>
    <col min="9499" max="9499" width="12.7109375" style="110" customWidth="1"/>
    <col min="9500" max="9500" width="11.85546875" style="110" customWidth="1"/>
    <col min="9501" max="9501" width="7.85546875" style="110" customWidth="1"/>
    <col min="9502" max="9502" width="7.5703125" style="110" customWidth="1"/>
    <col min="9503" max="9503" width="8.85546875" style="110" customWidth="1"/>
    <col min="9504" max="9504" width="8.140625" style="110" customWidth="1"/>
    <col min="9505" max="9505" width="7.85546875" style="110" customWidth="1"/>
    <col min="9506" max="9506" width="8.5703125" style="110" customWidth="1"/>
    <col min="9507" max="9507" width="8.28515625" style="110" customWidth="1"/>
    <col min="9508" max="9508" width="11.42578125" style="110" customWidth="1"/>
    <col min="9509" max="9509" width="18" style="110" customWidth="1"/>
    <col min="9510" max="9510" width="21.42578125" style="110" customWidth="1"/>
    <col min="9511" max="9511" width="27.85546875" style="110" customWidth="1"/>
    <col min="9512" max="9727" width="11.42578125" style="110"/>
    <col min="9728" max="9728" width="13.5703125" style="110" customWidth="1"/>
    <col min="9729" max="9729" width="19" style="110" customWidth="1"/>
    <col min="9730" max="9730" width="13.5703125" style="110" customWidth="1"/>
    <col min="9731" max="9731" width="19.7109375" style="110" customWidth="1"/>
    <col min="9732" max="9732" width="13.5703125" style="110" customWidth="1"/>
    <col min="9733" max="9734" width="14.7109375" style="110" customWidth="1"/>
    <col min="9735" max="9735" width="36.140625" style="110" customWidth="1"/>
    <col min="9736" max="9736" width="29.42578125" style="110" customWidth="1"/>
    <col min="9737" max="9737" width="16" style="110" customWidth="1"/>
    <col min="9738" max="9738" width="38.28515625" style="110" customWidth="1"/>
    <col min="9739" max="9739" width="12" style="110" customWidth="1"/>
    <col min="9740" max="9740" width="38.140625" style="110" customWidth="1"/>
    <col min="9741" max="9741" width="17.85546875" style="110" bestFit="1" customWidth="1"/>
    <col min="9742" max="9742" width="24.7109375" style="110" customWidth="1"/>
    <col min="9743" max="9743" width="36.42578125" style="110" customWidth="1"/>
    <col min="9744" max="9744" width="46.7109375" style="110" customWidth="1"/>
    <col min="9745" max="9745" width="43.7109375" style="110" customWidth="1"/>
    <col min="9746" max="9746" width="25.42578125" style="110" customWidth="1"/>
    <col min="9747" max="9747" width="12.42578125" style="110" customWidth="1"/>
    <col min="9748" max="9748" width="16.42578125" style="110" customWidth="1"/>
    <col min="9749" max="9749" width="13.42578125" style="110" customWidth="1"/>
    <col min="9750" max="9750" width="8.5703125" style="110" customWidth="1"/>
    <col min="9751" max="9754" width="11.42578125" style="110" customWidth="1"/>
    <col min="9755" max="9755" width="12.7109375" style="110" customWidth="1"/>
    <col min="9756" max="9756" width="11.85546875" style="110" customWidth="1"/>
    <col min="9757" max="9757" width="7.85546875" style="110" customWidth="1"/>
    <col min="9758" max="9758" width="7.5703125" style="110" customWidth="1"/>
    <col min="9759" max="9759" width="8.85546875" style="110" customWidth="1"/>
    <col min="9760" max="9760" width="8.140625" style="110" customWidth="1"/>
    <col min="9761" max="9761" width="7.85546875" style="110" customWidth="1"/>
    <col min="9762" max="9762" width="8.5703125" style="110" customWidth="1"/>
    <col min="9763" max="9763" width="8.28515625" style="110" customWidth="1"/>
    <col min="9764" max="9764" width="11.42578125" style="110" customWidth="1"/>
    <col min="9765" max="9765" width="18" style="110" customWidth="1"/>
    <col min="9766" max="9766" width="21.42578125" style="110" customWidth="1"/>
    <col min="9767" max="9767" width="27.85546875" style="110" customWidth="1"/>
    <col min="9768" max="9983" width="11.42578125" style="110"/>
    <col min="9984" max="9984" width="13.5703125" style="110" customWidth="1"/>
    <col min="9985" max="9985" width="19" style="110" customWidth="1"/>
    <col min="9986" max="9986" width="13.5703125" style="110" customWidth="1"/>
    <col min="9987" max="9987" width="19.7109375" style="110" customWidth="1"/>
    <col min="9988" max="9988" width="13.5703125" style="110" customWidth="1"/>
    <col min="9989" max="9990" width="14.7109375" style="110" customWidth="1"/>
    <col min="9991" max="9991" width="36.140625" style="110" customWidth="1"/>
    <col min="9992" max="9992" width="29.42578125" style="110" customWidth="1"/>
    <col min="9993" max="9993" width="16" style="110" customWidth="1"/>
    <col min="9994" max="9994" width="38.28515625" style="110" customWidth="1"/>
    <col min="9995" max="9995" width="12" style="110" customWidth="1"/>
    <col min="9996" max="9996" width="38.140625" style="110" customWidth="1"/>
    <col min="9997" max="9997" width="17.85546875" style="110" bestFit="1" customWidth="1"/>
    <col min="9998" max="9998" width="24.7109375" style="110" customWidth="1"/>
    <col min="9999" max="9999" width="36.42578125" style="110" customWidth="1"/>
    <col min="10000" max="10000" width="46.7109375" style="110" customWidth="1"/>
    <col min="10001" max="10001" width="43.7109375" style="110" customWidth="1"/>
    <col min="10002" max="10002" width="25.42578125" style="110" customWidth="1"/>
    <col min="10003" max="10003" width="12.42578125" style="110" customWidth="1"/>
    <col min="10004" max="10004" width="16.42578125" style="110" customWidth="1"/>
    <col min="10005" max="10005" width="13.42578125" style="110" customWidth="1"/>
    <col min="10006" max="10006" width="8.5703125" style="110" customWidth="1"/>
    <col min="10007" max="10010" width="11.42578125" style="110" customWidth="1"/>
    <col min="10011" max="10011" width="12.7109375" style="110" customWidth="1"/>
    <col min="10012" max="10012" width="11.85546875" style="110" customWidth="1"/>
    <col min="10013" max="10013" width="7.85546875" style="110" customWidth="1"/>
    <col min="10014" max="10014" width="7.5703125" style="110" customWidth="1"/>
    <col min="10015" max="10015" width="8.85546875" style="110" customWidth="1"/>
    <col min="10016" max="10016" width="8.140625" style="110" customWidth="1"/>
    <col min="10017" max="10017" width="7.85546875" style="110" customWidth="1"/>
    <col min="10018" max="10018" width="8.5703125" style="110" customWidth="1"/>
    <col min="10019" max="10019" width="8.28515625" style="110" customWidth="1"/>
    <col min="10020" max="10020" width="11.42578125" style="110" customWidth="1"/>
    <col min="10021" max="10021" width="18" style="110" customWidth="1"/>
    <col min="10022" max="10022" width="21.42578125" style="110" customWidth="1"/>
    <col min="10023" max="10023" width="27.85546875" style="110" customWidth="1"/>
    <col min="10024" max="10239" width="11.42578125" style="110"/>
    <col min="10240" max="10240" width="13.5703125" style="110" customWidth="1"/>
    <col min="10241" max="10241" width="19" style="110" customWidth="1"/>
    <col min="10242" max="10242" width="13.5703125" style="110" customWidth="1"/>
    <col min="10243" max="10243" width="19.7109375" style="110" customWidth="1"/>
    <col min="10244" max="10244" width="13.5703125" style="110" customWidth="1"/>
    <col min="10245" max="10246" width="14.7109375" style="110" customWidth="1"/>
    <col min="10247" max="10247" width="36.140625" style="110" customWidth="1"/>
    <col min="10248" max="10248" width="29.42578125" style="110" customWidth="1"/>
    <col min="10249" max="10249" width="16" style="110" customWidth="1"/>
    <col min="10250" max="10250" width="38.28515625" style="110" customWidth="1"/>
    <col min="10251" max="10251" width="12" style="110" customWidth="1"/>
    <col min="10252" max="10252" width="38.140625" style="110" customWidth="1"/>
    <col min="10253" max="10253" width="17.85546875" style="110" bestFit="1" customWidth="1"/>
    <col min="10254" max="10254" width="24.7109375" style="110" customWidth="1"/>
    <col min="10255" max="10255" width="36.42578125" style="110" customWidth="1"/>
    <col min="10256" max="10256" width="46.7109375" style="110" customWidth="1"/>
    <col min="10257" max="10257" width="43.7109375" style="110" customWidth="1"/>
    <col min="10258" max="10258" width="25.42578125" style="110" customWidth="1"/>
    <col min="10259" max="10259" width="12.42578125" style="110" customWidth="1"/>
    <col min="10260" max="10260" width="16.42578125" style="110" customWidth="1"/>
    <col min="10261" max="10261" width="13.42578125" style="110" customWidth="1"/>
    <col min="10262" max="10262" width="8.5703125" style="110" customWidth="1"/>
    <col min="10263" max="10266" width="11.42578125" style="110" customWidth="1"/>
    <col min="10267" max="10267" width="12.7109375" style="110" customWidth="1"/>
    <col min="10268" max="10268" width="11.85546875" style="110" customWidth="1"/>
    <col min="10269" max="10269" width="7.85546875" style="110" customWidth="1"/>
    <col min="10270" max="10270" width="7.5703125" style="110" customWidth="1"/>
    <col min="10271" max="10271" width="8.85546875" style="110" customWidth="1"/>
    <col min="10272" max="10272" width="8.140625" style="110" customWidth="1"/>
    <col min="10273" max="10273" width="7.85546875" style="110" customWidth="1"/>
    <col min="10274" max="10274" width="8.5703125" style="110" customWidth="1"/>
    <col min="10275" max="10275" width="8.28515625" style="110" customWidth="1"/>
    <col min="10276" max="10276" width="11.42578125" style="110" customWidth="1"/>
    <col min="10277" max="10277" width="18" style="110" customWidth="1"/>
    <col min="10278" max="10278" width="21.42578125" style="110" customWidth="1"/>
    <col min="10279" max="10279" width="27.85546875" style="110" customWidth="1"/>
    <col min="10280" max="10495" width="11.42578125" style="110"/>
    <col min="10496" max="10496" width="13.5703125" style="110" customWidth="1"/>
    <col min="10497" max="10497" width="19" style="110" customWidth="1"/>
    <col min="10498" max="10498" width="13.5703125" style="110" customWidth="1"/>
    <col min="10499" max="10499" width="19.7109375" style="110" customWidth="1"/>
    <col min="10500" max="10500" width="13.5703125" style="110" customWidth="1"/>
    <col min="10501" max="10502" width="14.7109375" style="110" customWidth="1"/>
    <col min="10503" max="10503" width="36.140625" style="110" customWidth="1"/>
    <col min="10504" max="10504" width="29.42578125" style="110" customWidth="1"/>
    <col min="10505" max="10505" width="16" style="110" customWidth="1"/>
    <col min="10506" max="10506" width="38.28515625" style="110" customWidth="1"/>
    <col min="10507" max="10507" width="12" style="110" customWidth="1"/>
    <col min="10508" max="10508" width="38.140625" style="110" customWidth="1"/>
    <col min="10509" max="10509" width="17.85546875" style="110" bestFit="1" customWidth="1"/>
    <col min="10510" max="10510" width="24.7109375" style="110" customWidth="1"/>
    <col min="10511" max="10511" width="36.42578125" style="110" customWidth="1"/>
    <col min="10512" max="10512" width="46.7109375" style="110" customWidth="1"/>
    <col min="10513" max="10513" width="43.7109375" style="110" customWidth="1"/>
    <col min="10514" max="10514" width="25.42578125" style="110" customWidth="1"/>
    <col min="10515" max="10515" width="12.42578125" style="110" customWidth="1"/>
    <col min="10516" max="10516" width="16.42578125" style="110" customWidth="1"/>
    <col min="10517" max="10517" width="13.42578125" style="110" customWidth="1"/>
    <col min="10518" max="10518" width="8.5703125" style="110" customWidth="1"/>
    <col min="10519" max="10522" width="11.42578125" style="110" customWidth="1"/>
    <col min="10523" max="10523" width="12.7109375" style="110" customWidth="1"/>
    <col min="10524" max="10524" width="11.85546875" style="110" customWidth="1"/>
    <col min="10525" max="10525" width="7.85546875" style="110" customWidth="1"/>
    <col min="10526" max="10526" width="7.5703125" style="110" customWidth="1"/>
    <col min="10527" max="10527" width="8.85546875" style="110" customWidth="1"/>
    <col min="10528" max="10528" width="8.140625" style="110" customWidth="1"/>
    <col min="10529" max="10529" width="7.85546875" style="110" customWidth="1"/>
    <col min="10530" max="10530" width="8.5703125" style="110" customWidth="1"/>
    <col min="10531" max="10531" width="8.28515625" style="110" customWidth="1"/>
    <col min="10532" max="10532" width="11.42578125" style="110" customWidth="1"/>
    <col min="10533" max="10533" width="18" style="110" customWidth="1"/>
    <col min="10534" max="10534" width="21.42578125" style="110" customWidth="1"/>
    <col min="10535" max="10535" width="27.85546875" style="110" customWidth="1"/>
    <col min="10536" max="10751" width="11.42578125" style="110"/>
    <col min="10752" max="10752" width="13.5703125" style="110" customWidth="1"/>
    <col min="10753" max="10753" width="19" style="110" customWidth="1"/>
    <col min="10754" max="10754" width="13.5703125" style="110" customWidth="1"/>
    <col min="10755" max="10755" width="19.7109375" style="110" customWidth="1"/>
    <col min="10756" max="10756" width="13.5703125" style="110" customWidth="1"/>
    <col min="10757" max="10758" width="14.7109375" style="110" customWidth="1"/>
    <col min="10759" max="10759" width="36.140625" style="110" customWidth="1"/>
    <col min="10760" max="10760" width="29.42578125" style="110" customWidth="1"/>
    <col min="10761" max="10761" width="16" style="110" customWidth="1"/>
    <col min="10762" max="10762" width="38.28515625" style="110" customWidth="1"/>
    <col min="10763" max="10763" width="12" style="110" customWidth="1"/>
    <col min="10764" max="10764" width="38.140625" style="110" customWidth="1"/>
    <col min="10765" max="10765" width="17.85546875" style="110" bestFit="1" customWidth="1"/>
    <col min="10766" max="10766" width="24.7109375" style="110" customWidth="1"/>
    <col min="10767" max="10767" width="36.42578125" style="110" customWidth="1"/>
    <col min="10768" max="10768" width="46.7109375" style="110" customWidth="1"/>
    <col min="10769" max="10769" width="43.7109375" style="110" customWidth="1"/>
    <col min="10770" max="10770" width="25.42578125" style="110" customWidth="1"/>
    <col min="10771" max="10771" width="12.42578125" style="110" customWidth="1"/>
    <col min="10772" max="10772" width="16.42578125" style="110" customWidth="1"/>
    <col min="10773" max="10773" width="13.42578125" style="110" customWidth="1"/>
    <col min="10774" max="10774" width="8.5703125" style="110" customWidth="1"/>
    <col min="10775" max="10778" width="11.42578125" style="110" customWidth="1"/>
    <col min="10779" max="10779" width="12.7109375" style="110" customWidth="1"/>
    <col min="10780" max="10780" width="11.85546875" style="110" customWidth="1"/>
    <col min="10781" max="10781" width="7.85546875" style="110" customWidth="1"/>
    <col min="10782" max="10782" width="7.5703125" style="110" customWidth="1"/>
    <col min="10783" max="10783" width="8.85546875" style="110" customWidth="1"/>
    <col min="10784" max="10784" width="8.140625" style="110" customWidth="1"/>
    <col min="10785" max="10785" width="7.85546875" style="110" customWidth="1"/>
    <col min="10786" max="10786" width="8.5703125" style="110" customWidth="1"/>
    <col min="10787" max="10787" width="8.28515625" style="110" customWidth="1"/>
    <col min="10788" max="10788" width="11.42578125" style="110" customWidth="1"/>
    <col min="10789" max="10789" width="18" style="110" customWidth="1"/>
    <col min="10790" max="10790" width="21.42578125" style="110" customWidth="1"/>
    <col min="10791" max="10791" width="27.85546875" style="110" customWidth="1"/>
    <col min="10792" max="11007" width="11.42578125" style="110"/>
    <col min="11008" max="11008" width="13.5703125" style="110" customWidth="1"/>
    <col min="11009" max="11009" width="19" style="110" customWidth="1"/>
    <col min="11010" max="11010" width="13.5703125" style="110" customWidth="1"/>
    <col min="11011" max="11011" width="19.7109375" style="110" customWidth="1"/>
    <col min="11012" max="11012" width="13.5703125" style="110" customWidth="1"/>
    <col min="11013" max="11014" width="14.7109375" style="110" customWidth="1"/>
    <col min="11015" max="11015" width="36.140625" style="110" customWidth="1"/>
    <col min="11016" max="11016" width="29.42578125" style="110" customWidth="1"/>
    <col min="11017" max="11017" width="16" style="110" customWidth="1"/>
    <col min="11018" max="11018" width="38.28515625" style="110" customWidth="1"/>
    <col min="11019" max="11019" width="12" style="110" customWidth="1"/>
    <col min="11020" max="11020" width="38.140625" style="110" customWidth="1"/>
    <col min="11021" max="11021" width="17.85546875" style="110" bestFit="1" customWidth="1"/>
    <col min="11022" max="11022" width="24.7109375" style="110" customWidth="1"/>
    <col min="11023" max="11023" width="36.42578125" style="110" customWidth="1"/>
    <col min="11024" max="11024" width="46.7109375" style="110" customWidth="1"/>
    <col min="11025" max="11025" width="43.7109375" style="110" customWidth="1"/>
    <col min="11026" max="11026" width="25.42578125" style="110" customWidth="1"/>
    <col min="11027" max="11027" width="12.42578125" style="110" customWidth="1"/>
    <col min="11028" max="11028" width="16.42578125" style="110" customWidth="1"/>
    <col min="11029" max="11029" width="13.42578125" style="110" customWidth="1"/>
    <col min="11030" max="11030" width="8.5703125" style="110" customWidth="1"/>
    <col min="11031" max="11034" width="11.42578125" style="110" customWidth="1"/>
    <col min="11035" max="11035" width="12.7109375" style="110" customWidth="1"/>
    <col min="11036" max="11036" width="11.85546875" style="110" customWidth="1"/>
    <col min="11037" max="11037" width="7.85546875" style="110" customWidth="1"/>
    <col min="11038" max="11038" width="7.5703125" style="110" customWidth="1"/>
    <col min="11039" max="11039" width="8.85546875" style="110" customWidth="1"/>
    <col min="11040" max="11040" width="8.140625" style="110" customWidth="1"/>
    <col min="11041" max="11041" width="7.85546875" style="110" customWidth="1"/>
    <col min="11042" max="11042" width="8.5703125" style="110" customWidth="1"/>
    <col min="11043" max="11043" width="8.28515625" style="110" customWidth="1"/>
    <col min="11044" max="11044" width="11.42578125" style="110" customWidth="1"/>
    <col min="11045" max="11045" width="18" style="110" customWidth="1"/>
    <col min="11046" max="11046" width="21.42578125" style="110" customWidth="1"/>
    <col min="11047" max="11047" width="27.85546875" style="110" customWidth="1"/>
    <col min="11048" max="11263" width="11.42578125" style="110"/>
    <col min="11264" max="11264" width="13.5703125" style="110" customWidth="1"/>
    <col min="11265" max="11265" width="19" style="110" customWidth="1"/>
    <col min="11266" max="11266" width="13.5703125" style="110" customWidth="1"/>
    <col min="11267" max="11267" width="19.7109375" style="110" customWidth="1"/>
    <col min="11268" max="11268" width="13.5703125" style="110" customWidth="1"/>
    <col min="11269" max="11270" width="14.7109375" style="110" customWidth="1"/>
    <col min="11271" max="11271" width="36.140625" style="110" customWidth="1"/>
    <col min="11272" max="11272" width="29.42578125" style="110" customWidth="1"/>
    <col min="11273" max="11273" width="16" style="110" customWidth="1"/>
    <col min="11274" max="11274" width="38.28515625" style="110" customWidth="1"/>
    <col min="11275" max="11275" width="12" style="110" customWidth="1"/>
    <col min="11276" max="11276" width="38.140625" style="110" customWidth="1"/>
    <col min="11277" max="11277" width="17.85546875" style="110" bestFit="1" customWidth="1"/>
    <col min="11278" max="11278" width="24.7109375" style="110" customWidth="1"/>
    <col min="11279" max="11279" width="36.42578125" style="110" customWidth="1"/>
    <col min="11280" max="11280" width="46.7109375" style="110" customWidth="1"/>
    <col min="11281" max="11281" width="43.7109375" style="110" customWidth="1"/>
    <col min="11282" max="11282" width="25.42578125" style="110" customWidth="1"/>
    <col min="11283" max="11283" width="12.42578125" style="110" customWidth="1"/>
    <col min="11284" max="11284" width="16.42578125" style="110" customWidth="1"/>
    <col min="11285" max="11285" width="13.42578125" style="110" customWidth="1"/>
    <col min="11286" max="11286" width="8.5703125" style="110" customWidth="1"/>
    <col min="11287" max="11290" width="11.42578125" style="110" customWidth="1"/>
    <col min="11291" max="11291" width="12.7109375" style="110" customWidth="1"/>
    <col min="11292" max="11292" width="11.85546875" style="110" customWidth="1"/>
    <col min="11293" max="11293" width="7.85546875" style="110" customWidth="1"/>
    <col min="11294" max="11294" width="7.5703125" style="110" customWidth="1"/>
    <col min="11295" max="11295" width="8.85546875" style="110" customWidth="1"/>
    <col min="11296" max="11296" width="8.140625" style="110" customWidth="1"/>
    <col min="11297" max="11297" width="7.85546875" style="110" customWidth="1"/>
    <col min="11298" max="11298" width="8.5703125" style="110" customWidth="1"/>
    <col min="11299" max="11299" width="8.28515625" style="110" customWidth="1"/>
    <col min="11300" max="11300" width="11.42578125" style="110" customWidth="1"/>
    <col min="11301" max="11301" width="18" style="110" customWidth="1"/>
    <col min="11302" max="11302" width="21.42578125" style="110" customWidth="1"/>
    <col min="11303" max="11303" width="27.85546875" style="110" customWidth="1"/>
    <col min="11304" max="11519" width="11.42578125" style="110"/>
    <col min="11520" max="11520" width="13.5703125" style="110" customWidth="1"/>
    <col min="11521" max="11521" width="19" style="110" customWidth="1"/>
    <col min="11522" max="11522" width="13.5703125" style="110" customWidth="1"/>
    <col min="11523" max="11523" width="19.7109375" style="110" customWidth="1"/>
    <col min="11524" max="11524" width="13.5703125" style="110" customWidth="1"/>
    <col min="11525" max="11526" width="14.7109375" style="110" customWidth="1"/>
    <col min="11527" max="11527" width="36.140625" style="110" customWidth="1"/>
    <col min="11528" max="11528" width="29.42578125" style="110" customWidth="1"/>
    <col min="11529" max="11529" width="16" style="110" customWidth="1"/>
    <col min="11530" max="11530" width="38.28515625" style="110" customWidth="1"/>
    <col min="11531" max="11531" width="12" style="110" customWidth="1"/>
    <col min="11532" max="11532" width="38.140625" style="110" customWidth="1"/>
    <col min="11533" max="11533" width="17.85546875" style="110" bestFit="1" customWidth="1"/>
    <col min="11534" max="11534" width="24.7109375" style="110" customWidth="1"/>
    <col min="11535" max="11535" width="36.42578125" style="110" customWidth="1"/>
    <col min="11536" max="11536" width="46.7109375" style="110" customWidth="1"/>
    <col min="11537" max="11537" width="43.7109375" style="110" customWidth="1"/>
    <col min="11538" max="11538" width="25.42578125" style="110" customWidth="1"/>
    <col min="11539" max="11539" width="12.42578125" style="110" customWidth="1"/>
    <col min="11540" max="11540" width="16.42578125" style="110" customWidth="1"/>
    <col min="11541" max="11541" width="13.42578125" style="110" customWidth="1"/>
    <col min="11542" max="11542" width="8.5703125" style="110" customWidth="1"/>
    <col min="11543" max="11546" width="11.42578125" style="110" customWidth="1"/>
    <col min="11547" max="11547" width="12.7109375" style="110" customWidth="1"/>
    <col min="11548" max="11548" width="11.85546875" style="110" customWidth="1"/>
    <col min="11549" max="11549" width="7.85546875" style="110" customWidth="1"/>
    <col min="11550" max="11550" width="7.5703125" style="110" customWidth="1"/>
    <col min="11551" max="11551" width="8.85546875" style="110" customWidth="1"/>
    <col min="11552" max="11552" width="8.140625" style="110" customWidth="1"/>
    <col min="11553" max="11553" width="7.85546875" style="110" customWidth="1"/>
    <col min="11554" max="11554" width="8.5703125" style="110" customWidth="1"/>
    <col min="11555" max="11555" width="8.28515625" style="110" customWidth="1"/>
    <col min="11556" max="11556" width="11.42578125" style="110" customWidth="1"/>
    <col min="11557" max="11557" width="18" style="110" customWidth="1"/>
    <col min="11558" max="11558" width="21.42578125" style="110" customWidth="1"/>
    <col min="11559" max="11559" width="27.85546875" style="110" customWidth="1"/>
    <col min="11560" max="11775" width="11.42578125" style="110"/>
    <col min="11776" max="11776" width="13.5703125" style="110" customWidth="1"/>
    <col min="11777" max="11777" width="19" style="110" customWidth="1"/>
    <col min="11778" max="11778" width="13.5703125" style="110" customWidth="1"/>
    <col min="11779" max="11779" width="19.7109375" style="110" customWidth="1"/>
    <col min="11780" max="11780" width="13.5703125" style="110" customWidth="1"/>
    <col min="11781" max="11782" width="14.7109375" style="110" customWidth="1"/>
    <col min="11783" max="11783" width="36.140625" style="110" customWidth="1"/>
    <col min="11784" max="11784" width="29.42578125" style="110" customWidth="1"/>
    <col min="11785" max="11785" width="16" style="110" customWidth="1"/>
    <col min="11786" max="11786" width="38.28515625" style="110" customWidth="1"/>
    <col min="11787" max="11787" width="12" style="110" customWidth="1"/>
    <col min="11788" max="11788" width="38.140625" style="110" customWidth="1"/>
    <col min="11789" max="11789" width="17.85546875" style="110" bestFit="1" customWidth="1"/>
    <col min="11790" max="11790" width="24.7109375" style="110" customWidth="1"/>
    <col min="11791" max="11791" width="36.42578125" style="110" customWidth="1"/>
    <col min="11792" max="11792" width="46.7109375" style="110" customWidth="1"/>
    <col min="11793" max="11793" width="43.7109375" style="110" customWidth="1"/>
    <col min="11794" max="11794" width="25.42578125" style="110" customWidth="1"/>
    <col min="11795" max="11795" width="12.42578125" style="110" customWidth="1"/>
    <col min="11796" max="11796" width="16.42578125" style="110" customWidth="1"/>
    <col min="11797" max="11797" width="13.42578125" style="110" customWidth="1"/>
    <col min="11798" max="11798" width="8.5703125" style="110" customWidth="1"/>
    <col min="11799" max="11802" width="11.42578125" style="110" customWidth="1"/>
    <col min="11803" max="11803" width="12.7109375" style="110" customWidth="1"/>
    <col min="11804" max="11804" width="11.85546875" style="110" customWidth="1"/>
    <col min="11805" max="11805" width="7.85546875" style="110" customWidth="1"/>
    <col min="11806" max="11806" width="7.5703125" style="110" customWidth="1"/>
    <col min="11807" max="11807" width="8.85546875" style="110" customWidth="1"/>
    <col min="11808" max="11808" width="8.140625" style="110" customWidth="1"/>
    <col min="11809" max="11809" width="7.85546875" style="110" customWidth="1"/>
    <col min="11810" max="11810" width="8.5703125" style="110" customWidth="1"/>
    <col min="11811" max="11811" width="8.28515625" style="110" customWidth="1"/>
    <col min="11812" max="11812" width="11.42578125" style="110" customWidth="1"/>
    <col min="11813" max="11813" width="18" style="110" customWidth="1"/>
    <col min="11814" max="11814" width="21.42578125" style="110" customWidth="1"/>
    <col min="11815" max="11815" width="27.85546875" style="110" customWidth="1"/>
    <col min="11816" max="12031" width="11.42578125" style="110"/>
    <col min="12032" max="12032" width="13.5703125" style="110" customWidth="1"/>
    <col min="12033" max="12033" width="19" style="110" customWidth="1"/>
    <col min="12034" max="12034" width="13.5703125" style="110" customWidth="1"/>
    <col min="12035" max="12035" width="19.7109375" style="110" customWidth="1"/>
    <col min="12036" max="12036" width="13.5703125" style="110" customWidth="1"/>
    <col min="12037" max="12038" width="14.7109375" style="110" customWidth="1"/>
    <col min="12039" max="12039" width="36.140625" style="110" customWidth="1"/>
    <col min="12040" max="12040" width="29.42578125" style="110" customWidth="1"/>
    <col min="12041" max="12041" width="16" style="110" customWidth="1"/>
    <col min="12042" max="12042" width="38.28515625" style="110" customWidth="1"/>
    <col min="12043" max="12043" width="12" style="110" customWidth="1"/>
    <col min="12044" max="12044" width="38.140625" style="110" customWidth="1"/>
    <col min="12045" max="12045" width="17.85546875" style="110" bestFit="1" customWidth="1"/>
    <col min="12046" max="12046" width="24.7109375" style="110" customWidth="1"/>
    <col min="12047" max="12047" width="36.42578125" style="110" customWidth="1"/>
    <col min="12048" max="12048" width="46.7109375" style="110" customWidth="1"/>
    <col min="12049" max="12049" width="43.7109375" style="110" customWidth="1"/>
    <col min="12050" max="12050" width="25.42578125" style="110" customWidth="1"/>
    <col min="12051" max="12051" width="12.42578125" style="110" customWidth="1"/>
    <col min="12052" max="12052" width="16.42578125" style="110" customWidth="1"/>
    <col min="12053" max="12053" width="13.42578125" style="110" customWidth="1"/>
    <col min="12054" max="12054" width="8.5703125" style="110" customWidth="1"/>
    <col min="12055" max="12058" width="11.42578125" style="110" customWidth="1"/>
    <col min="12059" max="12059" width="12.7109375" style="110" customWidth="1"/>
    <col min="12060" max="12060" width="11.85546875" style="110" customWidth="1"/>
    <col min="12061" max="12061" width="7.85546875" style="110" customWidth="1"/>
    <col min="12062" max="12062" width="7.5703125" style="110" customWidth="1"/>
    <col min="12063" max="12063" width="8.85546875" style="110" customWidth="1"/>
    <col min="12064" max="12064" width="8.140625" style="110" customWidth="1"/>
    <col min="12065" max="12065" width="7.85546875" style="110" customWidth="1"/>
    <col min="12066" max="12066" width="8.5703125" style="110" customWidth="1"/>
    <col min="12067" max="12067" width="8.28515625" style="110" customWidth="1"/>
    <col min="12068" max="12068" width="11.42578125" style="110" customWidth="1"/>
    <col min="12069" max="12069" width="18" style="110" customWidth="1"/>
    <col min="12070" max="12070" width="21.42578125" style="110" customWidth="1"/>
    <col min="12071" max="12071" width="27.85546875" style="110" customWidth="1"/>
    <col min="12072" max="12287" width="11.42578125" style="110"/>
    <col min="12288" max="12288" width="13.5703125" style="110" customWidth="1"/>
    <col min="12289" max="12289" width="19" style="110" customWidth="1"/>
    <col min="12290" max="12290" width="13.5703125" style="110" customWidth="1"/>
    <col min="12291" max="12291" width="19.7109375" style="110" customWidth="1"/>
    <col min="12292" max="12292" width="13.5703125" style="110" customWidth="1"/>
    <col min="12293" max="12294" width="14.7109375" style="110" customWidth="1"/>
    <col min="12295" max="12295" width="36.140625" style="110" customWidth="1"/>
    <col min="12296" max="12296" width="29.42578125" style="110" customWidth="1"/>
    <col min="12297" max="12297" width="16" style="110" customWidth="1"/>
    <col min="12298" max="12298" width="38.28515625" style="110" customWidth="1"/>
    <col min="12299" max="12299" width="12" style="110" customWidth="1"/>
    <col min="12300" max="12300" width="38.140625" style="110" customWidth="1"/>
    <col min="12301" max="12301" width="17.85546875" style="110" bestFit="1" customWidth="1"/>
    <col min="12302" max="12302" width="24.7109375" style="110" customWidth="1"/>
    <col min="12303" max="12303" width="36.42578125" style="110" customWidth="1"/>
    <col min="12304" max="12304" width="46.7109375" style="110" customWidth="1"/>
    <col min="12305" max="12305" width="43.7109375" style="110" customWidth="1"/>
    <col min="12306" max="12306" width="25.42578125" style="110" customWidth="1"/>
    <col min="12307" max="12307" width="12.42578125" style="110" customWidth="1"/>
    <col min="12308" max="12308" width="16.42578125" style="110" customWidth="1"/>
    <col min="12309" max="12309" width="13.42578125" style="110" customWidth="1"/>
    <col min="12310" max="12310" width="8.5703125" style="110" customWidth="1"/>
    <col min="12311" max="12314" width="11.42578125" style="110" customWidth="1"/>
    <col min="12315" max="12315" width="12.7109375" style="110" customWidth="1"/>
    <col min="12316" max="12316" width="11.85546875" style="110" customWidth="1"/>
    <col min="12317" max="12317" width="7.85546875" style="110" customWidth="1"/>
    <col min="12318" max="12318" width="7.5703125" style="110" customWidth="1"/>
    <col min="12319" max="12319" width="8.85546875" style="110" customWidth="1"/>
    <col min="12320" max="12320" width="8.140625" style="110" customWidth="1"/>
    <col min="12321" max="12321" width="7.85546875" style="110" customWidth="1"/>
    <col min="12322" max="12322" width="8.5703125" style="110" customWidth="1"/>
    <col min="12323" max="12323" width="8.28515625" style="110" customWidth="1"/>
    <col min="12324" max="12324" width="11.42578125" style="110" customWidth="1"/>
    <col min="12325" max="12325" width="18" style="110" customWidth="1"/>
    <col min="12326" max="12326" width="21.42578125" style="110" customWidth="1"/>
    <col min="12327" max="12327" width="27.85546875" style="110" customWidth="1"/>
    <col min="12328" max="12543" width="11.42578125" style="110"/>
    <col min="12544" max="12544" width="13.5703125" style="110" customWidth="1"/>
    <col min="12545" max="12545" width="19" style="110" customWidth="1"/>
    <col min="12546" max="12546" width="13.5703125" style="110" customWidth="1"/>
    <col min="12547" max="12547" width="19.7109375" style="110" customWidth="1"/>
    <col min="12548" max="12548" width="13.5703125" style="110" customWidth="1"/>
    <col min="12549" max="12550" width="14.7109375" style="110" customWidth="1"/>
    <col min="12551" max="12551" width="36.140625" style="110" customWidth="1"/>
    <col min="12552" max="12552" width="29.42578125" style="110" customWidth="1"/>
    <col min="12553" max="12553" width="16" style="110" customWidth="1"/>
    <col min="12554" max="12554" width="38.28515625" style="110" customWidth="1"/>
    <col min="12555" max="12555" width="12" style="110" customWidth="1"/>
    <col min="12556" max="12556" width="38.140625" style="110" customWidth="1"/>
    <col min="12557" max="12557" width="17.85546875" style="110" bestFit="1" customWidth="1"/>
    <col min="12558" max="12558" width="24.7109375" style="110" customWidth="1"/>
    <col min="12559" max="12559" width="36.42578125" style="110" customWidth="1"/>
    <col min="12560" max="12560" width="46.7109375" style="110" customWidth="1"/>
    <col min="12561" max="12561" width="43.7109375" style="110" customWidth="1"/>
    <col min="12562" max="12562" width="25.42578125" style="110" customWidth="1"/>
    <col min="12563" max="12563" width="12.42578125" style="110" customWidth="1"/>
    <col min="12564" max="12564" width="16.42578125" style="110" customWidth="1"/>
    <col min="12565" max="12565" width="13.42578125" style="110" customWidth="1"/>
    <col min="12566" max="12566" width="8.5703125" style="110" customWidth="1"/>
    <col min="12567" max="12570" width="11.42578125" style="110" customWidth="1"/>
    <col min="12571" max="12571" width="12.7109375" style="110" customWidth="1"/>
    <col min="12572" max="12572" width="11.85546875" style="110" customWidth="1"/>
    <col min="12573" max="12573" width="7.85546875" style="110" customWidth="1"/>
    <col min="12574" max="12574" width="7.5703125" style="110" customWidth="1"/>
    <col min="12575" max="12575" width="8.85546875" style="110" customWidth="1"/>
    <col min="12576" max="12576" width="8.140625" style="110" customWidth="1"/>
    <col min="12577" max="12577" width="7.85546875" style="110" customWidth="1"/>
    <col min="12578" max="12578" width="8.5703125" style="110" customWidth="1"/>
    <col min="12579" max="12579" width="8.28515625" style="110" customWidth="1"/>
    <col min="12580" max="12580" width="11.42578125" style="110" customWidth="1"/>
    <col min="12581" max="12581" width="18" style="110" customWidth="1"/>
    <col min="12582" max="12582" width="21.42578125" style="110" customWidth="1"/>
    <col min="12583" max="12583" width="27.85546875" style="110" customWidth="1"/>
    <col min="12584" max="12799" width="11.42578125" style="110"/>
    <col min="12800" max="12800" width="13.5703125" style="110" customWidth="1"/>
    <col min="12801" max="12801" width="19" style="110" customWidth="1"/>
    <col min="12802" max="12802" width="13.5703125" style="110" customWidth="1"/>
    <col min="12803" max="12803" width="19.7109375" style="110" customWidth="1"/>
    <col min="12804" max="12804" width="13.5703125" style="110" customWidth="1"/>
    <col min="12805" max="12806" width="14.7109375" style="110" customWidth="1"/>
    <col min="12807" max="12807" width="36.140625" style="110" customWidth="1"/>
    <col min="12808" max="12808" width="29.42578125" style="110" customWidth="1"/>
    <col min="12809" max="12809" width="16" style="110" customWidth="1"/>
    <col min="12810" max="12810" width="38.28515625" style="110" customWidth="1"/>
    <col min="12811" max="12811" width="12" style="110" customWidth="1"/>
    <col min="12812" max="12812" width="38.140625" style="110" customWidth="1"/>
    <col min="12813" max="12813" width="17.85546875" style="110" bestFit="1" customWidth="1"/>
    <col min="12814" max="12814" width="24.7109375" style="110" customWidth="1"/>
    <col min="12815" max="12815" width="36.42578125" style="110" customWidth="1"/>
    <col min="12816" max="12816" width="46.7109375" style="110" customWidth="1"/>
    <col min="12817" max="12817" width="43.7109375" style="110" customWidth="1"/>
    <col min="12818" max="12818" width="25.42578125" style="110" customWidth="1"/>
    <col min="12819" max="12819" width="12.42578125" style="110" customWidth="1"/>
    <col min="12820" max="12820" width="16.42578125" style="110" customWidth="1"/>
    <col min="12821" max="12821" width="13.42578125" style="110" customWidth="1"/>
    <col min="12822" max="12822" width="8.5703125" style="110" customWidth="1"/>
    <col min="12823" max="12826" width="11.42578125" style="110" customWidth="1"/>
    <col min="12827" max="12827" width="12.7109375" style="110" customWidth="1"/>
    <col min="12828" max="12828" width="11.85546875" style="110" customWidth="1"/>
    <col min="12829" max="12829" width="7.85546875" style="110" customWidth="1"/>
    <col min="12830" max="12830" width="7.5703125" style="110" customWidth="1"/>
    <col min="12831" max="12831" width="8.85546875" style="110" customWidth="1"/>
    <col min="12832" max="12832" width="8.140625" style="110" customWidth="1"/>
    <col min="12833" max="12833" width="7.85546875" style="110" customWidth="1"/>
    <col min="12834" max="12834" width="8.5703125" style="110" customWidth="1"/>
    <col min="12835" max="12835" width="8.28515625" style="110" customWidth="1"/>
    <col min="12836" max="12836" width="11.42578125" style="110" customWidth="1"/>
    <col min="12837" max="12837" width="18" style="110" customWidth="1"/>
    <col min="12838" max="12838" width="21.42578125" style="110" customWidth="1"/>
    <col min="12839" max="12839" width="27.85546875" style="110" customWidth="1"/>
    <col min="12840" max="13055" width="11.42578125" style="110"/>
    <col min="13056" max="13056" width="13.5703125" style="110" customWidth="1"/>
    <col min="13057" max="13057" width="19" style="110" customWidth="1"/>
    <col min="13058" max="13058" width="13.5703125" style="110" customWidth="1"/>
    <col min="13059" max="13059" width="19.7109375" style="110" customWidth="1"/>
    <col min="13060" max="13060" width="13.5703125" style="110" customWidth="1"/>
    <col min="13061" max="13062" width="14.7109375" style="110" customWidth="1"/>
    <col min="13063" max="13063" width="36.140625" style="110" customWidth="1"/>
    <col min="13064" max="13064" width="29.42578125" style="110" customWidth="1"/>
    <col min="13065" max="13065" width="16" style="110" customWidth="1"/>
    <col min="13066" max="13066" width="38.28515625" style="110" customWidth="1"/>
    <col min="13067" max="13067" width="12" style="110" customWidth="1"/>
    <col min="13068" max="13068" width="38.140625" style="110" customWidth="1"/>
    <col min="13069" max="13069" width="17.85546875" style="110" bestFit="1" customWidth="1"/>
    <col min="13070" max="13070" width="24.7109375" style="110" customWidth="1"/>
    <col min="13071" max="13071" width="36.42578125" style="110" customWidth="1"/>
    <col min="13072" max="13072" width="46.7109375" style="110" customWidth="1"/>
    <col min="13073" max="13073" width="43.7109375" style="110" customWidth="1"/>
    <col min="13074" max="13074" width="25.42578125" style="110" customWidth="1"/>
    <col min="13075" max="13075" width="12.42578125" style="110" customWidth="1"/>
    <col min="13076" max="13076" width="16.42578125" style="110" customWidth="1"/>
    <col min="13077" max="13077" width="13.42578125" style="110" customWidth="1"/>
    <col min="13078" max="13078" width="8.5703125" style="110" customWidth="1"/>
    <col min="13079" max="13082" width="11.42578125" style="110" customWidth="1"/>
    <col min="13083" max="13083" width="12.7109375" style="110" customWidth="1"/>
    <col min="13084" max="13084" width="11.85546875" style="110" customWidth="1"/>
    <col min="13085" max="13085" width="7.85546875" style="110" customWidth="1"/>
    <col min="13086" max="13086" width="7.5703125" style="110" customWidth="1"/>
    <col min="13087" max="13087" width="8.85546875" style="110" customWidth="1"/>
    <col min="13088" max="13088" width="8.140625" style="110" customWidth="1"/>
    <col min="13089" max="13089" width="7.85546875" style="110" customWidth="1"/>
    <col min="13090" max="13090" width="8.5703125" style="110" customWidth="1"/>
    <col min="13091" max="13091" width="8.28515625" style="110" customWidth="1"/>
    <col min="13092" max="13092" width="11.42578125" style="110" customWidth="1"/>
    <col min="13093" max="13093" width="18" style="110" customWidth="1"/>
    <col min="13094" max="13094" width="21.42578125" style="110" customWidth="1"/>
    <col min="13095" max="13095" width="27.85546875" style="110" customWidth="1"/>
    <col min="13096" max="13311" width="11.42578125" style="110"/>
    <col min="13312" max="13312" width="13.5703125" style="110" customWidth="1"/>
    <col min="13313" max="13313" width="19" style="110" customWidth="1"/>
    <col min="13314" max="13314" width="13.5703125" style="110" customWidth="1"/>
    <col min="13315" max="13315" width="19.7109375" style="110" customWidth="1"/>
    <col min="13316" max="13316" width="13.5703125" style="110" customWidth="1"/>
    <col min="13317" max="13318" width="14.7109375" style="110" customWidth="1"/>
    <col min="13319" max="13319" width="36.140625" style="110" customWidth="1"/>
    <col min="13320" max="13320" width="29.42578125" style="110" customWidth="1"/>
    <col min="13321" max="13321" width="16" style="110" customWidth="1"/>
    <col min="13322" max="13322" width="38.28515625" style="110" customWidth="1"/>
    <col min="13323" max="13323" width="12" style="110" customWidth="1"/>
    <col min="13324" max="13324" width="38.140625" style="110" customWidth="1"/>
    <col min="13325" max="13325" width="17.85546875" style="110" bestFit="1" customWidth="1"/>
    <col min="13326" max="13326" width="24.7109375" style="110" customWidth="1"/>
    <col min="13327" max="13327" width="36.42578125" style="110" customWidth="1"/>
    <col min="13328" max="13328" width="46.7109375" style="110" customWidth="1"/>
    <col min="13329" max="13329" width="43.7109375" style="110" customWidth="1"/>
    <col min="13330" max="13330" width="25.42578125" style="110" customWidth="1"/>
    <col min="13331" max="13331" width="12.42578125" style="110" customWidth="1"/>
    <col min="13332" max="13332" width="16.42578125" style="110" customWidth="1"/>
    <col min="13333" max="13333" width="13.42578125" style="110" customWidth="1"/>
    <col min="13334" max="13334" width="8.5703125" style="110" customWidth="1"/>
    <col min="13335" max="13338" width="11.42578125" style="110" customWidth="1"/>
    <col min="13339" max="13339" width="12.7109375" style="110" customWidth="1"/>
    <col min="13340" max="13340" width="11.85546875" style="110" customWidth="1"/>
    <col min="13341" max="13341" width="7.85546875" style="110" customWidth="1"/>
    <col min="13342" max="13342" width="7.5703125" style="110" customWidth="1"/>
    <col min="13343" max="13343" width="8.85546875" style="110" customWidth="1"/>
    <col min="13344" max="13344" width="8.140625" style="110" customWidth="1"/>
    <col min="13345" max="13345" width="7.85546875" style="110" customWidth="1"/>
    <col min="13346" max="13346" width="8.5703125" style="110" customWidth="1"/>
    <col min="13347" max="13347" width="8.28515625" style="110" customWidth="1"/>
    <col min="13348" max="13348" width="11.42578125" style="110" customWidth="1"/>
    <col min="13349" max="13349" width="18" style="110" customWidth="1"/>
    <col min="13350" max="13350" width="21.42578125" style="110" customWidth="1"/>
    <col min="13351" max="13351" width="27.85546875" style="110" customWidth="1"/>
    <col min="13352" max="13567" width="11.42578125" style="110"/>
    <col min="13568" max="13568" width="13.5703125" style="110" customWidth="1"/>
    <col min="13569" max="13569" width="19" style="110" customWidth="1"/>
    <col min="13570" max="13570" width="13.5703125" style="110" customWidth="1"/>
    <col min="13571" max="13571" width="19.7109375" style="110" customWidth="1"/>
    <col min="13572" max="13572" width="13.5703125" style="110" customWidth="1"/>
    <col min="13573" max="13574" width="14.7109375" style="110" customWidth="1"/>
    <col min="13575" max="13575" width="36.140625" style="110" customWidth="1"/>
    <col min="13576" max="13576" width="29.42578125" style="110" customWidth="1"/>
    <col min="13577" max="13577" width="16" style="110" customWidth="1"/>
    <col min="13578" max="13578" width="38.28515625" style="110" customWidth="1"/>
    <col min="13579" max="13579" width="12" style="110" customWidth="1"/>
    <col min="13580" max="13580" width="38.140625" style="110" customWidth="1"/>
    <col min="13581" max="13581" width="17.85546875" style="110" bestFit="1" customWidth="1"/>
    <col min="13582" max="13582" width="24.7109375" style="110" customWidth="1"/>
    <col min="13583" max="13583" width="36.42578125" style="110" customWidth="1"/>
    <col min="13584" max="13584" width="46.7109375" style="110" customWidth="1"/>
    <col min="13585" max="13585" width="43.7109375" style="110" customWidth="1"/>
    <col min="13586" max="13586" width="25.42578125" style="110" customWidth="1"/>
    <col min="13587" max="13587" width="12.42578125" style="110" customWidth="1"/>
    <col min="13588" max="13588" width="16.42578125" style="110" customWidth="1"/>
    <col min="13589" max="13589" width="13.42578125" style="110" customWidth="1"/>
    <col min="13590" max="13590" width="8.5703125" style="110" customWidth="1"/>
    <col min="13591" max="13594" width="11.42578125" style="110" customWidth="1"/>
    <col min="13595" max="13595" width="12.7109375" style="110" customWidth="1"/>
    <col min="13596" max="13596" width="11.85546875" style="110" customWidth="1"/>
    <col min="13597" max="13597" width="7.85546875" style="110" customWidth="1"/>
    <col min="13598" max="13598" width="7.5703125" style="110" customWidth="1"/>
    <col min="13599" max="13599" width="8.85546875" style="110" customWidth="1"/>
    <col min="13600" max="13600" width="8.140625" style="110" customWidth="1"/>
    <col min="13601" max="13601" width="7.85546875" style="110" customWidth="1"/>
    <col min="13602" max="13602" width="8.5703125" style="110" customWidth="1"/>
    <col min="13603" max="13603" width="8.28515625" style="110" customWidth="1"/>
    <col min="13604" max="13604" width="11.42578125" style="110" customWidth="1"/>
    <col min="13605" max="13605" width="18" style="110" customWidth="1"/>
    <col min="13606" max="13606" width="21.42578125" style="110" customWidth="1"/>
    <col min="13607" max="13607" width="27.85546875" style="110" customWidth="1"/>
    <col min="13608" max="13823" width="11.42578125" style="110"/>
    <col min="13824" max="13824" width="13.5703125" style="110" customWidth="1"/>
    <col min="13825" max="13825" width="19" style="110" customWidth="1"/>
    <col min="13826" max="13826" width="13.5703125" style="110" customWidth="1"/>
    <col min="13827" max="13827" width="19.7109375" style="110" customWidth="1"/>
    <col min="13828" max="13828" width="13.5703125" style="110" customWidth="1"/>
    <col min="13829" max="13830" width="14.7109375" style="110" customWidth="1"/>
    <col min="13831" max="13831" width="36.140625" style="110" customWidth="1"/>
    <col min="13832" max="13832" width="29.42578125" style="110" customWidth="1"/>
    <col min="13833" max="13833" width="16" style="110" customWidth="1"/>
    <col min="13834" max="13834" width="38.28515625" style="110" customWidth="1"/>
    <col min="13835" max="13835" width="12" style="110" customWidth="1"/>
    <col min="13836" max="13836" width="38.140625" style="110" customWidth="1"/>
    <col min="13837" max="13837" width="17.85546875" style="110" bestFit="1" customWidth="1"/>
    <col min="13838" max="13838" width="24.7109375" style="110" customWidth="1"/>
    <col min="13839" max="13839" width="36.42578125" style="110" customWidth="1"/>
    <col min="13840" max="13840" width="46.7109375" style="110" customWidth="1"/>
    <col min="13841" max="13841" width="43.7109375" style="110" customWidth="1"/>
    <col min="13842" max="13842" width="25.42578125" style="110" customWidth="1"/>
    <col min="13843" max="13843" width="12.42578125" style="110" customWidth="1"/>
    <col min="13844" max="13844" width="16.42578125" style="110" customWidth="1"/>
    <col min="13845" max="13845" width="13.42578125" style="110" customWidth="1"/>
    <col min="13846" max="13846" width="8.5703125" style="110" customWidth="1"/>
    <col min="13847" max="13850" width="11.42578125" style="110" customWidth="1"/>
    <col min="13851" max="13851" width="12.7109375" style="110" customWidth="1"/>
    <col min="13852" max="13852" width="11.85546875" style="110" customWidth="1"/>
    <col min="13853" max="13853" width="7.85546875" style="110" customWidth="1"/>
    <col min="13854" max="13854" width="7.5703125" style="110" customWidth="1"/>
    <col min="13855" max="13855" width="8.85546875" style="110" customWidth="1"/>
    <col min="13856" max="13856" width="8.140625" style="110" customWidth="1"/>
    <col min="13857" max="13857" width="7.85546875" style="110" customWidth="1"/>
    <col min="13858" max="13858" width="8.5703125" style="110" customWidth="1"/>
    <col min="13859" max="13859" width="8.28515625" style="110" customWidth="1"/>
    <col min="13860" max="13860" width="11.42578125" style="110" customWidth="1"/>
    <col min="13861" max="13861" width="18" style="110" customWidth="1"/>
    <col min="13862" max="13862" width="21.42578125" style="110" customWidth="1"/>
    <col min="13863" max="13863" width="27.85546875" style="110" customWidth="1"/>
    <col min="13864" max="14079" width="11.42578125" style="110"/>
    <col min="14080" max="14080" width="13.5703125" style="110" customWidth="1"/>
    <col min="14081" max="14081" width="19" style="110" customWidth="1"/>
    <col min="14082" max="14082" width="13.5703125" style="110" customWidth="1"/>
    <col min="14083" max="14083" width="19.7109375" style="110" customWidth="1"/>
    <col min="14084" max="14084" width="13.5703125" style="110" customWidth="1"/>
    <col min="14085" max="14086" width="14.7109375" style="110" customWidth="1"/>
    <col min="14087" max="14087" width="36.140625" style="110" customWidth="1"/>
    <col min="14088" max="14088" width="29.42578125" style="110" customWidth="1"/>
    <col min="14089" max="14089" width="16" style="110" customWidth="1"/>
    <col min="14090" max="14090" width="38.28515625" style="110" customWidth="1"/>
    <col min="14091" max="14091" width="12" style="110" customWidth="1"/>
    <col min="14092" max="14092" width="38.140625" style="110" customWidth="1"/>
    <col min="14093" max="14093" width="17.85546875" style="110" bestFit="1" customWidth="1"/>
    <col min="14094" max="14094" width="24.7109375" style="110" customWidth="1"/>
    <col min="14095" max="14095" width="36.42578125" style="110" customWidth="1"/>
    <col min="14096" max="14096" width="46.7109375" style="110" customWidth="1"/>
    <col min="14097" max="14097" width="43.7109375" style="110" customWidth="1"/>
    <col min="14098" max="14098" width="25.42578125" style="110" customWidth="1"/>
    <col min="14099" max="14099" width="12.42578125" style="110" customWidth="1"/>
    <col min="14100" max="14100" width="16.42578125" style="110" customWidth="1"/>
    <col min="14101" max="14101" width="13.42578125" style="110" customWidth="1"/>
    <col min="14102" max="14102" width="8.5703125" style="110" customWidth="1"/>
    <col min="14103" max="14106" width="11.42578125" style="110" customWidth="1"/>
    <col min="14107" max="14107" width="12.7109375" style="110" customWidth="1"/>
    <col min="14108" max="14108" width="11.85546875" style="110" customWidth="1"/>
    <col min="14109" max="14109" width="7.85546875" style="110" customWidth="1"/>
    <col min="14110" max="14110" width="7.5703125" style="110" customWidth="1"/>
    <col min="14111" max="14111" width="8.85546875" style="110" customWidth="1"/>
    <col min="14112" max="14112" width="8.140625" style="110" customWidth="1"/>
    <col min="14113" max="14113" width="7.85546875" style="110" customWidth="1"/>
    <col min="14114" max="14114" width="8.5703125" style="110" customWidth="1"/>
    <col min="14115" max="14115" width="8.28515625" style="110" customWidth="1"/>
    <col min="14116" max="14116" width="11.42578125" style="110" customWidth="1"/>
    <col min="14117" max="14117" width="18" style="110" customWidth="1"/>
    <col min="14118" max="14118" width="21.42578125" style="110" customWidth="1"/>
    <col min="14119" max="14119" width="27.85546875" style="110" customWidth="1"/>
    <col min="14120" max="14335" width="11.42578125" style="110"/>
    <col min="14336" max="14336" width="13.5703125" style="110" customWidth="1"/>
    <col min="14337" max="14337" width="19" style="110" customWidth="1"/>
    <col min="14338" max="14338" width="13.5703125" style="110" customWidth="1"/>
    <col min="14339" max="14339" width="19.7109375" style="110" customWidth="1"/>
    <col min="14340" max="14340" width="13.5703125" style="110" customWidth="1"/>
    <col min="14341" max="14342" width="14.7109375" style="110" customWidth="1"/>
    <col min="14343" max="14343" width="36.140625" style="110" customWidth="1"/>
    <col min="14344" max="14344" width="29.42578125" style="110" customWidth="1"/>
    <col min="14345" max="14345" width="16" style="110" customWidth="1"/>
    <col min="14346" max="14346" width="38.28515625" style="110" customWidth="1"/>
    <col min="14347" max="14347" width="12" style="110" customWidth="1"/>
    <col min="14348" max="14348" width="38.140625" style="110" customWidth="1"/>
    <col min="14349" max="14349" width="17.85546875" style="110" bestFit="1" customWidth="1"/>
    <col min="14350" max="14350" width="24.7109375" style="110" customWidth="1"/>
    <col min="14351" max="14351" width="36.42578125" style="110" customWidth="1"/>
    <col min="14352" max="14352" width="46.7109375" style="110" customWidth="1"/>
    <col min="14353" max="14353" width="43.7109375" style="110" customWidth="1"/>
    <col min="14354" max="14354" width="25.42578125" style="110" customWidth="1"/>
    <col min="14355" max="14355" width="12.42578125" style="110" customWidth="1"/>
    <col min="14356" max="14356" width="16.42578125" style="110" customWidth="1"/>
    <col min="14357" max="14357" width="13.42578125" style="110" customWidth="1"/>
    <col min="14358" max="14358" width="8.5703125" style="110" customWidth="1"/>
    <col min="14359" max="14362" width="11.42578125" style="110" customWidth="1"/>
    <col min="14363" max="14363" width="12.7109375" style="110" customWidth="1"/>
    <col min="14364" max="14364" width="11.85546875" style="110" customWidth="1"/>
    <col min="14365" max="14365" width="7.85546875" style="110" customWidth="1"/>
    <col min="14366" max="14366" width="7.5703125" style="110" customWidth="1"/>
    <col min="14367" max="14367" width="8.85546875" style="110" customWidth="1"/>
    <col min="14368" max="14368" width="8.140625" style="110" customWidth="1"/>
    <col min="14369" max="14369" width="7.85546875" style="110" customWidth="1"/>
    <col min="14370" max="14370" width="8.5703125" style="110" customWidth="1"/>
    <col min="14371" max="14371" width="8.28515625" style="110" customWidth="1"/>
    <col min="14372" max="14372" width="11.42578125" style="110" customWidth="1"/>
    <col min="14373" max="14373" width="18" style="110" customWidth="1"/>
    <col min="14374" max="14374" width="21.42578125" style="110" customWidth="1"/>
    <col min="14375" max="14375" width="27.85546875" style="110" customWidth="1"/>
    <col min="14376" max="14591" width="11.42578125" style="110"/>
    <col min="14592" max="14592" width="13.5703125" style="110" customWidth="1"/>
    <col min="14593" max="14593" width="19" style="110" customWidth="1"/>
    <col min="14594" max="14594" width="13.5703125" style="110" customWidth="1"/>
    <col min="14595" max="14595" width="19.7109375" style="110" customWidth="1"/>
    <col min="14596" max="14596" width="13.5703125" style="110" customWidth="1"/>
    <col min="14597" max="14598" width="14.7109375" style="110" customWidth="1"/>
    <col min="14599" max="14599" width="36.140625" style="110" customWidth="1"/>
    <col min="14600" max="14600" width="29.42578125" style="110" customWidth="1"/>
    <col min="14601" max="14601" width="16" style="110" customWidth="1"/>
    <col min="14602" max="14602" width="38.28515625" style="110" customWidth="1"/>
    <col min="14603" max="14603" width="12" style="110" customWidth="1"/>
    <col min="14604" max="14604" width="38.140625" style="110" customWidth="1"/>
    <col min="14605" max="14605" width="17.85546875" style="110" bestFit="1" customWidth="1"/>
    <col min="14606" max="14606" width="24.7109375" style="110" customWidth="1"/>
    <col min="14607" max="14607" width="36.42578125" style="110" customWidth="1"/>
    <col min="14608" max="14608" width="46.7109375" style="110" customWidth="1"/>
    <col min="14609" max="14609" width="43.7109375" style="110" customWidth="1"/>
    <col min="14610" max="14610" width="25.42578125" style="110" customWidth="1"/>
    <col min="14611" max="14611" width="12.42578125" style="110" customWidth="1"/>
    <col min="14612" max="14612" width="16.42578125" style="110" customWidth="1"/>
    <col min="14613" max="14613" width="13.42578125" style="110" customWidth="1"/>
    <col min="14614" max="14614" width="8.5703125" style="110" customWidth="1"/>
    <col min="14615" max="14618" width="11.42578125" style="110" customWidth="1"/>
    <col min="14619" max="14619" width="12.7109375" style="110" customWidth="1"/>
    <col min="14620" max="14620" width="11.85546875" style="110" customWidth="1"/>
    <col min="14621" max="14621" width="7.85546875" style="110" customWidth="1"/>
    <col min="14622" max="14622" width="7.5703125" style="110" customWidth="1"/>
    <col min="14623" max="14623" width="8.85546875" style="110" customWidth="1"/>
    <col min="14624" max="14624" width="8.140625" style="110" customWidth="1"/>
    <col min="14625" max="14625" width="7.85546875" style="110" customWidth="1"/>
    <col min="14626" max="14626" width="8.5703125" style="110" customWidth="1"/>
    <col min="14627" max="14627" width="8.28515625" style="110" customWidth="1"/>
    <col min="14628" max="14628" width="11.42578125" style="110" customWidth="1"/>
    <col min="14629" max="14629" width="18" style="110" customWidth="1"/>
    <col min="14630" max="14630" width="21.42578125" style="110" customWidth="1"/>
    <col min="14631" max="14631" width="27.85546875" style="110" customWidth="1"/>
    <col min="14632" max="14847" width="11.42578125" style="110"/>
    <col min="14848" max="14848" width="13.5703125" style="110" customWidth="1"/>
    <col min="14849" max="14849" width="19" style="110" customWidth="1"/>
    <col min="14850" max="14850" width="13.5703125" style="110" customWidth="1"/>
    <col min="14851" max="14851" width="19.7109375" style="110" customWidth="1"/>
    <col min="14852" max="14852" width="13.5703125" style="110" customWidth="1"/>
    <col min="14853" max="14854" width="14.7109375" style="110" customWidth="1"/>
    <col min="14855" max="14855" width="36.140625" style="110" customWidth="1"/>
    <col min="14856" max="14856" width="29.42578125" style="110" customWidth="1"/>
    <col min="14857" max="14857" width="16" style="110" customWidth="1"/>
    <col min="14858" max="14858" width="38.28515625" style="110" customWidth="1"/>
    <col min="14859" max="14859" width="12" style="110" customWidth="1"/>
    <col min="14860" max="14860" width="38.140625" style="110" customWidth="1"/>
    <col min="14861" max="14861" width="17.85546875" style="110" bestFit="1" customWidth="1"/>
    <col min="14862" max="14862" width="24.7109375" style="110" customWidth="1"/>
    <col min="14863" max="14863" width="36.42578125" style="110" customWidth="1"/>
    <col min="14864" max="14864" width="46.7109375" style="110" customWidth="1"/>
    <col min="14865" max="14865" width="43.7109375" style="110" customWidth="1"/>
    <col min="14866" max="14866" width="25.42578125" style="110" customWidth="1"/>
    <col min="14867" max="14867" width="12.42578125" style="110" customWidth="1"/>
    <col min="14868" max="14868" width="16.42578125" style="110" customWidth="1"/>
    <col min="14869" max="14869" width="13.42578125" style="110" customWidth="1"/>
    <col min="14870" max="14870" width="8.5703125" style="110" customWidth="1"/>
    <col min="14871" max="14874" width="11.42578125" style="110" customWidth="1"/>
    <col min="14875" max="14875" width="12.7109375" style="110" customWidth="1"/>
    <col min="14876" max="14876" width="11.85546875" style="110" customWidth="1"/>
    <col min="14877" max="14877" width="7.85546875" style="110" customWidth="1"/>
    <col min="14878" max="14878" width="7.5703125" style="110" customWidth="1"/>
    <col min="14879" max="14879" width="8.85546875" style="110" customWidth="1"/>
    <col min="14880" max="14880" width="8.140625" style="110" customWidth="1"/>
    <col min="14881" max="14881" width="7.85546875" style="110" customWidth="1"/>
    <col min="14882" max="14882" width="8.5703125" style="110" customWidth="1"/>
    <col min="14883" max="14883" width="8.28515625" style="110" customWidth="1"/>
    <col min="14884" max="14884" width="11.42578125" style="110" customWidth="1"/>
    <col min="14885" max="14885" width="18" style="110" customWidth="1"/>
    <col min="14886" max="14886" width="21.42578125" style="110" customWidth="1"/>
    <col min="14887" max="14887" width="27.85546875" style="110" customWidth="1"/>
    <col min="14888" max="15103" width="11.42578125" style="110"/>
    <col min="15104" max="15104" width="13.5703125" style="110" customWidth="1"/>
    <col min="15105" max="15105" width="19" style="110" customWidth="1"/>
    <col min="15106" max="15106" width="13.5703125" style="110" customWidth="1"/>
    <col min="15107" max="15107" width="19.7109375" style="110" customWidth="1"/>
    <col min="15108" max="15108" width="13.5703125" style="110" customWidth="1"/>
    <col min="15109" max="15110" width="14.7109375" style="110" customWidth="1"/>
    <col min="15111" max="15111" width="36.140625" style="110" customWidth="1"/>
    <col min="15112" max="15112" width="29.42578125" style="110" customWidth="1"/>
    <col min="15113" max="15113" width="16" style="110" customWidth="1"/>
    <col min="15114" max="15114" width="38.28515625" style="110" customWidth="1"/>
    <col min="15115" max="15115" width="12" style="110" customWidth="1"/>
    <col min="15116" max="15116" width="38.140625" style="110" customWidth="1"/>
    <col min="15117" max="15117" width="17.85546875" style="110" bestFit="1" customWidth="1"/>
    <col min="15118" max="15118" width="24.7109375" style="110" customWidth="1"/>
    <col min="15119" max="15119" width="36.42578125" style="110" customWidth="1"/>
    <col min="15120" max="15120" width="46.7109375" style="110" customWidth="1"/>
    <col min="15121" max="15121" width="43.7109375" style="110" customWidth="1"/>
    <col min="15122" max="15122" width="25.42578125" style="110" customWidth="1"/>
    <col min="15123" max="15123" width="12.42578125" style="110" customWidth="1"/>
    <col min="15124" max="15124" width="16.42578125" style="110" customWidth="1"/>
    <col min="15125" max="15125" width="13.42578125" style="110" customWidth="1"/>
    <col min="15126" max="15126" width="8.5703125" style="110" customWidth="1"/>
    <col min="15127" max="15130" width="11.42578125" style="110" customWidth="1"/>
    <col min="15131" max="15131" width="12.7109375" style="110" customWidth="1"/>
    <col min="15132" max="15132" width="11.85546875" style="110" customWidth="1"/>
    <col min="15133" max="15133" width="7.85546875" style="110" customWidth="1"/>
    <col min="15134" max="15134" width="7.5703125" style="110" customWidth="1"/>
    <col min="15135" max="15135" width="8.85546875" style="110" customWidth="1"/>
    <col min="15136" max="15136" width="8.140625" style="110" customWidth="1"/>
    <col min="15137" max="15137" width="7.85546875" style="110" customWidth="1"/>
    <col min="15138" max="15138" width="8.5703125" style="110" customWidth="1"/>
    <col min="15139" max="15139" width="8.28515625" style="110" customWidth="1"/>
    <col min="15140" max="15140" width="11.42578125" style="110" customWidth="1"/>
    <col min="15141" max="15141" width="18" style="110" customWidth="1"/>
    <col min="15142" max="15142" width="21.42578125" style="110" customWidth="1"/>
    <col min="15143" max="15143" width="27.85546875" style="110" customWidth="1"/>
    <col min="15144" max="15359" width="11.42578125" style="110"/>
    <col min="15360" max="15360" width="13.5703125" style="110" customWidth="1"/>
    <col min="15361" max="15361" width="19" style="110" customWidth="1"/>
    <col min="15362" max="15362" width="13.5703125" style="110" customWidth="1"/>
    <col min="15363" max="15363" width="19.7109375" style="110" customWidth="1"/>
    <col min="15364" max="15364" width="13.5703125" style="110" customWidth="1"/>
    <col min="15365" max="15366" width="14.7109375" style="110" customWidth="1"/>
    <col min="15367" max="15367" width="36.140625" style="110" customWidth="1"/>
    <col min="15368" max="15368" width="29.42578125" style="110" customWidth="1"/>
    <col min="15369" max="15369" width="16" style="110" customWidth="1"/>
    <col min="15370" max="15370" width="38.28515625" style="110" customWidth="1"/>
    <col min="15371" max="15371" width="12" style="110" customWidth="1"/>
    <col min="15372" max="15372" width="38.140625" style="110" customWidth="1"/>
    <col min="15373" max="15373" width="17.85546875" style="110" bestFit="1" customWidth="1"/>
    <col min="15374" max="15374" width="24.7109375" style="110" customWidth="1"/>
    <col min="15375" max="15375" width="36.42578125" style="110" customWidth="1"/>
    <col min="15376" max="15376" width="46.7109375" style="110" customWidth="1"/>
    <col min="15377" max="15377" width="43.7109375" style="110" customWidth="1"/>
    <col min="15378" max="15378" width="25.42578125" style="110" customWidth="1"/>
    <col min="15379" max="15379" width="12.42578125" style="110" customWidth="1"/>
    <col min="15380" max="15380" width="16.42578125" style="110" customWidth="1"/>
    <col min="15381" max="15381" width="13.42578125" style="110" customWidth="1"/>
    <col min="15382" max="15382" width="8.5703125" style="110" customWidth="1"/>
    <col min="15383" max="15386" width="11.42578125" style="110" customWidth="1"/>
    <col min="15387" max="15387" width="12.7109375" style="110" customWidth="1"/>
    <col min="15388" max="15388" width="11.85546875" style="110" customWidth="1"/>
    <col min="15389" max="15389" width="7.85546875" style="110" customWidth="1"/>
    <col min="15390" max="15390" width="7.5703125" style="110" customWidth="1"/>
    <col min="15391" max="15391" width="8.85546875" style="110" customWidth="1"/>
    <col min="15392" max="15392" width="8.140625" style="110" customWidth="1"/>
    <col min="15393" max="15393" width="7.85546875" style="110" customWidth="1"/>
    <col min="15394" max="15394" width="8.5703125" style="110" customWidth="1"/>
    <col min="15395" max="15395" width="8.28515625" style="110" customWidth="1"/>
    <col min="15396" max="15396" width="11.42578125" style="110" customWidth="1"/>
    <col min="15397" max="15397" width="18" style="110" customWidth="1"/>
    <col min="15398" max="15398" width="21.42578125" style="110" customWidth="1"/>
    <col min="15399" max="15399" width="27.85546875" style="110" customWidth="1"/>
    <col min="15400" max="15615" width="11.42578125" style="110"/>
    <col min="15616" max="15616" width="13.5703125" style="110" customWidth="1"/>
    <col min="15617" max="15617" width="19" style="110" customWidth="1"/>
    <col min="15618" max="15618" width="13.5703125" style="110" customWidth="1"/>
    <col min="15619" max="15619" width="19.7109375" style="110" customWidth="1"/>
    <col min="15620" max="15620" width="13.5703125" style="110" customWidth="1"/>
    <col min="15621" max="15622" width="14.7109375" style="110" customWidth="1"/>
    <col min="15623" max="15623" width="36.140625" style="110" customWidth="1"/>
    <col min="15624" max="15624" width="29.42578125" style="110" customWidth="1"/>
    <col min="15625" max="15625" width="16" style="110" customWidth="1"/>
    <col min="15626" max="15626" width="38.28515625" style="110" customWidth="1"/>
    <col min="15627" max="15627" width="12" style="110" customWidth="1"/>
    <col min="15628" max="15628" width="38.140625" style="110" customWidth="1"/>
    <col min="15629" max="15629" width="17.85546875" style="110" bestFit="1" customWidth="1"/>
    <col min="15630" max="15630" width="24.7109375" style="110" customWidth="1"/>
    <col min="15631" max="15631" width="36.42578125" style="110" customWidth="1"/>
    <col min="15632" max="15632" width="46.7109375" style="110" customWidth="1"/>
    <col min="15633" max="15633" width="43.7109375" style="110" customWidth="1"/>
    <col min="15634" max="15634" width="25.42578125" style="110" customWidth="1"/>
    <col min="15635" max="15635" width="12.42578125" style="110" customWidth="1"/>
    <col min="15636" max="15636" width="16.42578125" style="110" customWidth="1"/>
    <col min="15637" max="15637" width="13.42578125" style="110" customWidth="1"/>
    <col min="15638" max="15638" width="8.5703125" style="110" customWidth="1"/>
    <col min="15639" max="15642" width="11.42578125" style="110" customWidth="1"/>
    <col min="15643" max="15643" width="12.7109375" style="110" customWidth="1"/>
    <col min="15644" max="15644" width="11.85546875" style="110" customWidth="1"/>
    <col min="15645" max="15645" width="7.85546875" style="110" customWidth="1"/>
    <col min="15646" max="15646" width="7.5703125" style="110" customWidth="1"/>
    <col min="15647" max="15647" width="8.85546875" style="110" customWidth="1"/>
    <col min="15648" max="15648" width="8.140625" style="110" customWidth="1"/>
    <col min="15649" max="15649" width="7.85546875" style="110" customWidth="1"/>
    <col min="15650" max="15650" width="8.5703125" style="110" customWidth="1"/>
    <col min="15651" max="15651" width="8.28515625" style="110" customWidth="1"/>
    <col min="15652" max="15652" width="11.42578125" style="110" customWidth="1"/>
    <col min="15653" max="15653" width="18" style="110" customWidth="1"/>
    <col min="15654" max="15654" width="21.42578125" style="110" customWidth="1"/>
    <col min="15655" max="15655" width="27.85546875" style="110" customWidth="1"/>
    <col min="15656" max="15871" width="11.42578125" style="110"/>
    <col min="15872" max="15872" width="13.5703125" style="110" customWidth="1"/>
    <col min="15873" max="15873" width="19" style="110" customWidth="1"/>
    <col min="15874" max="15874" width="13.5703125" style="110" customWidth="1"/>
    <col min="15875" max="15875" width="19.7109375" style="110" customWidth="1"/>
    <col min="15876" max="15876" width="13.5703125" style="110" customWidth="1"/>
    <col min="15877" max="15878" width="14.7109375" style="110" customWidth="1"/>
    <col min="15879" max="15879" width="36.140625" style="110" customWidth="1"/>
    <col min="15880" max="15880" width="29.42578125" style="110" customWidth="1"/>
    <col min="15881" max="15881" width="16" style="110" customWidth="1"/>
    <col min="15882" max="15882" width="38.28515625" style="110" customWidth="1"/>
    <col min="15883" max="15883" width="12" style="110" customWidth="1"/>
    <col min="15884" max="15884" width="38.140625" style="110" customWidth="1"/>
    <col min="15885" max="15885" width="17.85546875" style="110" bestFit="1" customWidth="1"/>
    <col min="15886" max="15886" width="24.7109375" style="110" customWidth="1"/>
    <col min="15887" max="15887" width="36.42578125" style="110" customWidth="1"/>
    <col min="15888" max="15888" width="46.7109375" style="110" customWidth="1"/>
    <col min="15889" max="15889" width="43.7109375" style="110" customWidth="1"/>
    <col min="15890" max="15890" width="25.42578125" style="110" customWidth="1"/>
    <col min="15891" max="15891" width="12.42578125" style="110" customWidth="1"/>
    <col min="15892" max="15892" width="16.42578125" style="110" customWidth="1"/>
    <col min="15893" max="15893" width="13.42578125" style="110" customWidth="1"/>
    <col min="15894" max="15894" width="8.5703125" style="110" customWidth="1"/>
    <col min="15895" max="15898" width="11.42578125" style="110" customWidth="1"/>
    <col min="15899" max="15899" width="12.7109375" style="110" customWidth="1"/>
    <col min="15900" max="15900" width="11.85546875" style="110" customWidth="1"/>
    <col min="15901" max="15901" width="7.85546875" style="110" customWidth="1"/>
    <col min="15902" max="15902" width="7.5703125" style="110" customWidth="1"/>
    <col min="15903" max="15903" width="8.85546875" style="110" customWidth="1"/>
    <col min="15904" max="15904" width="8.140625" style="110" customWidth="1"/>
    <col min="15905" max="15905" width="7.85546875" style="110" customWidth="1"/>
    <col min="15906" max="15906" width="8.5703125" style="110" customWidth="1"/>
    <col min="15907" max="15907" width="8.28515625" style="110" customWidth="1"/>
    <col min="15908" max="15908" width="11.42578125" style="110" customWidth="1"/>
    <col min="15909" max="15909" width="18" style="110" customWidth="1"/>
    <col min="15910" max="15910" width="21.42578125" style="110" customWidth="1"/>
    <col min="15911" max="15911" width="27.85546875" style="110" customWidth="1"/>
    <col min="15912" max="16127" width="11.42578125" style="110"/>
    <col min="16128" max="16128" width="13.5703125" style="110" customWidth="1"/>
    <col min="16129" max="16129" width="19" style="110" customWidth="1"/>
    <col min="16130" max="16130" width="13.5703125" style="110" customWidth="1"/>
    <col min="16131" max="16131" width="19.7109375" style="110" customWidth="1"/>
    <col min="16132" max="16132" width="13.5703125" style="110" customWidth="1"/>
    <col min="16133" max="16134" width="14.7109375" style="110" customWidth="1"/>
    <col min="16135" max="16135" width="36.140625" style="110" customWidth="1"/>
    <col min="16136" max="16136" width="29.42578125" style="110" customWidth="1"/>
    <col min="16137" max="16137" width="16" style="110" customWidth="1"/>
    <col min="16138" max="16138" width="38.28515625" style="110" customWidth="1"/>
    <col min="16139" max="16139" width="12" style="110" customWidth="1"/>
    <col min="16140" max="16140" width="38.140625" style="110" customWidth="1"/>
    <col min="16141" max="16141" width="17.85546875" style="110" bestFit="1" customWidth="1"/>
    <col min="16142" max="16142" width="24.7109375" style="110" customWidth="1"/>
    <col min="16143" max="16143" width="36.42578125" style="110" customWidth="1"/>
    <col min="16144" max="16144" width="46.7109375" style="110" customWidth="1"/>
    <col min="16145" max="16145" width="43.7109375" style="110" customWidth="1"/>
    <col min="16146" max="16146" width="25.42578125" style="110" customWidth="1"/>
    <col min="16147" max="16147" width="12.42578125" style="110" customWidth="1"/>
    <col min="16148" max="16148" width="16.42578125" style="110" customWidth="1"/>
    <col min="16149" max="16149" width="13.42578125" style="110" customWidth="1"/>
    <col min="16150" max="16150" width="8.5703125" style="110" customWidth="1"/>
    <col min="16151" max="16154" width="11.42578125" style="110" customWidth="1"/>
    <col min="16155" max="16155" width="12.7109375" style="110" customWidth="1"/>
    <col min="16156" max="16156" width="11.85546875" style="110" customWidth="1"/>
    <col min="16157" max="16157" width="7.85546875" style="110" customWidth="1"/>
    <col min="16158" max="16158" width="7.5703125" style="110" customWidth="1"/>
    <col min="16159" max="16159" width="8.85546875" style="110" customWidth="1"/>
    <col min="16160" max="16160" width="8.140625" style="110" customWidth="1"/>
    <col min="16161" max="16161" width="7.85546875" style="110" customWidth="1"/>
    <col min="16162" max="16162" width="8.5703125" style="110" customWidth="1"/>
    <col min="16163" max="16163" width="8.28515625" style="110" customWidth="1"/>
    <col min="16164" max="16164" width="11.42578125" style="110" customWidth="1"/>
    <col min="16165" max="16165" width="18" style="110" customWidth="1"/>
    <col min="16166" max="16166" width="21.42578125" style="110" customWidth="1"/>
    <col min="16167" max="16167" width="27.85546875" style="110" customWidth="1"/>
    <col min="16168" max="16384" width="11.42578125" style="110"/>
  </cols>
  <sheetData>
    <row r="1" spans="1:255" s="409" customFormat="1" ht="9.75" customHeight="1" x14ac:dyDescent="0.25">
      <c r="A1" s="3221" t="s">
        <v>2508</v>
      </c>
      <c r="B1" s="3221"/>
      <c r="C1" s="3221"/>
      <c r="D1" s="3221"/>
      <c r="E1" s="3221"/>
      <c r="F1" s="3221"/>
      <c r="G1" s="3221"/>
      <c r="H1" s="3221"/>
      <c r="I1" s="3221"/>
      <c r="J1" s="3221"/>
      <c r="K1" s="3221"/>
      <c r="L1" s="3221"/>
      <c r="M1" s="3221"/>
      <c r="N1" s="3221"/>
      <c r="O1" s="3221"/>
      <c r="P1" s="3221"/>
      <c r="Q1" s="3221"/>
      <c r="R1" s="3221"/>
      <c r="S1" s="3221"/>
      <c r="T1" s="3221"/>
      <c r="U1" s="3221"/>
      <c r="V1" s="3221"/>
      <c r="W1" s="3221"/>
      <c r="X1" s="3221"/>
      <c r="Y1" s="3221"/>
      <c r="Z1" s="3221"/>
      <c r="AA1" s="3221"/>
      <c r="AB1" s="3221"/>
      <c r="AC1" s="3221"/>
      <c r="AD1" s="3221"/>
      <c r="AE1" s="3221"/>
      <c r="AF1" s="3221"/>
      <c r="AG1" s="3221"/>
      <c r="AH1" s="3221"/>
      <c r="AI1" s="3221"/>
      <c r="AJ1" s="3221"/>
      <c r="AK1" s="3222"/>
      <c r="AL1" s="408" t="s">
        <v>231</v>
      </c>
      <c r="AM1" s="408" t="s">
        <v>131</v>
      </c>
    </row>
    <row r="2" spans="1:255" s="409" customFormat="1" ht="15.75" x14ac:dyDescent="0.25">
      <c r="A2" s="3221"/>
      <c r="B2" s="3221"/>
      <c r="C2" s="3221"/>
      <c r="D2" s="3221"/>
      <c r="E2" s="3221"/>
      <c r="F2" s="3221"/>
      <c r="G2" s="3221"/>
      <c r="H2" s="3221"/>
      <c r="I2" s="3221"/>
      <c r="J2" s="3221"/>
      <c r="K2" s="3221"/>
      <c r="L2" s="3221"/>
      <c r="M2" s="3221"/>
      <c r="N2" s="3221"/>
      <c r="O2" s="3221"/>
      <c r="P2" s="3221"/>
      <c r="Q2" s="3221"/>
      <c r="R2" s="3221"/>
      <c r="S2" s="3221"/>
      <c r="T2" s="3221"/>
      <c r="U2" s="3221"/>
      <c r="V2" s="3221"/>
      <c r="W2" s="3221"/>
      <c r="X2" s="3221"/>
      <c r="Y2" s="3221"/>
      <c r="Z2" s="3221"/>
      <c r="AA2" s="3221"/>
      <c r="AB2" s="3221"/>
      <c r="AC2" s="3221"/>
      <c r="AD2" s="3221"/>
      <c r="AE2" s="3221"/>
      <c r="AF2" s="3221"/>
      <c r="AG2" s="3221"/>
      <c r="AH2" s="3221"/>
      <c r="AI2" s="3221"/>
      <c r="AJ2" s="3221"/>
      <c r="AK2" s="3222"/>
      <c r="AL2" s="410" t="s">
        <v>232</v>
      </c>
      <c r="AM2" s="408" t="s">
        <v>135</v>
      </c>
    </row>
    <row r="3" spans="1:255" s="409" customFormat="1" ht="15.75" x14ac:dyDescent="0.25">
      <c r="A3" s="3221"/>
      <c r="B3" s="3221"/>
      <c r="C3" s="3221"/>
      <c r="D3" s="3221"/>
      <c r="E3" s="3221"/>
      <c r="F3" s="3221"/>
      <c r="G3" s="3221"/>
      <c r="H3" s="3221"/>
      <c r="I3" s="3221"/>
      <c r="J3" s="3221"/>
      <c r="K3" s="3221"/>
      <c r="L3" s="3221"/>
      <c r="M3" s="3221"/>
      <c r="N3" s="3221"/>
      <c r="O3" s="3221"/>
      <c r="P3" s="3221"/>
      <c r="Q3" s="3221"/>
      <c r="R3" s="3221"/>
      <c r="S3" s="3221"/>
      <c r="T3" s="3221"/>
      <c r="U3" s="3221"/>
      <c r="V3" s="3221"/>
      <c r="W3" s="3221"/>
      <c r="X3" s="3221"/>
      <c r="Y3" s="3221"/>
      <c r="Z3" s="3221"/>
      <c r="AA3" s="3221"/>
      <c r="AB3" s="3221"/>
      <c r="AC3" s="3221"/>
      <c r="AD3" s="3221"/>
      <c r="AE3" s="3221"/>
      <c r="AF3" s="3221"/>
      <c r="AG3" s="3221"/>
      <c r="AH3" s="3221"/>
      <c r="AI3" s="3221"/>
      <c r="AJ3" s="3221"/>
      <c r="AK3" s="3222"/>
      <c r="AL3" s="408" t="s">
        <v>233</v>
      </c>
      <c r="AM3" s="411" t="s">
        <v>136</v>
      </c>
    </row>
    <row r="4" spans="1:255" s="409" customFormat="1" ht="30.75" customHeight="1" x14ac:dyDescent="0.25">
      <c r="A4" s="3223"/>
      <c r="B4" s="3223"/>
      <c r="C4" s="3223"/>
      <c r="D4" s="3223"/>
      <c r="E4" s="3223"/>
      <c r="F4" s="3223"/>
      <c r="G4" s="3223"/>
      <c r="H4" s="3223"/>
      <c r="I4" s="3223"/>
      <c r="J4" s="3223"/>
      <c r="K4" s="3223"/>
      <c r="L4" s="3223"/>
      <c r="M4" s="3223"/>
      <c r="N4" s="3223"/>
      <c r="O4" s="3223"/>
      <c r="P4" s="3223"/>
      <c r="Q4" s="3223"/>
      <c r="R4" s="3223"/>
      <c r="S4" s="3223"/>
      <c r="T4" s="3223"/>
      <c r="U4" s="3223"/>
      <c r="V4" s="3223"/>
      <c r="W4" s="3223"/>
      <c r="X4" s="3223"/>
      <c r="Y4" s="3223"/>
      <c r="Z4" s="3223"/>
      <c r="AA4" s="3223"/>
      <c r="AB4" s="3223"/>
      <c r="AC4" s="3223"/>
      <c r="AD4" s="3223"/>
      <c r="AE4" s="3223"/>
      <c r="AF4" s="3223"/>
      <c r="AG4" s="3223"/>
      <c r="AH4" s="3223"/>
      <c r="AI4" s="3223"/>
      <c r="AJ4" s="3223"/>
      <c r="AK4" s="3224"/>
      <c r="AL4" s="408" t="s">
        <v>234</v>
      </c>
      <c r="AM4" s="412" t="s">
        <v>1</v>
      </c>
    </row>
    <row r="5" spans="1:255" s="409" customFormat="1" ht="15.75" x14ac:dyDescent="0.25">
      <c r="A5" s="2329" t="s">
        <v>2</v>
      </c>
      <c r="B5" s="2329"/>
      <c r="C5" s="2329"/>
      <c r="D5" s="2329"/>
      <c r="E5" s="2329"/>
      <c r="F5" s="2329"/>
      <c r="G5" s="2329"/>
      <c r="H5" s="2329"/>
      <c r="I5" s="2329"/>
      <c r="J5" s="2329"/>
      <c r="K5" s="2329"/>
      <c r="L5" s="2329"/>
      <c r="M5" s="3225"/>
      <c r="N5" s="2259" t="s">
        <v>3</v>
      </c>
      <c r="O5" s="2260"/>
      <c r="P5" s="2260"/>
      <c r="Q5" s="2260"/>
      <c r="R5" s="2260"/>
      <c r="S5" s="2260"/>
      <c r="T5" s="2260"/>
      <c r="U5" s="2260"/>
      <c r="V5" s="2260"/>
      <c r="W5" s="2260"/>
      <c r="X5" s="2260"/>
      <c r="Y5" s="2260"/>
      <c r="Z5" s="2260"/>
      <c r="AA5" s="2260"/>
      <c r="AB5" s="2260"/>
      <c r="AC5" s="2260"/>
      <c r="AD5" s="2260"/>
      <c r="AE5" s="2260"/>
      <c r="AF5" s="2260"/>
      <c r="AG5" s="2260"/>
      <c r="AH5" s="2260"/>
      <c r="AI5" s="2260"/>
      <c r="AJ5" s="2260"/>
      <c r="AK5" s="2260"/>
      <c r="AL5" s="2260"/>
      <c r="AM5" s="2261"/>
    </row>
    <row r="6" spans="1:255" s="409" customFormat="1" ht="15.75" x14ac:dyDescent="0.25">
      <c r="A6" s="2331"/>
      <c r="B6" s="2331"/>
      <c r="C6" s="2331"/>
      <c r="D6" s="2331"/>
      <c r="E6" s="2331"/>
      <c r="F6" s="2331"/>
      <c r="G6" s="2331"/>
      <c r="H6" s="2331"/>
      <c r="I6" s="2331"/>
      <c r="J6" s="2331"/>
      <c r="K6" s="2331"/>
      <c r="L6" s="2331"/>
      <c r="M6" s="2334"/>
      <c r="N6" s="413"/>
      <c r="O6" s="120"/>
      <c r="P6" s="120"/>
      <c r="Q6" s="120"/>
      <c r="R6" s="120"/>
      <c r="S6" s="120"/>
      <c r="T6" s="120"/>
      <c r="U6" s="120"/>
      <c r="V6" s="120"/>
      <c r="W6" s="120"/>
      <c r="X6" s="120"/>
      <c r="Y6" s="413" t="s">
        <v>4</v>
      </c>
      <c r="Z6" s="120"/>
      <c r="AA6" s="120"/>
      <c r="AB6" s="120"/>
      <c r="AC6" s="120"/>
      <c r="AD6" s="120"/>
      <c r="AE6" s="120"/>
      <c r="AF6" s="120"/>
      <c r="AG6" s="120"/>
      <c r="AH6" s="120"/>
      <c r="AI6" s="120"/>
      <c r="AJ6" s="120"/>
      <c r="AK6" s="120"/>
      <c r="AL6" s="120"/>
      <c r="AM6" s="414"/>
    </row>
    <row r="7" spans="1:255" ht="24.75" customHeight="1" x14ac:dyDescent="0.2">
      <c r="A7" s="3226" t="s">
        <v>5</v>
      </c>
      <c r="B7" s="3213" t="s">
        <v>6</v>
      </c>
      <c r="C7" s="3213" t="s">
        <v>5</v>
      </c>
      <c r="D7" s="3213" t="s">
        <v>7</v>
      </c>
      <c r="E7" s="3213" t="s">
        <v>5</v>
      </c>
      <c r="F7" s="3213" t="s">
        <v>8</v>
      </c>
      <c r="G7" s="3213" t="s">
        <v>5</v>
      </c>
      <c r="H7" s="3213" t="s">
        <v>9</v>
      </c>
      <c r="I7" s="3213" t="s">
        <v>10</v>
      </c>
      <c r="J7" s="3219" t="s">
        <v>259</v>
      </c>
      <c r="K7" s="3213" t="s">
        <v>12</v>
      </c>
      <c r="L7" s="3213" t="s">
        <v>182</v>
      </c>
      <c r="M7" s="3213" t="s">
        <v>3</v>
      </c>
      <c r="N7" s="3213" t="s">
        <v>14</v>
      </c>
      <c r="O7" s="3215" t="s">
        <v>15</v>
      </c>
      <c r="P7" s="3213" t="s">
        <v>16</v>
      </c>
      <c r="Q7" s="3213" t="s">
        <v>17</v>
      </c>
      <c r="R7" s="3213" t="s">
        <v>18</v>
      </c>
      <c r="S7" s="3217" t="s">
        <v>15</v>
      </c>
      <c r="T7" s="3213" t="s">
        <v>5</v>
      </c>
      <c r="U7" s="3213" t="s">
        <v>19</v>
      </c>
      <c r="V7" s="3234" t="s">
        <v>20</v>
      </c>
      <c r="W7" s="3234"/>
      <c r="X7" s="3234" t="s">
        <v>21</v>
      </c>
      <c r="Y7" s="3234"/>
      <c r="Z7" s="3234"/>
      <c r="AA7" s="3234"/>
      <c r="AB7" s="2246" t="s">
        <v>22</v>
      </c>
      <c r="AC7" s="2247"/>
      <c r="AD7" s="2247"/>
      <c r="AE7" s="2247"/>
      <c r="AF7" s="2247"/>
      <c r="AG7" s="2247"/>
      <c r="AH7" s="3234" t="s">
        <v>23</v>
      </c>
      <c r="AI7" s="3234"/>
      <c r="AJ7" s="3234"/>
      <c r="AK7" s="3228" t="s">
        <v>25</v>
      </c>
      <c r="AL7" s="3230" t="s">
        <v>26</v>
      </c>
      <c r="AM7" s="3232" t="s">
        <v>27</v>
      </c>
    </row>
    <row r="8" spans="1:255" ht="142.5" customHeight="1" x14ac:dyDescent="0.2">
      <c r="A8" s="3227"/>
      <c r="B8" s="3214"/>
      <c r="C8" s="3214"/>
      <c r="D8" s="3214"/>
      <c r="E8" s="3214"/>
      <c r="F8" s="3214"/>
      <c r="G8" s="3214"/>
      <c r="H8" s="3214"/>
      <c r="I8" s="3214"/>
      <c r="J8" s="3220"/>
      <c r="K8" s="3214"/>
      <c r="L8" s="3214"/>
      <c r="M8" s="3214"/>
      <c r="N8" s="3214"/>
      <c r="O8" s="3216"/>
      <c r="P8" s="3214"/>
      <c r="Q8" s="3214"/>
      <c r="R8" s="3214"/>
      <c r="S8" s="3218"/>
      <c r="T8" s="3214"/>
      <c r="U8" s="3214"/>
      <c r="V8" s="415" t="s">
        <v>28</v>
      </c>
      <c r="W8" s="416" t="s">
        <v>29</v>
      </c>
      <c r="X8" s="415" t="s">
        <v>30</v>
      </c>
      <c r="Y8" s="415" t="s">
        <v>31</v>
      </c>
      <c r="Z8" s="415" t="s">
        <v>138</v>
      </c>
      <c r="AA8" s="415" t="s">
        <v>32</v>
      </c>
      <c r="AB8" s="415" t="s">
        <v>33</v>
      </c>
      <c r="AC8" s="415" t="s">
        <v>34</v>
      </c>
      <c r="AD8" s="415" t="s">
        <v>35</v>
      </c>
      <c r="AE8" s="415" t="s">
        <v>36</v>
      </c>
      <c r="AF8" s="415" t="s">
        <v>37</v>
      </c>
      <c r="AG8" s="415" t="s">
        <v>38</v>
      </c>
      <c r="AH8" s="415" t="s">
        <v>39</v>
      </c>
      <c r="AI8" s="415" t="s">
        <v>40</v>
      </c>
      <c r="AJ8" s="415" t="s">
        <v>41</v>
      </c>
      <c r="AK8" s="3229"/>
      <c r="AL8" s="3231"/>
      <c r="AM8" s="3233"/>
    </row>
    <row r="9" spans="1:255" ht="15.75" x14ac:dyDescent="0.2">
      <c r="A9" s="417">
        <v>3</v>
      </c>
      <c r="B9" s="418" t="s">
        <v>260</v>
      </c>
      <c r="C9" s="419"/>
      <c r="D9" s="419"/>
      <c r="E9" s="419"/>
      <c r="F9" s="419"/>
      <c r="G9" s="419"/>
      <c r="H9" s="420"/>
      <c r="I9" s="420"/>
      <c r="J9" s="419"/>
      <c r="K9" s="419"/>
      <c r="L9" s="419"/>
      <c r="M9" s="420"/>
      <c r="N9" s="419"/>
      <c r="O9" s="419"/>
      <c r="P9" s="420"/>
      <c r="Q9" s="420"/>
      <c r="R9" s="420"/>
      <c r="S9" s="419"/>
      <c r="T9" s="421"/>
      <c r="U9" s="420"/>
      <c r="V9" s="419"/>
      <c r="W9" s="419"/>
      <c r="X9" s="419"/>
      <c r="Y9" s="419"/>
      <c r="Z9" s="419"/>
      <c r="AA9" s="419"/>
      <c r="AB9" s="419"/>
      <c r="AC9" s="419"/>
      <c r="AD9" s="419"/>
      <c r="AE9" s="419"/>
      <c r="AF9" s="419"/>
      <c r="AG9" s="419"/>
      <c r="AH9" s="419"/>
      <c r="AI9" s="419"/>
      <c r="AJ9" s="419"/>
      <c r="AK9" s="419"/>
      <c r="AL9" s="419"/>
      <c r="AM9" s="422"/>
      <c r="AN9" s="423"/>
      <c r="AO9" s="423"/>
      <c r="AP9" s="423"/>
      <c r="AQ9" s="423"/>
      <c r="AR9" s="423"/>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70"/>
      <c r="DN9" s="170"/>
      <c r="DO9" s="170"/>
      <c r="DP9" s="170"/>
      <c r="DQ9" s="170"/>
      <c r="DR9" s="170"/>
      <c r="DS9" s="170"/>
      <c r="DT9" s="170"/>
      <c r="DU9" s="170"/>
      <c r="DV9" s="170"/>
      <c r="DW9" s="170"/>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0"/>
      <c r="FG9" s="170"/>
      <c r="FH9" s="170"/>
      <c r="FI9" s="170"/>
      <c r="FJ9" s="170"/>
      <c r="FK9" s="170"/>
      <c r="FL9" s="170"/>
      <c r="FM9" s="170"/>
      <c r="FN9" s="170"/>
      <c r="FO9" s="170"/>
      <c r="FP9" s="170"/>
      <c r="FQ9" s="170"/>
      <c r="FR9" s="170"/>
      <c r="FS9" s="170"/>
      <c r="FT9" s="170"/>
      <c r="FU9" s="170"/>
      <c r="FV9" s="170"/>
      <c r="FW9" s="170"/>
      <c r="FX9" s="170"/>
      <c r="FY9" s="170"/>
      <c r="FZ9" s="170"/>
      <c r="GA9" s="170"/>
      <c r="GB9" s="170"/>
      <c r="GC9" s="170"/>
      <c r="GD9" s="170"/>
      <c r="GE9" s="170"/>
      <c r="GF9" s="170"/>
      <c r="GG9" s="170"/>
      <c r="GH9" s="170"/>
      <c r="GI9" s="170"/>
      <c r="GJ9" s="170"/>
      <c r="GK9" s="170"/>
      <c r="GL9" s="170"/>
      <c r="GM9" s="170"/>
      <c r="GN9" s="170"/>
      <c r="GO9" s="170"/>
      <c r="GP9" s="170"/>
      <c r="GQ9" s="170"/>
      <c r="GR9" s="170"/>
      <c r="GS9" s="170"/>
      <c r="GT9" s="170"/>
      <c r="GU9" s="170"/>
      <c r="GV9" s="170"/>
      <c r="GW9" s="170"/>
      <c r="GX9" s="170"/>
      <c r="GY9" s="170"/>
      <c r="GZ9" s="170"/>
      <c r="HA9" s="170"/>
      <c r="HB9" s="170"/>
      <c r="HC9" s="170"/>
      <c r="HD9" s="170"/>
      <c r="HE9" s="170"/>
      <c r="HF9" s="170"/>
      <c r="HG9" s="170"/>
      <c r="HH9" s="170"/>
      <c r="HI9" s="170"/>
      <c r="HJ9" s="170"/>
      <c r="HK9" s="170"/>
      <c r="HL9" s="170"/>
      <c r="HM9" s="170"/>
      <c r="HN9" s="170"/>
      <c r="HO9" s="170"/>
      <c r="HP9" s="170"/>
      <c r="HQ9" s="170"/>
      <c r="HR9" s="170"/>
      <c r="HS9" s="170"/>
      <c r="HT9" s="170"/>
      <c r="HU9" s="170"/>
      <c r="HV9" s="170"/>
      <c r="HW9" s="170"/>
      <c r="HX9" s="170"/>
      <c r="HY9" s="170"/>
      <c r="HZ9" s="170"/>
      <c r="IA9" s="170"/>
      <c r="IB9" s="170"/>
      <c r="IC9" s="170"/>
      <c r="ID9" s="170"/>
      <c r="IE9" s="170"/>
      <c r="IF9" s="170"/>
      <c r="IG9" s="170"/>
      <c r="IH9" s="170"/>
      <c r="II9" s="170"/>
      <c r="IJ9" s="170"/>
      <c r="IK9" s="170"/>
      <c r="IL9" s="170"/>
      <c r="IM9" s="170"/>
      <c r="IN9" s="170"/>
      <c r="IO9" s="170"/>
      <c r="IP9" s="170"/>
      <c r="IQ9" s="170"/>
      <c r="IR9" s="170"/>
      <c r="IS9" s="170"/>
      <c r="IT9" s="170"/>
      <c r="IU9" s="170"/>
    </row>
    <row r="10" spans="1:255" ht="15.75" x14ac:dyDescent="0.2">
      <c r="A10" s="424"/>
      <c r="B10" s="425"/>
      <c r="C10" s="426">
        <v>16</v>
      </c>
      <c r="D10" s="427" t="s">
        <v>261</v>
      </c>
      <c r="E10" s="428"/>
      <c r="F10" s="428"/>
      <c r="G10" s="428"/>
      <c r="H10" s="429"/>
      <c r="I10" s="429"/>
      <c r="J10" s="428"/>
      <c r="K10" s="428"/>
      <c r="L10" s="428"/>
      <c r="M10" s="429"/>
      <c r="N10" s="428"/>
      <c r="O10" s="428"/>
      <c r="P10" s="429"/>
      <c r="Q10" s="429"/>
      <c r="R10" s="429"/>
      <c r="S10" s="428"/>
      <c r="T10" s="430"/>
      <c r="U10" s="429"/>
      <c r="V10" s="428"/>
      <c r="W10" s="428"/>
      <c r="X10" s="428"/>
      <c r="Y10" s="428"/>
      <c r="Z10" s="428"/>
      <c r="AA10" s="428"/>
      <c r="AB10" s="428"/>
      <c r="AC10" s="428"/>
      <c r="AD10" s="428"/>
      <c r="AE10" s="428"/>
      <c r="AF10" s="428"/>
      <c r="AG10" s="428"/>
      <c r="AH10" s="428"/>
      <c r="AI10" s="428"/>
      <c r="AJ10" s="428"/>
      <c r="AK10" s="428"/>
      <c r="AL10" s="428"/>
      <c r="AM10" s="431"/>
      <c r="AN10" s="423"/>
      <c r="AO10" s="423"/>
      <c r="AP10" s="423"/>
      <c r="AQ10" s="423"/>
      <c r="AR10" s="423"/>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170"/>
      <c r="FG10" s="170"/>
      <c r="FH10" s="170"/>
      <c r="FI10" s="170"/>
      <c r="FJ10" s="170"/>
      <c r="FK10" s="170"/>
      <c r="FL10" s="170"/>
      <c r="FM10" s="170"/>
      <c r="FN10" s="170"/>
      <c r="FO10" s="170"/>
      <c r="FP10" s="170"/>
      <c r="FQ10" s="170"/>
      <c r="FR10" s="170"/>
      <c r="FS10" s="170"/>
      <c r="FT10" s="170"/>
      <c r="FU10" s="170"/>
      <c r="FV10" s="170"/>
      <c r="FW10" s="170"/>
      <c r="FX10" s="170"/>
      <c r="FY10" s="170"/>
      <c r="FZ10" s="170"/>
      <c r="GA10" s="170"/>
      <c r="GB10" s="170"/>
      <c r="GC10" s="170"/>
      <c r="GD10" s="170"/>
      <c r="GE10" s="170"/>
      <c r="GF10" s="170"/>
      <c r="GG10" s="170"/>
      <c r="GH10" s="170"/>
      <c r="GI10" s="170"/>
      <c r="GJ10" s="170"/>
      <c r="GK10" s="170"/>
      <c r="GL10" s="170"/>
      <c r="GM10" s="170"/>
      <c r="GN10" s="170"/>
      <c r="GO10" s="170"/>
      <c r="GP10" s="170"/>
      <c r="GQ10" s="170"/>
      <c r="GR10" s="170"/>
      <c r="GS10" s="170"/>
      <c r="GT10" s="170"/>
      <c r="GU10" s="170"/>
      <c r="GV10" s="170"/>
      <c r="GW10" s="170"/>
      <c r="GX10" s="170"/>
      <c r="GY10" s="170"/>
      <c r="GZ10" s="170"/>
      <c r="HA10" s="170"/>
      <c r="HB10" s="170"/>
      <c r="HC10" s="170"/>
      <c r="HD10" s="170"/>
      <c r="HE10" s="170"/>
      <c r="HF10" s="170"/>
      <c r="HG10" s="170"/>
      <c r="HH10" s="170"/>
      <c r="HI10" s="170"/>
      <c r="HJ10" s="170"/>
      <c r="HK10" s="170"/>
      <c r="HL10" s="170"/>
      <c r="HM10" s="170"/>
      <c r="HN10" s="170"/>
      <c r="HO10" s="170"/>
      <c r="HP10" s="170"/>
      <c r="HQ10" s="170"/>
      <c r="HR10" s="170"/>
      <c r="HS10" s="170"/>
      <c r="HT10" s="170"/>
      <c r="HU10" s="170"/>
      <c r="HV10" s="170"/>
      <c r="HW10" s="170"/>
      <c r="HX10" s="170"/>
      <c r="HY10" s="170"/>
      <c r="HZ10" s="170"/>
      <c r="IA10" s="170"/>
      <c r="IB10" s="170"/>
      <c r="IC10" s="170"/>
      <c r="ID10" s="170"/>
      <c r="IE10" s="170"/>
      <c r="IF10" s="170"/>
      <c r="IG10" s="170"/>
      <c r="IH10" s="170"/>
      <c r="II10" s="170"/>
      <c r="IJ10" s="170"/>
      <c r="IK10" s="170"/>
      <c r="IL10" s="170"/>
      <c r="IM10" s="170"/>
      <c r="IN10" s="170"/>
      <c r="IO10" s="170"/>
      <c r="IP10" s="170"/>
      <c r="IQ10" s="170"/>
      <c r="IR10" s="170"/>
      <c r="IS10" s="170"/>
      <c r="IT10" s="170"/>
      <c r="IU10" s="170"/>
    </row>
    <row r="11" spans="1:255" ht="15.75" x14ac:dyDescent="0.2">
      <c r="A11" s="424"/>
      <c r="B11" s="425"/>
      <c r="C11" s="432"/>
      <c r="D11" s="425"/>
      <c r="E11" s="151">
        <v>56</v>
      </c>
      <c r="F11" s="433" t="s">
        <v>262</v>
      </c>
      <c r="G11" s="434"/>
      <c r="H11" s="435"/>
      <c r="I11" s="435"/>
      <c r="J11" s="434"/>
      <c r="K11" s="434"/>
      <c r="L11" s="434"/>
      <c r="M11" s="435"/>
      <c r="N11" s="434"/>
      <c r="O11" s="434"/>
      <c r="P11" s="435"/>
      <c r="Q11" s="435"/>
      <c r="R11" s="435"/>
      <c r="S11" s="434"/>
      <c r="T11" s="436"/>
      <c r="U11" s="435"/>
      <c r="V11" s="434"/>
      <c r="W11" s="434"/>
      <c r="X11" s="434"/>
      <c r="Y11" s="434"/>
      <c r="Z11" s="434"/>
      <c r="AA11" s="434"/>
      <c r="AB11" s="434"/>
      <c r="AC11" s="434"/>
      <c r="AD11" s="434"/>
      <c r="AE11" s="434"/>
      <c r="AF11" s="434"/>
      <c r="AG11" s="434"/>
      <c r="AH11" s="434"/>
      <c r="AI11" s="434"/>
      <c r="AJ11" s="434"/>
      <c r="AK11" s="434"/>
      <c r="AL11" s="434"/>
      <c r="AM11" s="437"/>
      <c r="AN11" s="423"/>
      <c r="AO11" s="423"/>
      <c r="AP11" s="423"/>
      <c r="AQ11" s="423"/>
      <c r="AR11" s="423"/>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70"/>
      <c r="DA11" s="170"/>
      <c r="DB11" s="170"/>
      <c r="DC11" s="170"/>
      <c r="DD11" s="170"/>
      <c r="DE11" s="170"/>
      <c r="DF11" s="170"/>
      <c r="DG11" s="170"/>
      <c r="DH11" s="170"/>
      <c r="DI11" s="170"/>
      <c r="DJ11" s="170"/>
      <c r="DK11" s="170"/>
      <c r="DL11" s="170"/>
      <c r="DM11" s="170"/>
      <c r="DN11" s="170"/>
      <c r="DO11" s="170"/>
      <c r="DP11" s="170"/>
      <c r="DQ11" s="170"/>
      <c r="DR11" s="170"/>
      <c r="DS11" s="170"/>
      <c r="DT11" s="170"/>
      <c r="DU11" s="170"/>
      <c r="DV11" s="170"/>
      <c r="DW11" s="170"/>
      <c r="DX11" s="170"/>
      <c r="DY11" s="170"/>
      <c r="DZ11" s="170"/>
      <c r="EA11" s="170"/>
      <c r="EB11" s="170"/>
      <c r="EC11" s="170"/>
      <c r="ED11" s="170"/>
      <c r="EE11" s="170"/>
      <c r="EF11" s="170"/>
      <c r="EG11" s="170"/>
      <c r="EH11" s="170"/>
      <c r="EI11" s="170"/>
      <c r="EJ11" s="170"/>
      <c r="EK11" s="170"/>
      <c r="EL11" s="170"/>
      <c r="EM11" s="170"/>
      <c r="EN11" s="170"/>
      <c r="EO11" s="170"/>
      <c r="EP11" s="170"/>
      <c r="EQ11" s="170"/>
      <c r="ER11" s="170"/>
      <c r="ES11" s="170"/>
      <c r="ET11" s="170"/>
      <c r="EU11" s="170"/>
      <c r="EV11" s="170"/>
      <c r="EW11" s="170"/>
      <c r="EX11" s="170"/>
      <c r="EY11" s="170"/>
      <c r="EZ11" s="170"/>
      <c r="FA11" s="170"/>
      <c r="FB11" s="170"/>
      <c r="FC11" s="170"/>
      <c r="FD11" s="170"/>
      <c r="FE11" s="170"/>
      <c r="FF11" s="170"/>
      <c r="FG11" s="170"/>
      <c r="FH11" s="170"/>
      <c r="FI11" s="170"/>
      <c r="FJ11" s="170"/>
      <c r="FK11" s="170"/>
      <c r="FL11" s="170"/>
      <c r="FM11" s="170"/>
      <c r="FN11" s="170"/>
      <c r="FO11" s="170"/>
      <c r="FP11" s="170"/>
      <c r="FQ11" s="170"/>
      <c r="FR11" s="170"/>
      <c r="FS11" s="170"/>
      <c r="FT11" s="170"/>
      <c r="FU11" s="170"/>
      <c r="FV11" s="170"/>
      <c r="FW11" s="170"/>
      <c r="FX11" s="170"/>
      <c r="FY11" s="170"/>
      <c r="FZ11" s="170"/>
      <c r="GA11" s="170"/>
      <c r="GB11" s="170"/>
      <c r="GC11" s="170"/>
      <c r="GD11" s="170"/>
      <c r="GE11" s="170"/>
      <c r="GF11" s="170"/>
      <c r="GG11" s="170"/>
      <c r="GH11" s="170"/>
      <c r="GI11" s="170"/>
      <c r="GJ11" s="170"/>
      <c r="GK11" s="170"/>
      <c r="GL11" s="170"/>
      <c r="GM11" s="170"/>
      <c r="GN11" s="170"/>
      <c r="GO11" s="170"/>
      <c r="GP11" s="170"/>
      <c r="GQ11" s="170"/>
      <c r="GR11" s="170"/>
      <c r="GS11" s="170"/>
      <c r="GT11" s="170"/>
      <c r="GU11" s="170"/>
      <c r="GV11" s="170"/>
      <c r="GW11" s="170"/>
      <c r="GX11" s="170"/>
      <c r="GY11" s="170"/>
      <c r="GZ11" s="170"/>
      <c r="HA11" s="170"/>
      <c r="HB11" s="170"/>
      <c r="HC11" s="170"/>
      <c r="HD11" s="170"/>
      <c r="HE11" s="170"/>
      <c r="HF11" s="170"/>
      <c r="HG11" s="170"/>
      <c r="HH11" s="170"/>
      <c r="HI11" s="170"/>
      <c r="HJ11" s="170"/>
      <c r="HK11" s="170"/>
      <c r="HL11" s="170"/>
      <c r="HM11" s="170"/>
      <c r="HN11" s="170"/>
      <c r="HO11" s="170"/>
      <c r="HP11" s="170"/>
      <c r="HQ11" s="170"/>
      <c r="HR11" s="170"/>
      <c r="HS11" s="170"/>
      <c r="HT11" s="170"/>
      <c r="HU11" s="170"/>
      <c r="HV11" s="170"/>
      <c r="HW11" s="170"/>
      <c r="HX11" s="170"/>
      <c r="HY11" s="170"/>
      <c r="HZ11" s="170"/>
      <c r="IA11" s="170"/>
      <c r="IB11" s="170"/>
      <c r="IC11" s="170"/>
      <c r="ID11" s="170"/>
      <c r="IE11" s="170"/>
      <c r="IF11" s="170"/>
      <c r="IG11" s="170"/>
      <c r="IH11" s="170"/>
      <c r="II11" s="170"/>
      <c r="IJ11" s="170"/>
      <c r="IK11" s="170"/>
      <c r="IL11" s="170"/>
      <c r="IM11" s="170"/>
      <c r="IN11" s="170"/>
      <c r="IO11" s="170"/>
      <c r="IP11" s="170"/>
      <c r="IQ11" s="170"/>
      <c r="IR11" s="170"/>
      <c r="IS11" s="170"/>
      <c r="IT11" s="170"/>
      <c r="IU11" s="170"/>
    </row>
    <row r="12" spans="1:255" ht="48.75" customHeight="1" x14ac:dyDescent="0.2">
      <c r="A12" s="424"/>
      <c r="B12" s="425"/>
      <c r="C12" s="432"/>
      <c r="D12" s="425"/>
      <c r="E12" s="3209"/>
      <c r="F12" s="3210"/>
      <c r="G12" s="3104">
        <v>180</v>
      </c>
      <c r="H12" s="3095" t="s">
        <v>263</v>
      </c>
      <c r="I12" s="2783" t="s">
        <v>264</v>
      </c>
      <c r="J12" s="2772">
        <v>1</v>
      </c>
      <c r="K12" s="3141" t="s">
        <v>265</v>
      </c>
      <c r="L12" s="3194" t="s">
        <v>266</v>
      </c>
      <c r="M12" s="3096" t="s">
        <v>267</v>
      </c>
      <c r="N12" s="3076">
        <f>SUM(S12:S15)/O12</f>
        <v>0.75</v>
      </c>
      <c r="O12" s="3149">
        <f>SUM(S12:S19)</f>
        <v>60000000</v>
      </c>
      <c r="P12" s="3095" t="s">
        <v>268</v>
      </c>
      <c r="Q12" s="2296" t="s">
        <v>269</v>
      </c>
      <c r="R12" s="438" t="s">
        <v>270</v>
      </c>
      <c r="S12" s="439">
        <v>30960000</v>
      </c>
      <c r="T12" s="3135" t="s">
        <v>271</v>
      </c>
      <c r="U12" s="3104" t="s">
        <v>272</v>
      </c>
      <c r="V12" s="3206">
        <v>22611</v>
      </c>
      <c r="W12" s="3206">
        <v>23567</v>
      </c>
      <c r="X12" s="3183">
        <v>40834</v>
      </c>
      <c r="Y12" s="3183">
        <v>2285</v>
      </c>
      <c r="Z12" s="3183">
        <v>3059</v>
      </c>
      <c r="AA12" s="3183"/>
      <c r="AB12" s="3183"/>
      <c r="AC12" s="3183"/>
      <c r="AD12" s="3183"/>
      <c r="AE12" s="3183"/>
      <c r="AF12" s="3183"/>
      <c r="AG12" s="3183"/>
      <c r="AH12" s="3183"/>
      <c r="AI12" s="3183"/>
      <c r="AJ12" s="3183"/>
      <c r="AK12" s="3204">
        <v>43102</v>
      </c>
      <c r="AL12" s="2640">
        <v>43465</v>
      </c>
      <c r="AM12" s="2184" t="s">
        <v>273</v>
      </c>
    </row>
    <row r="13" spans="1:255" ht="51.75" customHeight="1" x14ac:dyDescent="0.2">
      <c r="A13" s="424"/>
      <c r="B13" s="425"/>
      <c r="C13" s="432"/>
      <c r="D13" s="425"/>
      <c r="E13" s="3103"/>
      <c r="F13" s="3055"/>
      <c r="G13" s="3083"/>
      <c r="H13" s="3096"/>
      <c r="I13" s="2793"/>
      <c r="J13" s="2773"/>
      <c r="K13" s="3142"/>
      <c r="L13" s="3195"/>
      <c r="M13" s="3096"/>
      <c r="N13" s="2734"/>
      <c r="O13" s="3149"/>
      <c r="P13" s="3096"/>
      <c r="Q13" s="2302"/>
      <c r="R13" s="440" t="s">
        <v>274</v>
      </c>
      <c r="S13" s="439">
        <v>3500000</v>
      </c>
      <c r="T13" s="3136"/>
      <c r="U13" s="3083"/>
      <c r="V13" s="3207"/>
      <c r="W13" s="3207"/>
      <c r="X13" s="3184"/>
      <c r="Y13" s="3184"/>
      <c r="Z13" s="3184"/>
      <c r="AA13" s="3184"/>
      <c r="AB13" s="3184"/>
      <c r="AC13" s="3184"/>
      <c r="AD13" s="3184"/>
      <c r="AE13" s="3184"/>
      <c r="AF13" s="3184"/>
      <c r="AG13" s="3184"/>
      <c r="AH13" s="3184"/>
      <c r="AI13" s="3184"/>
      <c r="AJ13" s="3184"/>
      <c r="AK13" s="3204"/>
      <c r="AL13" s="2640"/>
      <c r="AM13" s="2184"/>
    </row>
    <row r="14" spans="1:255" ht="63.75" customHeight="1" x14ac:dyDescent="0.2">
      <c r="A14" s="424"/>
      <c r="B14" s="425"/>
      <c r="C14" s="432"/>
      <c r="D14" s="425"/>
      <c r="E14" s="3103"/>
      <c r="F14" s="3055"/>
      <c r="G14" s="3083"/>
      <c r="H14" s="3096"/>
      <c r="I14" s="2793"/>
      <c r="J14" s="2773"/>
      <c r="K14" s="3142"/>
      <c r="L14" s="3195"/>
      <c r="M14" s="3096"/>
      <c r="N14" s="2734"/>
      <c r="O14" s="3149"/>
      <c r="P14" s="3096"/>
      <c r="Q14" s="2302"/>
      <c r="R14" s="387" t="s">
        <v>275</v>
      </c>
      <c r="S14" s="439">
        <v>3280000</v>
      </c>
      <c r="T14" s="3136"/>
      <c r="U14" s="3083"/>
      <c r="V14" s="3207"/>
      <c r="W14" s="3207"/>
      <c r="X14" s="3184"/>
      <c r="Y14" s="3184"/>
      <c r="Z14" s="3184"/>
      <c r="AA14" s="3184"/>
      <c r="AB14" s="3184"/>
      <c r="AC14" s="3184"/>
      <c r="AD14" s="3184"/>
      <c r="AE14" s="3184"/>
      <c r="AF14" s="3184"/>
      <c r="AG14" s="3184"/>
      <c r="AH14" s="3184"/>
      <c r="AI14" s="3184"/>
      <c r="AJ14" s="3184"/>
      <c r="AK14" s="3204"/>
      <c r="AL14" s="2640"/>
      <c r="AM14" s="2184"/>
    </row>
    <row r="15" spans="1:255" ht="66" customHeight="1" x14ac:dyDescent="0.2">
      <c r="A15" s="424"/>
      <c r="B15" s="425"/>
      <c r="C15" s="432"/>
      <c r="D15" s="425"/>
      <c r="E15" s="3103"/>
      <c r="F15" s="3055"/>
      <c r="G15" s="3105"/>
      <c r="H15" s="3097"/>
      <c r="I15" s="2784"/>
      <c r="J15" s="2774"/>
      <c r="K15" s="3142"/>
      <c r="L15" s="3195"/>
      <c r="M15" s="3096"/>
      <c r="N15" s="3077"/>
      <c r="O15" s="3149"/>
      <c r="P15" s="3096"/>
      <c r="Q15" s="2297"/>
      <c r="R15" s="387" t="s">
        <v>275</v>
      </c>
      <c r="S15" s="439">
        <v>7260000</v>
      </c>
      <c r="T15" s="3136"/>
      <c r="U15" s="3083"/>
      <c r="V15" s="3207"/>
      <c r="W15" s="3207"/>
      <c r="X15" s="3184"/>
      <c r="Y15" s="3184"/>
      <c r="Z15" s="3184"/>
      <c r="AA15" s="3184"/>
      <c r="AB15" s="3184"/>
      <c r="AC15" s="3184"/>
      <c r="AD15" s="3184"/>
      <c r="AE15" s="3184"/>
      <c r="AF15" s="3184"/>
      <c r="AG15" s="3184"/>
      <c r="AH15" s="3184"/>
      <c r="AI15" s="3184"/>
      <c r="AJ15" s="3184"/>
      <c r="AK15" s="3204"/>
      <c r="AL15" s="2640"/>
      <c r="AM15" s="2184"/>
    </row>
    <row r="16" spans="1:255" ht="66" customHeight="1" x14ac:dyDescent="0.2">
      <c r="A16" s="424"/>
      <c r="B16" s="425"/>
      <c r="C16" s="432"/>
      <c r="D16" s="425"/>
      <c r="E16" s="3103"/>
      <c r="F16" s="3055"/>
      <c r="G16" s="3104">
        <v>181</v>
      </c>
      <c r="H16" s="3095" t="s">
        <v>276</v>
      </c>
      <c r="I16" s="2783" t="s">
        <v>277</v>
      </c>
      <c r="J16" s="2772">
        <v>6</v>
      </c>
      <c r="K16" s="3142"/>
      <c r="L16" s="3195"/>
      <c r="M16" s="3096"/>
      <c r="N16" s="3076">
        <f>SUM(S16:S19)/O12</f>
        <v>0.25</v>
      </c>
      <c r="O16" s="3149"/>
      <c r="P16" s="3096"/>
      <c r="Q16" s="2296" t="s">
        <v>278</v>
      </c>
      <c r="R16" s="267" t="s">
        <v>279</v>
      </c>
      <c r="S16" s="439">
        <v>3750000</v>
      </c>
      <c r="T16" s="3136"/>
      <c r="U16" s="3083"/>
      <c r="V16" s="3207"/>
      <c r="W16" s="3207"/>
      <c r="X16" s="3184"/>
      <c r="Y16" s="3184"/>
      <c r="Z16" s="3184"/>
      <c r="AA16" s="3184"/>
      <c r="AB16" s="3184"/>
      <c r="AC16" s="3184"/>
      <c r="AD16" s="3184"/>
      <c r="AE16" s="3184"/>
      <c r="AF16" s="3184"/>
      <c r="AG16" s="3184"/>
      <c r="AH16" s="3184"/>
      <c r="AI16" s="3184"/>
      <c r="AJ16" s="3184"/>
      <c r="AK16" s="3204"/>
      <c r="AL16" s="2640"/>
      <c r="AM16" s="2184"/>
    </row>
    <row r="17" spans="1:39" ht="72" customHeight="1" x14ac:dyDescent="0.2">
      <c r="A17" s="424"/>
      <c r="B17" s="425"/>
      <c r="C17" s="432"/>
      <c r="D17" s="425"/>
      <c r="E17" s="3103"/>
      <c r="F17" s="3055"/>
      <c r="G17" s="3083"/>
      <c r="H17" s="3096"/>
      <c r="I17" s="2793"/>
      <c r="J17" s="2773"/>
      <c r="K17" s="3142"/>
      <c r="L17" s="3195"/>
      <c r="M17" s="3096"/>
      <c r="N17" s="2734"/>
      <c r="O17" s="3149"/>
      <c r="P17" s="3096"/>
      <c r="Q17" s="2302"/>
      <c r="R17" s="267" t="s">
        <v>280</v>
      </c>
      <c r="S17" s="439">
        <v>3750000</v>
      </c>
      <c r="T17" s="3136"/>
      <c r="U17" s="3083"/>
      <c r="V17" s="3207"/>
      <c r="W17" s="3207"/>
      <c r="X17" s="3184"/>
      <c r="Y17" s="3184"/>
      <c r="Z17" s="3184"/>
      <c r="AA17" s="3184"/>
      <c r="AB17" s="3184"/>
      <c r="AC17" s="3184"/>
      <c r="AD17" s="3184"/>
      <c r="AE17" s="3184"/>
      <c r="AF17" s="3184"/>
      <c r="AG17" s="3184"/>
      <c r="AH17" s="3184"/>
      <c r="AI17" s="3184"/>
      <c r="AJ17" s="3184"/>
      <c r="AK17" s="3204"/>
      <c r="AL17" s="2640"/>
      <c r="AM17" s="2184"/>
    </row>
    <row r="18" spans="1:39" ht="66" customHeight="1" x14ac:dyDescent="0.2">
      <c r="A18" s="424"/>
      <c r="B18" s="425"/>
      <c r="C18" s="432"/>
      <c r="D18" s="425"/>
      <c r="E18" s="3103"/>
      <c r="F18" s="3055"/>
      <c r="G18" s="3083"/>
      <c r="H18" s="3096"/>
      <c r="I18" s="2793"/>
      <c r="J18" s="2773"/>
      <c r="K18" s="3142"/>
      <c r="L18" s="3195"/>
      <c r="M18" s="3096"/>
      <c r="N18" s="2734"/>
      <c r="O18" s="3149"/>
      <c r="P18" s="3096"/>
      <c r="Q18" s="2302"/>
      <c r="R18" s="267" t="s">
        <v>281</v>
      </c>
      <c r="S18" s="439">
        <v>3750000</v>
      </c>
      <c r="T18" s="3136"/>
      <c r="U18" s="3083"/>
      <c r="V18" s="3207"/>
      <c r="W18" s="3207"/>
      <c r="X18" s="3184"/>
      <c r="Y18" s="3184"/>
      <c r="Z18" s="3184"/>
      <c r="AA18" s="3184"/>
      <c r="AB18" s="3184"/>
      <c r="AC18" s="3184"/>
      <c r="AD18" s="3184"/>
      <c r="AE18" s="3184"/>
      <c r="AF18" s="3184"/>
      <c r="AG18" s="3184"/>
      <c r="AH18" s="3184"/>
      <c r="AI18" s="3184"/>
      <c r="AJ18" s="3184"/>
      <c r="AK18" s="3204"/>
      <c r="AL18" s="2640"/>
      <c r="AM18" s="2184"/>
    </row>
    <row r="19" spans="1:39" ht="50.25" customHeight="1" x14ac:dyDescent="0.2">
      <c r="A19" s="424"/>
      <c r="B19" s="425"/>
      <c r="C19" s="441"/>
      <c r="D19" s="442"/>
      <c r="E19" s="3211"/>
      <c r="F19" s="3212"/>
      <c r="G19" s="3105"/>
      <c r="H19" s="3097"/>
      <c r="I19" s="2784"/>
      <c r="J19" s="2774"/>
      <c r="K19" s="3143"/>
      <c r="L19" s="3196"/>
      <c r="M19" s="3097"/>
      <c r="N19" s="3077"/>
      <c r="O19" s="2715"/>
      <c r="P19" s="3097"/>
      <c r="Q19" s="2297"/>
      <c r="R19" s="440" t="s">
        <v>282</v>
      </c>
      <c r="S19" s="443">
        <v>3750000</v>
      </c>
      <c r="T19" s="3163"/>
      <c r="U19" s="3105"/>
      <c r="V19" s="3208"/>
      <c r="W19" s="3208"/>
      <c r="X19" s="3185"/>
      <c r="Y19" s="3185"/>
      <c r="Z19" s="3185"/>
      <c r="AA19" s="3185"/>
      <c r="AB19" s="3185"/>
      <c r="AC19" s="3185"/>
      <c r="AD19" s="3185"/>
      <c r="AE19" s="3185"/>
      <c r="AF19" s="3185"/>
      <c r="AG19" s="3185"/>
      <c r="AH19" s="3185"/>
      <c r="AI19" s="3185"/>
      <c r="AJ19" s="3185"/>
      <c r="AK19" s="3205"/>
      <c r="AL19" s="3203"/>
      <c r="AM19" s="2184"/>
    </row>
    <row r="20" spans="1:39" ht="15.75" x14ac:dyDescent="0.2">
      <c r="A20" s="424"/>
      <c r="B20" s="425"/>
      <c r="C20" s="426">
        <v>17</v>
      </c>
      <c r="D20" s="240" t="s">
        <v>283</v>
      </c>
      <c r="E20" s="444"/>
      <c r="F20" s="444"/>
      <c r="G20" s="444"/>
      <c r="H20" s="445"/>
      <c r="I20" s="445"/>
      <c r="J20" s="444"/>
      <c r="K20" s="444"/>
      <c r="L20" s="444"/>
      <c r="M20" s="445"/>
      <c r="N20" s="444"/>
      <c r="O20" s="446"/>
      <c r="P20" s="445"/>
      <c r="Q20" s="445"/>
      <c r="R20" s="445"/>
      <c r="S20" s="447"/>
      <c r="T20" s="448"/>
      <c r="U20" s="445"/>
      <c r="V20" s="444"/>
      <c r="W20" s="444"/>
      <c r="X20" s="444"/>
      <c r="Y20" s="444"/>
      <c r="Z20" s="444"/>
      <c r="AA20" s="444"/>
      <c r="AB20" s="444"/>
      <c r="AC20" s="444"/>
      <c r="AD20" s="444"/>
      <c r="AE20" s="444"/>
      <c r="AF20" s="444"/>
      <c r="AG20" s="444"/>
      <c r="AH20" s="444"/>
      <c r="AI20" s="444"/>
      <c r="AJ20" s="444"/>
      <c r="AK20" s="444"/>
      <c r="AL20" s="444"/>
      <c r="AM20" s="449"/>
    </row>
    <row r="21" spans="1:39" ht="15.75" x14ac:dyDescent="0.2">
      <c r="A21" s="424"/>
      <c r="B21" s="425"/>
      <c r="C21" s="253"/>
      <c r="D21" s="450"/>
      <c r="E21" s="151">
        <v>58</v>
      </c>
      <c r="F21" s="433" t="s">
        <v>284</v>
      </c>
      <c r="G21" s="434"/>
      <c r="H21" s="435"/>
      <c r="I21" s="435"/>
      <c r="J21" s="434"/>
      <c r="K21" s="434"/>
      <c r="L21" s="434"/>
      <c r="M21" s="435"/>
      <c r="N21" s="434"/>
      <c r="O21" s="451"/>
      <c r="P21" s="435"/>
      <c r="Q21" s="435"/>
      <c r="R21" s="435"/>
      <c r="S21" s="452"/>
      <c r="T21" s="436"/>
      <c r="U21" s="435"/>
      <c r="V21" s="434"/>
      <c r="W21" s="434"/>
      <c r="X21" s="434"/>
      <c r="Y21" s="434"/>
      <c r="Z21" s="434"/>
      <c r="AA21" s="434"/>
      <c r="AB21" s="434"/>
      <c r="AC21" s="434"/>
      <c r="AD21" s="434"/>
      <c r="AE21" s="434"/>
      <c r="AF21" s="434"/>
      <c r="AG21" s="434"/>
      <c r="AH21" s="434"/>
      <c r="AI21" s="434"/>
      <c r="AJ21" s="434"/>
      <c r="AK21" s="434"/>
      <c r="AL21" s="434"/>
      <c r="AM21" s="453"/>
    </row>
    <row r="22" spans="1:39" ht="51.75" customHeight="1" x14ac:dyDescent="0.2">
      <c r="A22" s="424"/>
      <c r="B22" s="425"/>
      <c r="C22" s="253"/>
      <c r="D22" s="450"/>
      <c r="E22" s="239"/>
      <c r="F22" s="454"/>
      <c r="G22" s="2432">
        <v>183</v>
      </c>
      <c r="H22" s="3091" t="s">
        <v>285</v>
      </c>
      <c r="I22" s="3091" t="s">
        <v>286</v>
      </c>
      <c r="J22" s="3201">
        <v>1</v>
      </c>
      <c r="K22" s="3141" t="s">
        <v>287</v>
      </c>
      <c r="L22" s="3195" t="s">
        <v>288</v>
      </c>
      <c r="M22" s="3096" t="s">
        <v>289</v>
      </c>
      <c r="N22" s="2734">
        <f>SUM(S22:S30)/O22</f>
        <v>1</v>
      </c>
      <c r="O22" s="3149">
        <f>SUM(S22:S30)</f>
        <v>180000000</v>
      </c>
      <c r="P22" s="3096" t="s">
        <v>290</v>
      </c>
      <c r="Q22" s="2296" t="s">
        <v>291</v>
      </c>
      <c r="R22" s="455" t="s">
        <v>292</v>
      </c>
      <c r="S22" s="456">
        <v>11000000</v>
      </c>
      <c r="T22" s="3136">
        <v>20</v>
      </c>
      <c r="U22" s="3083" t="s">
        <v>72</v>
      </c>
      <c r="V22" s="3200">
        <v>86919</v>
      </c>
      <c r="W22" s="3200">
        <v>83570</v>
      </c>
      <c r="X22" s="3200">
        <v>40912</v>
      </c>
      <c r="Y22" s="3200">
        <v>8243</v>
      </c>
      <c r="Z22" s="3200">
        <v>96919</v>
      </c>
      <c r="AA22" s="3200">
        <v>24415</v>
      </c>
      <c r="AB22" s="3200"/>
      <c r="AC22" s="3200"/>
      <c r="AD22" s="3200"/>
      <c r="AE22" s="3200"/>
      <c r="AF22" s="3200"/>
      <c r="AG22" s="3200"/>
      <c r="AH22" s="3200"/>
      <c r="AI22" s="3200"/>
      <c r="AJ22" s="3200">
        <v>683</v>
      </c>
      <c r="AK22" s="2602">
        <v>43102</v>
      </c>
      <c r="AL22" s="2604">
        <v>43465</v>
      </c>
      <c r="AM22" s="2184" t="s">
        <v>273</v>
      </c>
    </row>
    <row r="23" spans="1:39" ht="42.75" customHeight="1" x14ac:dyDescent="0.2">
      <c r="A23" s="424"/>
      <c r="B23" s="425"/>
      <c r="C23" s="253"/>
      <c r="D23" s="450"/>
      <c r="E23" s="253"/>
      <c r="F23" s="450"/>
      <c r="G23" s="2432"/>
      <c r="H23" s="3091"/>
      <c r="I23" s="3091"/>
      <c r="J23" s="3201"/>
      <c r="K23" s="3142"/>
      <c r="L23" s="3195"/>
      <c r="M23" s="3096"/>
      <c r="N23" s="2734"/>
      <c r="O23" s="3149"/>
      <c r="P23" s="3096"/>
      <c r="Q23" s="2302"/>
      <c r="R23" s="267" t="s">
        <v>293</v>
      </c>
      <c r="S23" s="456">
        <v>11000000</v>
      </c>
      <c r="T23" s="3136"/>
      <c r="U23" s="3083"/>
      <c r="V23" s="3200"/>
      <c r="W23" s="3200"/>
      <c r="X23" s="3200"/>
      <c r="Y23" s="3200"/>
      <c r="Z23" s="3200"/>
      <c r="AA23" s="3200"/>
      <c r="AB23" s="3200"/>
      <c r="AC23" s="3200"/>
      <c r="AD23" s="3200"/>
      <c r="AE23" s="3200"/>
      <c r="AF23" s="3200"/>
      <c r="AG23" s="3200"/>
      <c r="AH23" s="3200"/>
      <c r="AI23" s="3200"/>
      <c r="AJ23" s="3200"/>
      <c r="AK23" s="2603"/>
      <c r="AL23" s="2604"/>
      <c r="AM23" s="2184"/>
    </row>
    <row r="24" spans="1:39" ht="44.25" customHeight="1" x14ac:dyDescent="0.2">
      <c r="A24" s="424"/>
      <c r="B24" s="425"/>
      <c r="C24" s="253"/>
      <c r="D24" s="450"/>
      <c r="E24" s="253"/>
      <c r="F24" s="450"/>
      <c r="G24" s="2432"/>
      <c r="H24" s="3091"/>
      <c r="I24" s="3091"/>
      <c r="J24" s="3201"/>
      <c r="K24" s="3142"/>
      <c r="L24" s="3195"/>
      <c r="M24" s="3096"/>
      <c r="N24" s="2734"/>
      <c r="O24" s="3149"/>
      <c r="P24" s="3096"/>
      <c r="Q24" s="2302"/>
      <c r="R24" s="457" t="s">
        <v>294</v>
      </c>
      <c r="S24" s="456">
        <v>81190000</v>
      </c>
      <c r="T24" s="3136"/>
      <c r="U24" s="3083"/>
      <c r="V24" s="3200"/>
      <c r="W24" s="3200"/>
      <c r="X24" s="3200"/>
      <c r="Y24" s="3200"/>
      <c r="Z24" s="3200"/>
      <c r="AA24" s="3200"/>
      <c r="AB24" s="3200"/>
      <c r="AC24" s="3200"/>
      <c r="AD24" s="3200"/>
      <c r="AE24" s="3200"/>
      <c r="AF24" s="3200"/>
      <c r="AG24" s="3200"/>
      <c r="AH24" s="3200"/>
      <c r="AI24" s="3200"/>
      <c r="AJ24" s="3200"/>
      <c r="AK24" s="2603"/>
      <c r="AL24" s="2604"/>
      <c r="AM24" s="2184"/>
    </row>
    <row r="25" spans="1:39" ht="54" customHeight="1" x14ac:dyDescent="0.2">
      <c r="A25" s="424"/>
      <c r="B25" s="425"/>
      <c r="C25" s="253"/>
      <c r="D25" s="450"/>
      <c r="E25" s="253"/>
      <c r="F25" s="450"/>
      <c r="G25" s="2432"/>
      <c r="H25" s="3091"/>
      <c r="I25" s="3091"/>
      <c r="J25" s="3201"/>
      <c r="K25" s="3142"/>
      <c r="L25" s="3195"/>
      <c r="M25" s="3096"/>
      <c r="N25" s="2734"/>
      <c r="O25" s="3149"/>
      <c r="P25" s="3096"/>
      <c r="Q25" s="2302"/>
      <c r="R25" s="267" t="s">
        <v>295</v>
      </c>
      <c r="S25" s="456">
        <v>5500000</v>
      </c>
      <c r="T25" s="3136"/>
      <c r="U25" s="3083"/>
      <c r="V25" s="3200"/>
      <c r="W25" s="3200"/>
      <c r="X25" s="3200"/>
      <c r="Y25" s="3200"/>
      <c r="Z25" s="3200"/>
      <c r="AA25" s="3200"/>
      <c r="AB25" s="3200"/>
      <c r="AC25" s="3200"/>
      <c r="AD25" s="3200"/>
      <c r="AE25" s="3200"/>
      <c r="AF25" s="3200"/>
      <c r="AG25" s="3200"/>
      <c r="AH25" s="3200"/>
      <c r="AI25" s="3200"/>
      <c r="AJ25" s="3200"/>
      <c r="AK25" s="2603"/>
      <c r="AL25" s="2604"/>
      <c r="AM25" s="2184"/>
    </row>
    <row r="26" spans="1:39" ht="53.25" customHeight="1" x14ac:dyDescent="0.2">
      <c r="A26" s="424"/>
      <c r="B26" s="425"/>
      <c r="C26" s="253"/>
      <c r="D26" s="450"/>
      <c r="E26" s="253"/>
      <c r="F26" s="450"/>
      <c r="G26" s="2432"/>
      <c r="H26" s="3091"/>
      <c r="I26" s="3091"/>
      <c r="J26" s="3201"/>
      <c r="K26" s="3142"/>
      <c r="L26" s="3195"/>
      <c r="M26" s="3096"/>
      <c r="N26" s="2734"/>
      <c r="O26" s="3149"/>
      <c r="P26" s="3096"/>
      <c r="Q26" s="2302"/>
      <c r="R26" s="458" t="s">
        <v>296</v>
      </c>
      <c r="S26" s="456">
        <v>37180000</v>
      </c>
      <c r="T26" s="3136"/>
      <c r="U26" s="3083"/>
      <c r="V26" s="3200"/>
      <c r="W26" s="3200"/>
      <c r="X26" s="3200"/>
      <c r="Y26" s="3200"/>
      <c r="Z26" s="3200"/>
      <c r="AA26" s="3200"/>
      <c r="AB26" s="3200"/>
      <c r="AC26" s="3200"/>
      <c r="AD26" s="3200"/>
      <c r="AE26" s="3200"/>
      <c r="AF26" s="3200"/>
      <c r="AG26" s="3200"/>
      <c r="AH26" s="3200"/>
      <c r="AI26" s="3200"/>
      <c r="AJ26" s="3200"/>
      <c r="AK26" s="2603"/>
      <c r="AL26" s="2604"/>
      <c r="AM26" s="2184"/>
    </row>
    <row r="27" spans="1:39" ht="51" customHeight="1" x14ac:dyDescent="0.2">
      <c r="A27" s="424"/>
      <c r="B27" s="425"/>
      <c r="C27" s="253"/>
      <c r="D27" s="450"/>
      <c r="E27" s="253"/>
      <c r="F27" s="450"/>
      <c r="G27" s="2432"/>
      <c r="H27" s="3091"/>
      <c r="I27" s="3091"/>
      <c r="J27" s="3201"/>
      <c r="K27" s="3142"/>
      <c r="L27" s="3195"/>
      <c r="M27" s="3096"/>
      <c r="N27" s="2734"/>
      <c r="O27" s="3149"/>
      <c r="P27" s="3096"/>
      <c r="Q27" s="2302"/>
      <c r="R27" s="458" t="s">
        <v>297</v>
      </c>
      <c r="S27" s="456">
        <v>5610000</v>
      </c>
      <c r="T27" s="3136"/>
      <c r="U27" s="3083"/>
      <c r="V27" s="3200"/>
      <c r="W27" s="3200"/>
      <c r="X27" s="3200"/>
      <c r="Y27" s="3200"/>
      <c r="Z27" s="3200"/>
      <c r="AA27" s="3200"/>
      <c r="AB27" s="3200"/>
      <c r="AC27" s="3200"/>
      <c r="AD27" s="3200"/>
      <c r="AE27" s="3200"/>
      <c r="AF27" s="3200"/>
      <c r="AG27" s="3200"/>
      <c r="AH27" s="3200"/>
      <c r="AI27" s="3200"/>
      <c r="AJ27" s="3200"/>
      <c r="AK27" s="2603"/>
      <c r="AL27" s="2604"/>
      <c r="AM27" s="2184"/>
    </row>
    <row r="28" spans="1:39" ht="52.5" customHeight="1" x14ac:dyDescent="0.2">
      <c r="A28" s="424"/>
      <c r="B28" s="425"/>
      <c r="C28" s="253"/>
      <c r="D28" s="450"/>
      <c r="E28" s="253"/>
      <c r="F28" s="450"/>
      <c r="G28" s="2432"/>
      <c r="H28" s="3091"/>
      <c r="I28" s="3091"/>
      <c r="J28" s="3201"/>
      <c r="K28" s="3142"/>
      <c r="L28" s="3195"/>
      <c r="M28" s="3096"/>
      <c r="N28" s="2734"/>
      <c r="O28" s="3149"/>
      <c r="P28" s="3096"/>
      <c r="Q28" s="2297"/>
      <c r="R28" s="459" t="s">
        <v>298</v>
      </c>
      <c r="S28" s="456">
        <v>14520000</v>
      </c>
      <c r="T28" s="3136"/>
      <c r="U28" s="3083"/>
      <c r="V28" s="3200"/>
      <c r="W28" s="3200"/>
      <c r="X28" s="3200"/>
      <c r="Y28" s="3200"/>
      <c r="Z28" s="3200"/>
      <c r="AA28" s="3200"/>
      <c r="AB28" s="3200"/>
      <c r="AC28" s="3200"/>
      <c r="AD28" s="3200"/>
      <c r="AE28" s="3200"/>
      <c r="AF28" s="3200"/>
      <c r="AG28" s="3200"/>
      <c r="AH28" s="3200"/>
      <c r="AI28" s="3200"/>
      <c r="AJ28" s="3200"/>
      <c r="AK28" s="2603"/>
      <c r="AL28" s="2604"/>
      <c r="AM28" s="2184"/>
    </row>
    <row r="29" spans="1:39" ht="46.5" customHeight="1" x14ac:dyDescent="0.2">
      <c r="A29" s="424"/>
      <c r="B29" s="425"/>
      <c r="C29" s="253"/>
      <c r="D29" s="450"/>
      <c r="E29" s="253"/>
      <c r="F29" s="450"/>
      <c r="G29" s="2432"/>
      <c r="H29" s="3091"/>
      <c r="I29" s="3091"/>
      <c r="J29" s="3201"/>
      <c r="K29" s="3142"/>
      <c r="L29" s="3195"/>
      <c r="M29" s="3096"/>
      <c r="N29" s="2734"/>
      <c r="O29" s="3149"/>
      <c r="P29" s="3096"/>
      <c r="Q29" s="2296" t="s">
        <v>299</v>
      </c>
      <c r="R29" s="440" t="s">
        <v>300</v>
      </c>
      <c r="S29" s="456">
        <v>6000000</v>
      </c>
      <c r="T29" s="3136"/>
      <c r="U29" s="3083"/>
      <c r="V29" s="3200"/>
      <c r="W29" s="3200"/>
      <c r="X29" s="3200"/>
      <c r="Y29" s="3200"/>
      <c r="Z29" s="3200"/>
      <c r="AA29" s="3200"/>
      <c r="AB29" s="3200"/>
      <c r="AC29" s="3200"/>
      <c r="AD29" s="3200"/>
      <c r="AE29" s="3200"/>
      <c r="AF29" s="3200"/>
      <c r="AG29" s="3200"/>
      <c r="AH29" s="3200"/>
      <c r="AI29" s="3200"/>
      <c r="AJ29" s="3200"/>
      <c r="AK29" s="2603"/>
      <c r="AL29" s="2604"/>
      <c r="AM29" s="2184"/>
    </row>
    <row r="30" spans="1:39" ht="54.75" customHeight="1" x14ac:dyDescent="0.2">
      <c r="A30" s="424"/>
      <c r="B30" s="425"/>
      <c r="C30" s="253"/>
      <c r="D30" s="450"/>
      <c r="E30" s="253"/>
      <c r="F30" s="450"/>
      <c r="G30" s="2432"/>
      <c r="H30" s="3091"/>
      <c r="I30" s="3091"/>
      <c r="J30" s="3202"/>
      <c r="K30" s="3142"/>
      <c r="L30" s="3195"/>
      <c r="M30" s="3096"/>
      <c r="N30" s="2734"/>
      <c r="O30" s="3169"/>
      <c r="P30" s="3096"/>
      <c r="Q30" s="2302"/>
      <c r="R30" s="440" t="s">
        <v>301</v>
      </c>
      <c r="S30" s="439">
        <v>8000000</v>
      </c>
      <c r="T30" s="3136"/>
      <c r="U30" s="3083"/>
      <c r="V30" s="3200"/>
      <c r="W30" s="3200"/>
      <c r="X30" s="3200"/>
      <c r="Y30" s="3200"/>
      <c r="Z30" s="3200"/>
      <c r="AA30" s="3200"/>
      <c r="AB30" s="3200"/>
      <c r="AC30" s="3200"/>
      <c r="AD30" s="3200"/>
      <c r="AE30" s="3200"/>
      <c r="AF30" s="3200"/>
      <c r="AG30" s="3200"/>
      <c r="AH30" s="3200"/>
      <c r="AI30" s="3200"/>
      <c r="AJ30" s="3200"/>
      <c r="AK30" s="2603"/>
      <c r="AL30" s="2602"/>
      <c r="AM30" s="2184"/>
    </row>
    <row r="31" spans="1:39" ht="15.75" x14ac:dyDescent="0.2">
      <c r="A31" s="424"/>
      <c r="B31" s="425"/>
      <c r="C31" s="253"/>
      <c r="D31" s="450"/>
      <c r="E31" s="151">
        <v>59</v>
      </c>
      <c r="F31" s="433" t="s">
        <v>302</v>
      </c>
      <c r="G31" s="460"/>
      <c r="H31" s="435"/>
      <c r="I31" s="435"/>
      <c r="J31" s="434"/>
      <c r="K31" s="434"/>
      <c r="L31" s="434"/>
      <c r="M31" s="435"/>
      <c r="N31" s="434"/>
      <c r="O31" s="451"/>
      <c r="P31" s="435"/>
      <c r="Q31" s="461"/>
      <c r="R31" s="435" t="s">
        <v>303</v>
      </c>
      <c r="S31" s="452"/>
      <c r="T31" s="436"/>
      <c r="U31" s="435"/>
      <c r="V31" s="434"/>
      <c r="W31" s="434"/>
      <c r="X31" s="434"/>
      <c r="Y31" s="434"/>
      <c r="Z31" s="434"/>
      <c r="AA31" s="434"/>
      <c r="AB31" s="434"/>
      <c r="AC31" s="434"/>
      <c r="AD31" s="434"/>
      <c r="AE31" s="434"/>
      <c r="AF31" s="434"/>
      <c r="AG31" s="434"/>
      <c r="AH31" s="434"/>
      <c r="AI31" s="434"/>
      <c r="AJ31" s="434"/>
      <c r="AK31" s="434"/>
      <c r="AL31" s="434"/>
      <c r="AM31" s="453"/>
    </row>
    <row r="32" spans="1:39" ht="52.5" customHeight="1" x14ac:dyDescent="0.2">
      <c r="A32" s="424"/>
      <c r="B32" s="425"/>
      <c r="C32" s="253"/>
      <c r="D32" s="450"/>
      <c r="E32" s="462"/>
      <c r="F32" s="463"/>
      <c r="G32" s="2493">
        <v>184</v>
      </c>
      <c r="H32" s="3191" t="s">
        <v>304</v>
      </c>
      <c r="I32" s="2783" t="s">
        <v>305</v>
      </c>
      <c r="J32" s="3006">
        <v>1</v>
      </c>
      <c r="K32" s="465"/>
      <c r="L32" s="3194" t="s">
        <v>306</v>
      </c>
      <c r="M32" s="3197" t="s">
        <v>307</v>
      </c>
      <c r="N32" s="3076">
        <f>SUM(S32:S39)/O32</f>
        <v>0.84615384615384615</v>
      </c>
      <c r="O32" s="2715">
        <f>SUM(S32:S45)</f>
        <v>520000000</v>
      </c>
      <c r="P32" s="3190" t="s">
        <v>308</v>
      </c>
      <c r="Q32" s="2277" t="s">
        <v>309</v>
      </c>
      <c r="R32" s="466" t="s">
        <v>310</v>
      </c>
      <c r="S32" s="439">
        <v>14520000</v>
      </c>
      <c r="T32" s="3135"/>
      <c r="U32" s="3135"/>
      <c r="V32" s="3189">
        <f>(66444+22325)*30%+(156158*1%)</f>
        <v>28192.28</v>
      </c>
      <c r="W32" s="3189">
        <f>(69670+23382)*30%+(149648*1%)</f>
        <v>29412.079999999998</v>
      </c>
      <c r="X32" s="2931">
        <f>(136114*30%)</f>
        <v>40834.199999999997</v>
      </c>
      <c r="Y32" s="3067">
        <f>(45707*30%)</f>
        <v>13712.1</v>
      </c>
      <c r="Z32" s="3067">
        <f>(305806*1%)</f>
        <v>3058.06</v>
      </c>
      <c r="AA32" s="2931"/>
      <c r="AB32" s="2931"/>
      <c r="AC32" s="2931"/>
      <c r="AD32" s="2931"/>
      <c r="AE32" s="2931"/>
      <c r="AF32" s="2931"/>
      <c r="AG32" s="2931"/>
      <c r="AH32" s="2931"/>
      <c r="AI32" s="2931"/>
      <c r="AJ32" s="2931"/>
      <c r="AK32" s="3117">
        <v>43102</v>
      </c>
      <c r="AL32" s="3117">
        <v>43465</v>
      </c>
      <c r="AM32" s="2184" t="s">
        <v>273</v>
      </c>
    </row>
    <row r="33" spans="1:255" ht="37.5" customHeight="1" x14ac:dyDescent="0.2">
      <c r="A33" s="424"/>
      <c r="B33" s="425"/>
      <c r="C33" s="253"/>
      <c r="D33" s="450"/>
      <c r="E33" s="462"/>
      <c r="F33" s="463"/>
      <c r="G33" s="2493"/>
      <c r="H33" s="3192"/>
      <c r="I33" s="2793"/>
      <c r="J33" s="3040"/>
      <c r="K33" s="467"/>
      <c r="L33" s="3195"/>
      <c r="M33" s="3198"/>
      <c r="N33" s="2734"/>
      <c r="O33" s="2715"/>
      <c r="P33" s="3190"/>
      <c r="Q33" s="2277"/>
      <c r="R33" s="468" t="s">
        <v>311</v>
      </c>
      <c r="S33" s="443">
        <v>12000000</v>
      </c>
      <c r="T33" s="3136"/>
      <c r="U33" s="3136"/>
      <c r="V33" s="3189"/>
      <c r="W33" s="3189"/>
      <c r="X33" s="2931"/>
      <c r="Y33" s="3067"/>
      <c r="Z33" s="3067"/>
      <c r="AA33" s="2931"/>
      <c r="AB33" s="2931"/>
      <c r="AC33" s="2931"/>
      <c r="AD33" s="2931"/>
      <c r="AE33" s="2931"/>
      <c r="AF33" s="2931"/>
      <c r="AG33" s="2931"/>
      <c r="AH33" s="2931"/>
      <c r="AI33" s="2931"/>
      <c r="AJ33" s="2931"/>
      <c r="AK33" s="3117"/>
      <c r="AL33" s="3117"/>
      <c r="AM33" s="2184"/>
    </row>
    <row r="34" spans="1:255" ht="51" customHeight="1" x14ac:dyDescent="0.2">
      <c r="A34" s="424"/>
      <c r="B34" s="425"/>
      <c r="C34" s="253"/>
      <c r="D34" s="450"/>
      <c r="E34" s="462"/>
      <c r="F34" s="463"/>
      <c r="G34" s="2493"/>
      <c r="H34" s="3192"/>
      <c r="I34" s="2793"/>
      <c r="J34" s="3040"/>
      <c r="K34" s="467"/>
      <c r="L34" s="3195"/>
      <c r="M34" s="3198"/>
      <c r="N34" s="2734"/>
      <c r="O34" s="2715"/>
      <c r="P34" s="3190"/>
      <c r="Q34" s="2277"/>
      <c r="R34" s="469" t="s">
        <v>312</v>
      </c>
      <c r="S34" s="456">
        <v>25040000</v>
      </c>
      <c r="T34" s="3136"/>
      <c r="U34" s="3136"/>
      <c r="V34" s="3189"/>
      <c r="W34" s="3189"/>
      <c r="X34" s="2931"/>
      <c r="Y34" s="3067"/>
      <c r="Z34" s="3067"/>
      <c r="AA34" s="2931"/>
      <c r="AB34" s="2931"/>
      <c r="AC34" s="2931"/>
      <c r="AD34" s="2931"/>
      <c r="AE34" s="2931"/>
      <c r="AF34" s="2931"/>
      <c r="AG34" s="2931"/>
      <c r="AH34" s="2931"/>
      <c r="AI34" s="2931"/>
      <c r="AJ34" s="2931"/>
      <c r="AK34" s="3117"/>
      <c r="AL34" s="3117"/>
      <c r="AM34" s="2184"/>
    </row>
    <row r="35" spans="1:255" ht="61.5" customHeight="1" x14ac:dyDescent="0.2">
      <c r="A35" s="424"/>
      <c r="B35" s="425"/>
      <c r="C35" s="253"/>
      <c r="D35" s="450"/>
      <c r="E35" s="462"/>
      <c r="F35" s="463"/>
      <c r="G35" s="2493"/>
      <c r="H35" s="3192"/>
      <c r="I35" s="2793"/>
      <c r="J35" s="3040"/>
      <c r="K35" s="467"/>
      <c r="L35" s="3195"/>
      <c r="M35" s="3198"/>
      <c r="N35" s="2734"/>
      <c r="O35" s="2715"/>
      <c r="P35" s="3190"/>
      <c r="Q35" s="2277"/>
      <c r="R35" s="470" t="s">
        <v>313</v>
      </c>
      <c r="S35" s="456">
        <v>5400000</v>
      </c>
      <c r="T35" s="3136"/>
      <c r="U35" s="3136"/>
      <c r="V35" s="3189"/>
      <c r="W35" s="3189"/>
      <c r="X35" s="2931"/>
      <c r="Y35" s="3067"/>
      <c r="Z35" s="3067"/>
      <c r="AA35" s="2931"/>
      <c r="AB35" s="2931"/>
      <c r="AC35" s="2931"/>
      <c r="AD35" s="2931"/>
      <c r="AE35" s="2931"/>
      <c r="AF35" s="2931"/>
      <c r="AG35" s="2931"/>
      <c r="AH35" s="2931"/>
      <c r="AI35" s="2931"/>
      <c r="AJ35" s="2931"/>
      <c r="AK35" s="3117"/>
      <c r="AL35" s="3117"/>
      <c r="AM35" s="2184"/>
    </row>
    <row r="36" spans="1:255" ht="57" customHeight="1" x14ac:dyDescent="0.2">
      <c r="A36" s="424"/>
      <c r="B36" s="425"/>
      <c r="C36" s="253"/>
      <c r="D36" s="450"/>
      <c r="E36" s="462"/>
      <c r="F36" s="463"/>
      <c r="G36" s="2493"/>
      <c r="H36" s="3192"/>
      <c r="I36" s="2793"/>
      <c r="J36" s="3040"/>
      <c r="K36" s="471"/>
      <c r="L36" s="3195"/>
      <c r="M36" s="3198"/>
      <c r="N36" s="2734"/>
      <c r="O36" s="2715"/>
      <c r="P36" s="3190"/>
      <c r="Q36" s="2277"/>
      <c r="R36" s="472" t="s">
        <v>314</v>
      </c>
      <c r="S36" s="456">
        <v>14520000</v>
      </c>
      <c r="T36" s="3136"/>
      <c r="U36" s="3136"/>
      <c r="V36" s="3189"/>
      <c r="W36" s="3189"/>
      <c r="X36" s="2931"/>
      <c r="Y36" s="3067"/>
      <c r="Z36" s="3067"/>
      <c r="AA36" s="2931"/>
      <c r="AB36" s="2931"/>
      <c r="AC36" s="2931"/>
      <c r="AD36" s="2931"/>
      <c r="AE36" s="2931"/>
      <c r="AF36" s="2931"/>
      <c r="AG36" s="2931"/>
      <c r="AH36" s="2931"/>
      <c r="AI36" s="2931"/>
      <c r="AJ36" s="2931"/>
      <c r="AK36" s="3117"/>
      <c r="AL36" s="3117"/>
      <c r="AM36" s="2184"/>
    </row>
    <row r="37" spans="1:255" ht="82.5" customHeight="1" x14ac:dyDescent="0.2">
      <c r="A37" s="424"/>
      <c r="B37" s="425"/>
      <c r="C37" s="253"/>
      <c r="D37" s="450"/>
      <c r="E37" s="462"/>
      <c r="F37" s="463"/>
      <c r="G37" s="2493"/>
      <c r="H37" s="3192"/>
      <c r="I37" s="2793"/>
      <c r="J37" s="3040"/>
      <c r="K37" s="467"/>
      <c r="L37" s="3195"/>
      <c r="M37" s="3198"/>
      <c r="N37" s="2734"/>
      <c r="O37" s="2715"/>
      <c r="P37" s="3190"/>
      <c r="Q37" s="2277"/>
      <c r="R37" s="472" t="s">
        <v>315</v>
      </c>
      <c r="S37" s="456">
        <v>14520000</v>
      </c>
      <c r="T37" s="3136"/>
      <c r="U37" s="3136"/>
      <c r="V37" s="3189"/>
      <c r="W37" s="3189"/>
      <c r="X37" s="2931"/>
      <c r="Y37" s="3067"/>
      <c r="Z37" s="3067"/>
      <c r="AA37" s="2931"/>
      <c r="AB37" s="2931"/>
      <c r="AC37" s="2931"/>
      <c r="AD37" s="2931"/>
      <c r="AE37" s="2931"/>
      <c r="AF37" s="2931"/>
      <c r="AG37" s="2931"/>
      <c r="AH37" s="2931"/>
      <c r="AI37" s="2931"/>
      <c r="AJ37" s="2931"/>
      <c r="AK37" s="3117"/>
      <c r="AL37" s="3117"/>
      <c r="AM37" s="2184"/>
    </row>
    <row r="38" spans="1:255" ht="87.75" customHeight="1" x14ac:dyDescent="0.2">
      <c r="A38" s="424"/>
      <c r="B38" s="425"/>
      <c r="C38" s="253"/>
      <c r="D38" s="450"/>
      <c r="E38" s="462"/>
      <c r="F38" s="463"/>
      <c r="G38" s="2493"/>
      <c r="H38" s="3192"/>
      <c r="I38" s="2793"/>
      <c r="J38" s="3040"/>
      <c r="K38" s="467" t="s">
        <v>316</v>
      </c>
      <c r="L38" s="3195"/>
      <c r="M38" s="3198"/>
      <c r="N38" s="2734"/>
      <c r="O38" s="2715"/>
      <c r="P38" s="3190"/>
      <c r="Q38" s="2277"/>
      <c r="R38" s="466" t="s">
        <v>317</v>
      </c>
      <c r="S38" s="456">
        <f>0+350000000</f>
        <v>350000000</v>
      </c>
      <c r="T38" s="473" t="s">
        <v>67</v>
      </c>
      <c r="U38" s="473" t="s">
        <v>318</v>
      </c>
      <c r="V38" s="3189"/>
      <c r="W38" s="3189"/>
      <c r="X38" s="2931"/>
      <c r="Y38" s="3067"/>
      <c r="Z38" s="3067"/>
      <c r="AA38" s="2931"/>
      <c r="AB38" s="2931"/>
      <c r="AC38" s="2931"/>
      <c r="AD38" s="2931"/>
      <c r="AE38" s="2931"/>
      <c r="AF38" s="2931"/>
      <c r="AG38" s="2931"/>
      <c r="AH38" s="2931"/>
      <c r="AI38" s="2931"/>
      <c r="AJ38" s="2931"/>
      <c r="AK38" s="3117"/>
      <c r="AL38" s="3117"/>
      <c r="AM38" s="2184"/>
    </row>
    <row r="39" spans="1:255" ht="45.75" customHeight="1" x14ac:dyDescent="0.2">
      <c r="A39" s="424"/>
      <c r="B39" s="425"/>
      <c r="C39" s="253"/>
      <c r="D39" s="450"/>
      <c r="E39" s="462"/>
      <c r="F39" s="463"/>
      <c r="G39" s="2493"/>
      <c r="H39" s="3193"/>
      <c r="I39" s="2784"/>
      <c r="J39" s="3078"/>
      <c r="K39" s="467"/>
      <c r="L39" s="3195"/>
      <c r="M39" s="3198"/>
      <c r="N39" s="3077"/>
      <c r="O39" s="2715"/>
      <c r="P39" s="3190"/>
      <c r="Q39" s="2277"/>
      <c r="R39" s="466" t="s">
        <v>319</v>
      </c>
      <c r="S39" s="456">
        <v>4000000</v>
      </c>
      <c r="T39" s="3136"/>
      <c r="U39" s="3136"/>
      <c r="V39" s="3189"/>
      <c r="W39" s="3189"/>
      <c r="X39" s="2931"/>
      <c r="Y39" s="3067"/>
      <c r="Z39" s="3067"/>
      <c r="AA39" s="2931"/>
      <c r="AB39" s="2931"/>
      <c r="AC39" s="2931"/>
      <c r="AD39" s="2931"/>
      <c r="AE39" s="2931"/>
      <c r="AF39" s="2931"/>
      <c r="AG39" s="2931"/>
      <c r="AH39" s="2931"/>
      <c r="AI39" s="2931"/>
      <c r="AJ39" s="2931"/>
      <c r="AK39" s="3117"/>
      <c r="AL39" s="3117"/>
      <c r="AM39" s="2184"/>
    </row>
    <row r="40" spans="1:255" ht="57" customHeight="1" x14ac:dyDescent="0.2">
      <c r="A40" s="424"/>
      <c r="B40" s="425"/>
      <c r="C40" s="253"/>
      <c r="D40" s="450"/>
      <c r="E40" s="462"/>
      <c r="F40" s="474"/>
      <c r="G40" s="2355">
        <v>185</v>
      </c>
      <c r="H40" s="2284" t="s">
        <v>320</v>
      </c>
      <c r="I40" s="2783" t="s">
        <v>321</v>
      </c>
      <c r="J40" s="3006">
        <v>1</v>
      </c>
      <c r="K40" s="467" t="s">
        <v>322</v>
      </c>
      <c r="L40" s="3195"/>
      <c r="M40" s="3198"/>
      <c r="N40" s="3076">
        <f>SUM(S40:S42)/O32</f>
        <v>7.6923076923076927E-2</v>
      </c>
      <c r="O40" s="2715"/>
      <c r="P40" s="3150"/>
      <c r="Q40" s="3187" t="s">
        <v>323</v>
      </c>
      <c r="R40" s="267" t="s">
        <v>324</v>
      </c>
      <c r="S40" s="443">
        <v>25000000</v>
      </c>
      <c r="T40" s="3136"/>
      <c r="U40" s="3136"/>
      <c r="V40" s="3189"/>
      <c r="W40" s="3189"/>
      <c r="X40" s="2931"/>
      <c r="Y40" s="3067"/>
      <c r="Z40" s="3067"/>
      <c r="AA40" s="2931"/>
      <c r="AB40" s="2931"/>
      <c r="AC40" s="2931"/>
      <c r="AD40" s="2931"/>
      <c r="AE40" s="2931"/>
      <c r="AF40" s="2931"/>
      <c r="AG40" s="2931"/>
      <c r="AH40" s="2931"/>
      <c r="AI40" s="2931"/>
      <c r="AJ40" s="2931"/>
      <c r="AK40" s="3117"/>
      <c r="AL40" s="3117"/>
      <c r="AM40" s="2184"/>
    </row>
    <row r="41" spans="1:255" ht="46.5" customHeight="1" x14ac:dyDescent="0.2">
      <c r="A41" s="424"/>
      <c r="B41" s="425"/>
      <c r="C41" s="253"/>
      <c r="D41" s="450"/>
      <c r="E41" s="462"/>
      <c r="F41" s="474"/>
      <c r="G41" s="2355"/>
      <c r="H41" s="3091"/>
      <c r="I41" s="2793"/>
      <c r="J41" s="3040"/>
      <c r="K41" s="467"/>
      <c r="L41" s="3195"/>
      <c r="M41" s="3198"/>
      <c r="N41" s="2734"/>
      <c r="O41" s="2715"/>
      <c r="P41" s="3150"/>
      <c r="Q41" s="3187"/>
      <c r="R41" s="267" t="s">
        <v>325</v>
      </c>
      <c r="S41" s="443">
        <v>10560000</v>
      </c>
      <c r="T41" s="3136"/>
      <c r="U41" s="3136"/>
      <c r="V41" s="3189"/>
      <c r="W41" s="3189"/>
      <c r="X41" s="2931"/>
      <c r="Y41" s="3067"/>
      <c r="Z41" s="3067"/>
      <c r="AA41" s="2931"/>
      <c r="AB41" s="2931"/>
      <c r="AC41" s="2931"/>
      <c r="AD41" s="2931"/>
      <c r="AE41" s="2931"/>
      <c r="AF41" s="2931"/>
      <c r="AG41" s="2931"/>
      <c r="AH41" s="2931"/>
      <c r="AI41" s="2931"/>
      <c r="AJ41" s="2931"/>
      <c r="AK41" s="3117"/>
      <c r="AL41" s="3117"/>
      <c r="AM41" s="2184"/>
    </row>
    <row r="42" spans="1:255" ht="53.25" customHeight="1" x14ac:dyDescent="0.2">
      <c r="A42" s="424"/>
      <c r="B42" s="425"/>
      <c r="C42" s="253"/>
      <c r="D42" s="450"/>
      <c r="E42" s="462"/>
      <c r="F42" s="474"/>
      <c r="G42" s="2417"/>
      <c r="H42" s="3106"/>
      <c r="I42" s="2784"/>
      <c r="J42" s="3078"/>
      <c r="K42" s="467"/>
      <c r="L42" s="3195"/>
      <c r="M42" s="3198"/>
      <c r="N42" s="3077"/>
      <c r="O42" s="2715"/>
      <c r="P42" s="3150"/>
      <c r="Q42" s="3188"/>
      <c r="R42" s="267" t="s">
        <v>326</v>
      </c>
      <c r="S42" s="443">
        <v>4440000</v>
      </c>
      <c r="T42" s="3136"/>
      <c r="U42" s="3136"/>
      <c r="V42" s="3189"/>
      <c r="W42" s="3189"/>
      <c r="X42" s="2931"/>
      <c r="Y42" s="3067"/>
      <c r="Z42" s="3067"/>
      <c r="AA42" s="2931"/>
      <c r="AB42" s="2931"/>
      <c r="AC42" s="2931"/>
      <c r="AD42" s="2931"/>
      <c r="AE42" s="2931"/>
      <c r="AF42" s="2931"/>
      <c r="AG42" s="2931"/>
      <c r="AH42" s="2931"/>
      <c r="AI42" s="2931"/>
      <c r="AJ42" s="2931"/>
      <c r="AK42" s="3117"/>
      <c r="AL42" s="3117"/>
      <c r="AM42" s="2184"/>
    </row>
    <row r="43" spans="1:255" ht="85.5" customHeight="1" x14ac:dyDescent="0.2">
      <c r="A43" s="424"/>
      <c r="B43" s="425"/>
      <c r="C43" s="253"/>
      <c r="D43" s="450"/>
      <c r="E43" s="462"/>
      <c r="F43" s="463"/>
      <c r="G43" s="2493">
        <v>186</v>
      </c>
      <c r="H43" s="2283" t="s">
        <v>327</v>
      </c>
      <c r="I43" s="2823" t="s">
        <v>328</v>
      </c>
      <c r="J43" s="2931">
        <v>1</v>
      </c>
      <c r="K43" s="467"/>
      <c r="L43" s="3195"/>
      <c r="M43" s="3198"/>
      <c r="N43" s="2714">
        <f>SUM(S43:S45)/O32</f>
        <v>7.6923076923076927E-2</v>
      </c>
      <c r="O43" s="2715"/>
      <c r="P43" s="3150"/>
      <c r="Q43" s="3186" t="s">
        <v>329</v>
      </c>
      <c r="R43" s="475" t="s">
        <v>330</v>
      </c>
      <c r="S43" s="443">
        <v>25000000</v>
      </c>
      <c r="T43" s="3136"/>
      <c r="U43" s="3136"/>
      <c r="V43" s="3189"/>
      <c r="W43" s="3189"/>
      <c r="X43" s="2931"/>
      <c r="Y43" s="3067"/>
      <c r="Z43" s="3067"/>
      <c r="AA43" s="2931"/>
      <c r="AB43" s="2931"/>
      <c r="AC43" s="2931"/>
      <c r="AD43" s="2931"/>
      <c r="AE43" s="2931"/>
      <c r="AF43" s="2931"/>
      <c r="AG43" s="2931"/>
      <c r="AH43" s="2931"/>
      <c r="AI43" s="2931"/>
      <c r="AJ43" s="2931"/>
      <c r="AK43" s="3117"/>
      <c r="AL43" s="3117"/>
      <c r="AM43" s="2184"/>
    </row>
    <row r="44" spans="1:255" ht="45" x14ac:dyDescent="0.2">
      <c r="A44" s="424"/>
      <c r="B44" s="425"/>
      <c r="C44" s="253"/>
      <c r="D44" s="450"/>
      <c r="E44" s="462"/>
      <c r="F44" s="463"/>
      <c r="G44" s="2493"/>
      <c r="H44" s="2283"/>
      <c r="I44" s="2823"/>
      <c r="J44" s="2931"/>
      <c r="K44" s="467"/>
      <c r="L44" s="3195"/>
      <c r="M44" s="3198"/>
      <c r="N44" s="2714"/>
      <c r="O44" s="2715"/>
      <c r="P44" s="3150"/>
      <c r="Q44" s="3187"/>
      <c r="R44" s="475" t="s">
        <v>331</v>
      </c>
      <c r="S44" s="443">
        <v>6880000</v>
      </c>
      <c r="T44" s="3136"/>
      <c r="U44" s="3136"/>
      <c r="V44" s="3189"/>
      <c r="W44" s="3189"/>
      <c r="X44" s="2931"/>
      <c r="Y44" s="3067"/>
      <c r="Z44" s="3067"/>
      <c r="AA44" s="2931"/>
      <c r="AB44" s="2931"/>
      <c r="AC44" s="2931"/>
      <c r="AD44" s="2931"/>
      <c r="AE44" s="2931"/>
      <c r="AF44" s="2931"/>
      <c r="AG44" s="2931"/>
      <c r="AH44" s="2931"/>
      <c r="AI44" s="2931"/>
      <c r="AJ44" s="2931"/>
      <c r="AK44" s="3117"/>
      <c r="AL44" s="3117"/>
      <c r="AM44" s="2184"/>
    </row>
    <row r="45" spans="1:255" ht="75" x14ac:dyDescent="0.2">
      <c r="A45" s="424"/>
      <c r="B45" s="425"/>
      <c r="C45" s="253"/>
      <c r="D45" s="450"/>
      <c r="E45" s="462"/>
      <c r="F45" s="463"/>
      <c r="G45" s="2493"/>
      <c r="H45" s="2283"/>
      <c r="I45" s="2823"/>
      <c r="J45" s="2931"/>
      <c r="K45" s="476"/>
      <c r="L45" s="3196"/>
      <c r="M45" s="3199"/>
      <c r="N45" s="2714"/>
      <c r="O45" s="2715"/>
      <c r="P45" s="3150"/>
      <c r="Q45" s="3188"/>
      <c r="R45" s="477" t="s">
        <v>332</v>
      </c>
      <c r="S45" s="443">
        <v>8120000</v>
      </c>
      <c r="T45" s="3163"/>
      <c r="U45" s="3163"/>
      <c r="V45" s="3189"/>
      <c r="W45" s="3189"/>
      <c r="X45" s="2931"/>
      <c r="Y45" s="3067"/>
      <c r="Z45" s="3067"/>
      <c r="AA45" s="2931"/>
      <c r="AB45" s="2931"/>
      <c r="AC45" s="2931"/>
      <c r="AD45" s="2931"/>
      <c r="AE45" s="2931"/>
      <c r="AF45" s="2931"/>
      <c r="AG45" s="2931"/>
      <c r="AH45" s="2931"/>
      <c r="AI45" s="2931"/>
      <c r="AJ45" s="2931"/>
      <c r="AK45" s="3117"/>
      <c r="AL45" s="3117"/>
      <c r="AM45" s="2184"/>
    </row>
    <row r="46" spans="1:255" ht="15.75" x14ac:dyDescent="0.2">
      <c r="A46" s="424"/>
      <c r="B46" s="425"/>
      <c r="C46" s="253"/>
      <c r="D46" s="450"/>
      <c r="E46" s="478">
        <v>60</v>
      </c>
      <c r="F46" s="433" t="s">
        <v>333</v>
      </c>
      <c r="G46" s="434"/>
      <c r="H46" s="435"/>
      <c r="I46" s="435"/>
      <c r="J46" s="434"/>
      <c r="K46" s="434"/>
      <c r="L46" s="434"/>
      <c r="M46" s="435"/>
      <c r="N46" s="434"/>
      <c r="O46" s="451"/>
      <c r="P46" s="435"/>
      <c r="Q46" s="435"/>
      <c r="R46" s="435"/>
      <c r="S46" s="479"/>
      <c r="T46" s="436"/>
      <c r="U46" s="435"/>
      <c r="V46" s="434"/>
      <c r="W46" s="434"/>
      <c r="X46" s="434"/>
      <c r="Y46" s="434"/>
      <c r="Z46" s="434"/>
      <c r="AA46" s="434"/>
      <c r="AB46" s="434"/>
      <c r="AC46" s="434"/>
      <c r="AD46" s="434"/>
      <c r="AE46" s="434"/>
      <c r="AF46" s="434"/>
      <c r="AG46" s="434"/>
      <c r="AH46" s="434"/>
      <c r="AI46" s="434"/>
      <c r="AJ46" s="434"/>
      <c r="AK46" s="434"/>
      <c r="AL46" s="434"/>
      <c r="AM46" s="453"/>
    </row>
    <row r="47" spans="1:255" ht="52.5" customHeight="1" x14ac:dyDescent="0.2">
      <c r="A47" s="424"/>
      <c r="B47" s="425"/>
      <c r="C47" s="253"/>
      <c r="D47" s="450"/>
      <c r="E47" s="239"/>
      <c r="F47" s="454"/>
      <c r="G47" s="2354">
        <v>187</v>
      </c>
      <c r="H47" s="2284" t="s">
        <v>334</v>
      </c>
      <c r="I47" s="2296" t="s">
        <v>335</v>
      </c>
      <c r="J47" s="3174">
        <v>1</v>
      </c>
      <c r="K47" s="3141" t="s">
        <v>336</v>
      </c>
      <c r="L47" s="3130" t="s">
        <v>337</v>
      </c>
      <c r="M47" s="3096" t="s">
        <v>338</v>
      </c>
      <c r="N47" s="3177">
        <f>SUM(S47:S50)/O47</f>
        <v>0.24752475247524752</v>
      </c>
      <c r="O47" s="3149">
        <f>SUM(S47:S58)</f>
        <v>101000000</v>
      </c>
      <c r="P47" s="3096" t="s">
        <v>339</v>
      </c>
      <c r="Q47" s="2296" t="s">
        <v>340</v>
      </c>
      <c r="R47" s="267" t="s">
        <v>341</v>
      </c>
      <c r="S47" s="443">
        <v>7920000</v>
      </c>
      <c r="T47" s="3083" t="s">
        <v>342</v>
      </c>
      <c r="U47" s="3104" t="s">
        <v>55</v>
      </c>
      <c r="V47" s="3183">
        <v>10393</v>
      </c>
      <c r="W47" s="3062">
        <v>9467</v>
      </c>
      <c r="X47" s="3006"/>
      <c r="Y47" s="3006">
        <v>11780</v>
      </c>
      <c r="Z47" s="3006">
        <v>7897</v>
      </c>
      <c r="AA47" s="3006"/>
      <c r="AB47" s="3180" t="s">
        <v>343</v>
      </c>
      <c r="AC47" s="3006">
        <v>103</v>
      </c>
      <c r="AD47" s="2222"/>
      <c r="AE47" s="2222"/>
      <c r="AF47" s="2222"/>
      <c r="AG47" s="2222"/>
      <c r="AH47" s="2222"/>
      <c r="AI47" s="2222">
        <v>80</v>
      </c>
      <c r="AJ47" s="2222"/>
      <c r="AK47" s="2811">
        <v>43102</v>
      </c>
      <c r="AL47" s="2604">
        <v>43465</v>
      </c>
      <c r="AM47" s="2184" t="s">
        <v>273</v>
      </c>
      <c r="AN47" s="423"/>
      <c r="AO47" s="423"/>
      <c r="AP47" s="423"/>
      <c r="AQ47" s="423"/>
      <c r="AR47" s="423"/>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0"/>
      <c r="BY47" s="170"/>
      <c r="BZ47" s="170"/>
      <c r="CA47" s="170"/>
      <c r="CB47" s="170"/>
      <c r="CC47" s="170"/>
      <c r="CD47" s="170"/>
      <c r="CE47" s="170"/>
      <c r="CF47" s="170"/>
      <c r="CG47" s="170"/>
      <c r="CH47" s="170"/>
      <c r="CI47" s="170"/>
      <c r="CJ47" s="170"/>
      <c r="CK47" s="170"/>
      <c r="CL47" s="170"/>
      <c r="CM47" s="170"/>
      <c r="CN47" s="170"/>
      <c r="CO47" s="170"/>
      <c r="CP47" s="170"/>
      <c r="CQ47" s="170"/>
      <c r="CR47" s="170"/>
      <c r="CS47" s="170"/>
      <c r="CT47" s="170"/>
      <c r="CU47" s="170"/>
      <c r="CV47" s="170"/>
      <c r="CW47" s="170"/>
      <c r="CX47" s="170"/>
      <c r="CY47" s="170"/>
      <c r="CZ47" s="170"/>
      <c r="DA47" s="170"/>
      <c r="DB47" s="170"/>
      <c r="DC47" s="170"/>
      <c r="DD47" s="170"/>
      <c r="DE47" s="170"/>
      <c r="DF47" s="170"/>
      <c r="DG47" s="170"/>
      <c r="DH47" s="170"/>
      <c r="DI47" s="170"/>
      <c r="DJ47" s="170"/>
      <c r="DK47" s="170"/>
      <c r="DL47" s="170"/>
      <c r="DM47" s="170"/>
      <c r="DN47" s="170"/>
      <c r="DO47" s="170"/>
      <c r="DP47" s="170"/>
      <c r="DQ47" s="170"/>
      <c r="DR47" s="170"/>
      <c r="DS47" s="170"/>
      <c r="DT47" s="170"/>
      <c r="DU47" s="170"/>
      <c r="DV47" s="170"/>
      <c r="DW47" s="170"/>
      <c r="DX47" s="170"/>
      <c r="DY47" s="170"/>
      <c r="DZ47" s="170"/>
      <c r="EA47" s="170"/>
      <c r="EB47" s="170"/>
      <c r="EC47" s="170"/>
      <c r="ED47" s="170"/>
      <c r="EE47" s="170"/>
      <c r="EF47" s="170"/>
      <c r="EG47" s="170"/>
      <c r="EH47" s="170"/>
      <c r="EI47" s="170"/>
      <c r="EJ47" s="170"/>
      <c r="EK47" s="170"/>
      <c r="EL47" s="170"/>
      <c r="EM47" s="170"/>
      <c r="EN47" s="170"/>
      <c r="EO47" s="170"/>
      <c r="EP47" s="170"/>
      <c r="EQ47" s="170"/>
      <c r="ER47" s="170"/>
      <c r="ES47" s="170"/>
      <c r="ET47" s="170"/>
      <c r="EU47" s="170"/>
      <c r="EV47" s="170"/>
      <c r="EW47" s="170"/>
      <c r="EX47" s="170"/>
      <c r="EY47" s="170"/>
      <c r="EZ47" s="170"/>
      <c r="FA47" s="170"/>
      <c r="FB47" s="170"/>
      <c r="FC47" s="170"/>
      <c r="FD47" s="170"/>
      <c r="FE47" s="170"/>
      <c r="FF47" s="170"/>
      <c r="FG47" s="170"/>
      <c r="FH47" s="170"/>
      <c r="FI47" s="170"/>
      <c r="FJ47" s="170"/>
      <c r="FK47" s="170"/>
      <c r="FL47" s="170"/>
      <c r="FM47" s="170"/>
      <c r="FN47" s="170"/>
      <c r="FO47" s="170"/>
      <c r="FP47" s="170"/>
      <c r="FQ47" s="170"/>
      <c r="FR47" s="170"/>
      <c r="FS47" s="170"/>
      <c r="FT47" s="170"/>
      <c r="FU47" s="170"/>
      <c r="FV47" s="170"/>
      <c r="FW47" s="170"/>
      <c r="FX47" s="170"/>
      <c r="FY47" s="170"/>
      <c r="FZ47" s="170"/>
      <c r="GA47" s="170"/>
      <c r="GB47" s="170"/>
      <c r="GC47" s="170"/>
      <c r="GD47" s="170"/>
      <c r="GE47" s="170"/>
      <c r="GF47" s="170"/>
      <c r="GG47" s="170"/>
      <c r="GH47" s="170"/>
      <c r="GI47" s="170"/>
      <c r="GJ47" s="170"/>
      <c r="GK47" s="170"/>
      <c r="GL47" s="170"/>
      <c r="GM47" s="170"/>
      <c r="GN47" s="170"/>
      <c r="GO47" s="170"/>
      <c r="GP47" s="170"/>
      <c r="GQ47" s="170"/>
      <c r="GR47" s="170"/>
      <c r="GS47" s="170"/>
      <c r="GT47" s="170"/>
      <c r="GU47" s="170"/>
      <c r="GV47" s="170"/>
      <c r="GW47" s="170"/>
      <c r="GX47" s="170"/>
      <c r="GY47" s="170"/>
      <c r="GZ47" s="170"/>
      <c r="HA47" s="170"/>
      <c r="HB47" s="170"/>
      <c r="HC47" s="170"/>
      <c r="HD47" s="170"/>
      <c r="HE47" s="170"/>
      <c r="HF47" s="170"/>
      <c r="HG47" s="170"/>
      <c r="HH47" s="170"/>
      <c r="HI47" s="170"/>
      <c r="HJ47" s="170"/>
      <c r="HK47" s="170"/>
      <c r="HL47" s="170"/>
      <c r="HM47" s="170"/>
      <c r="HN47" s="170"/>
      <c r="HO47" s="170"/>
      <c r="HP47" s="170"/>
      <c r="HQ47" s="170"/>
      <c r="HR47" s="170"/>
      <c r="HS47" s="170"/>
      <c r="HT47" s="170"/>
      <c r="HU47" s="170"/>
      <c r="HV47" s="170"/>
      <c r="HW47" s="170"/>
      <c r="HX47" s="170"/>
      <c r="HY47" s="170"/>
      <c r="HZ47" s="170"/>
      <c r="IA47" s="170"/>
      <c r="IB47" s="170"/>
      <c r="IC47" s="170"/>
      <c r="ID47" s="170"/>
      <c r="IE47" s="170"/>
      <c r="IF47" s="170"/>
      <c r="IG47" s="170"/>
      <c r="IH47" s="170"/>
      <c r="II47" s="170"/>
      <c r="IJ47" s="170"/>
      <c r="IK47" s="170"/>
      <c r="IL47" s="170"/>
      <c r="IM47" s="170"/>
      <c r="IN47" s="170"/>
      <c r="IO47" s="170"/>
      <c r="IP47" s="170"/>
      <c r="IQ47" s="170"/>
      <c r="IR47" s="170"/>
      <c r="IS47" s="170"/>
      <c r="IT47" s="170"/>
      <c r="IU47" s="170"/>
    </row>
    <row r="48" spans="1:255" ht="37.5" customHeight="1" x14ac:dyDescent="0.2">
      <c r="A48" s="424"/>
      <c r="B48" s="425"/>
      <c r="C48" s="253"/>
      <c r="D48" s="450"/>
      <c r="E48" s="253"/>
      <c r="F48" s="450"/>
      <c r="G48" s="2355"/>
      <c r="H48" s="3091"/>
      <c r="I48" s="2302"/>
      <c r="J48" s="3175"/>
      <c r="K48" s="3142"/>
      <c r="L48" s="3130"/>
      <c r="M48" s="3096"/>
      <c r="N48" s="3178"/>
      <c r="O48" s="3149"/>
      <c r="P48" s="3096"/>
      <c r="Q48" s="2302"/>
      <c r="R48" s="267" t="s">
        <v>344</v>
      </c>
      <c r="S48" s="443">
        <v>5000000</v>
      </c>
      <c r="T48" s="3083"/>
      <c r="U48" s="3083"/>
      <c r="V48" s="3184"/>
      <c r="W48" s="3052"/>
      <c r="X48" s="3040"/>
      <c r="Y48" s="3040"/>
      <c r="Z48" s="3040"/>
      <c r="AA48" s="3040"/>
      <c r="AB48" s="3181"/>
      <c r="AC48" s="3040"/>
      <c r="AD48" s="2223"/>
      <c r="AE48" s="2223"/>
      <c r="AF48" s="2223"/>
      <c r="AG48" s="2223"/>
      <c r="AH48" s="2223"/>
      <c r="AI48" s="2223"/>
      <c r="AJ48" s="2223"/>
      <c r="AK48" s="2811"/>
      <c r="AL48" s="2604"/>
      <c r="AM48" s="2184"/>
      <c r="AN48" s="423"/>
      <c r="AO48" s="423"/>
      <c r="AP48" s="423"/>
      <c r="AQ48" s="423"/>
      <c r="AR48" s="423"/>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0"/>
      <c r="CG48" s="170"/>
      <c r="CH48" s="170"/>
      <c r="CI48" s="170"/>
      <c r="CJ48" s="170"/>
      <c r="CK48" s="170"/>
      <c r="CL48" s="170"/>
      <c r="CM48" s="170"/>
      <c r="CN48" s="170"/>
      <c r="CO48" s="170"/>
      <c r="CP48" s="170"/>
      <c r="CQ48" s="170"/>
      <c r="CR48" s="170"/>
      <c r="CS48" s="170"/>
      <c r="CT48" s="170"/>
      <c r="CU48" s="170"/>
      <c r="CV48" s="170"/>
      <c r="CW48" s="170"/>
      <c r="CX48" s="170"/>
      <c r="CY48" s="170"/>
      <c r="CZ48" s="170"/>
      <c r="DA48" s="170"/>
      <c r="DB48" s="170"/>
      <c r="DC48" s="170"/>
      <c r="DD48" s="170"/>
      <c r="DE48" s="170"/>
      <c r="DF48" s="170"/>
      <c r="DG48" s="170"/>
      <c r="DH48" s="170"/>
      <c r="DI48" s="170"/>
      <c r="DJ48" s="170"/>
      <c r="DK48" s="170"/>
      <c r="DL48" s="170"/>
      <c r="DM48" s="170"/>
      <c r="DN48" s="170"/>
      <c r="DO48" s="170"/>
      <c r="DP48" s="170"/>
      <c r="DQ48" s="170"/>
      <c r="DR48" s="170"/>
      <c r="DS48" s="170"/>
      <c r="DT48" s="170"/>
      <c r="DU48" s="170"/>
      <c r="DV48" s="170"/>
      <c r="DW48" s="170"/>
      <c r="DX48" s="170"/>
      <c r="DY48" s="170"/>
      <c r="DZ48" s="170"/>
      <c r="EA48" s="170"/>
      <c r="EB48" s="170"/>
      <c r="EC48" s="170"/>
      <c r="ED48" s="170"/>
      <c r="EE48" s="170"/>
      <c r="EF48" s="170"/>
      <c r="EG48" s="170"/>
      <c r="EH48" s="170"/>
      <c r="EI48" s="170"/>
      <c r="EJ48" s="170"/>
      <c r="EK48" s="170"/>
      <c r="EL48" s="170"/>
      <c r="EM48" s="170"/>
      <c r="EN48" s="170"/>
      <c r="EO48" s="170"/>
      <c r="EP48" s="170"/>
      <c r="EQ48" s="170"/>
      <c r="ER48" s="170"/>
      <c r="ES48" s="170"/>
      <c r="ET48" s="170"/>
      <c r="EU48" s="170"/>
      <c r="EV48" s="170"/>
      <c r="EW48" s="170"/>
      <c r="EX48" s="170"/>
      <c r="EY48" s="170"/>
      <c r="EZ48" s="170"/>
      <c r="FA48" s="170"/>
      <c r="FB48" s="170"/>
      <c r="FC48" s="170"/>
      <c r="FD48" s="170"/>
      <c r="FE48" s="170"/>
      <c r="FF48" s="170"/>
      <c r="FG48" s="170"/>
      <c r="FH48" s="170"/>
      <c r="FI48" s="170"/>
      <c r="FJ48" s="170"/>
      <c r="FK48" s="170"/>
      <c r="FL48" s="170"/>
      <c r="FM48" s="170"/>
      <c r="FN48" s="170"/>
      <c r="FO48" s="170"/>
      <c r="FP48" s="170"/>
      <c r="FQ48" s="170"/>
      <c r="FR48" s="170"/>
      <c r="FS48" s="170"/>
      <c r="FT48" s="170"/>
      <c r="FU48" s="170"/>
      <c r="FV48" s="170"/>
      <c r="FW48" s="170"/>
      <c r="FX48" s="170"/>
      <c r="FY48" s="170"/>
      <c r="FZ48" s="170"/>
      <c r="GA48" s="170"/>
      <c r="GB48" s="170"/>
      <c r="GC48" s="170"/>
      <c r="GD48" s="170"/>
      <c r="GE48" s="170"/>
      <c r="GF48" s="170"/>
      <c r="GG48" s="170"/>
      <c r="GH48" s="170"/>
      <c r="GI48" s="170"/>
      <c r="GJ48" s="170"/>
      <c r="GK48" s="170"/>
      <c r="GL48" s="170"/>
      <c r="GM48" s="170"/>
      <c r="GN48" s="170"/>
      <c r="GO48" s="170"/>
      <c r="GP48" s="170"/>
      <c r="GQ48" s="170"/>
      <c r="GR48" s="170"/>
      <c r="GS48" s="170"/>
      <c r="GT48" s="170"/>
      <c r="GU48" s="170"/>
      <c r="GV48" s="170"/>
      <c r="GW48" s="170"/>
      <c r="GX48" s="170"/>
      <c r="GY48" s="170"/>
      <c r="GZ48" s="170"/>
      <c r="HA48" s="170"/>
      <c r="HB48" s="170"/>
      <c r="HC48" s="170"/>
      <c r="HD48" s="170"/>
      <c r="HE48" s="170"/>
      <c r="HF48" s="170"/>
      <c r="HG48" s="170"/>
      <c r="HH48" s="170"/>
      <c r="HI48" s="170"/>
      <c r="HJ48" s="170"/>
      <c r="HK48" s="170"/>
      <c r="HL48" s="170"/>
      <c r="HM48" s="170"/>
      <c r="HN48" s="170"/>
      <c r="HO48" s="170"/>
      <c r="HP48" s="170"/>
      <c r="HQ48" s="170"/>
      <c r="HR48" s="170"/>
      <c r="HS48" s="170"/>
      <c r="HT48" s="170"/>
      <c r="HU48" s="170"/>
      <c r="HV48" s="170"/>
      <c r="HW48" s="170"/>
      <c r="HX48" s="170"/>
      <c r="HY48" s="170"/>
      <c r="HZ48" s="170"/>
      <c r="IA48" s="170"/>
      <c r="IB48" s="170"/>
      <c r="IC48" s="170"/>
      <c r="ID48" s="170"/>
      <c r="IE48" s="170"/>
      <c r="IF48" s="170"/>
      <c r="IG48" s="170"/>
      <c r="IH48" s="170"/>
      <c r="II48" s="170"/>
      <c r="IJ48" s="170"/>
      <c r="IK48" s="170"/>
      <c r="IL48" s="170"/>
      <c r="IM48" s="170"/>
      <c r="IN48" s="170"/>
      <c r="IO48" s="170"/>
      <c r="IP48" s="170"/>
      <c r="IQ48" s="170"/>
      <c r="IR48" s="170"/>
      <c r="IS48" s="170"/>
      <c r="IT48" s="170"/>
      <c r="IU48" s="170"/>
    </row>
    <row r="49" spans="1:255" ht="51" customHeight="1" x14ac:dyDescent="0.2">
      <c r="A49" s="424"/>
      <c r="B49" s="425"/>
      <c r="C49" s="253"/>
      <c r="D49" s="450"/>
      <c r="E49" s="253"/>
      <c r="F49" s="450"/>
      <c r="G49" s="2355"/>
      <c r="H49" s="3091"/>
      <c r="I49" s="2302"/>
      <c r="J49" s="3175"/>
      <c r="K49" s="3142"/>
      <c r="L49" s="3130"/>
      <c r="M49" s="3096"/>
      <c r="N49" s="3178"/>
      <c r="O49" s="3149"/>
      <c r="P49" s="3096"/>
      <c r="Q49" s="2302"/>
      <c r="R49" s="267" t="s">
        <v>345</v>
      </c>
      <c r="S49" s="443">
        <v>7920000</v>
      </c>
      <c r="T49" s="3083"/>
      <c r="U49" s="3083"/>
      <c r="V49" s="3184"/>
      <c r="W49" s="3052"/>
      <c r="X49" s="3040"/>
      <c r="Y49" s="3040"/>
      <c r="Z49" s="3040"/>
      <c r="AA49" s="3040"/>
      <c r="AB49" s="3181"/>
      <c r="AC49" s="3040"/>
      <c r="AD49" s="2223"/>
      <c r="AE49" s="2223"/>
      <c r="AF49" s="2223"/>
      <c r="AG49" s="2223"/>
      <c r="AH49" s="2223"/>
      <c r="AI49" s="2223"/>
      <c r="AJ49" s="2223"/>
      <c r="AK49" s="2811"/>
      <c r="AL49" s="2604"/>
      <c r="AM49" s="2184"/>
      <c r="AN49" s="423"/>
      <c r="AO49" s="423"/>
      <c r="AP49" s="423"/>
      <c r="AQ49" s="423"/>
      <c r="AR49" s="423"/>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0"/>
      <c r="DE49" s="170"/>
      <c r="DF49" s="170"/>
      <c r="DG49" s="170"/>
      <c r="DH49" s="170"/>
      <c r="DI49" s="170"/>
      <c r="DJ49" s="170"/>
      <c r="DK49" s="170"/>
      <c r="DL49" s="170"/>
      <c r="DM49" s="170"/>
      <c r="DN49" s="170"/>
      <c r="DO49" s="170"/>
      <c r="DP49" s="170"/>
      <c r="DQ49" s="170"/>
      <c r="DR49" s="170"/>
      <c r="DS49" s="170"/>
      <c r="DT49" s="170"/>
      <c r="DU49" s="170"/>
      <c r="DV49" s="170"/>
      <c r="DW49" s="170"/>
      <c r="DX49" s="170"/>
      <c r="DY49" s="170"/>
      <c r="DZ49" s="170"/>
      <c r="EA49" s="170"/>
      <c r="EB49" s="170"/>
      <c r="EC49" s="170"/>
      <c r="ED49" s="170"/>
      <c r="EE49" s="170"/>
      <c r="EF49" s="170"/>
      <c r="EG49" s="170"/>
      <c r="EH49" s="170"/>
      <c r="EI49" s="170"/>
      <c r="EJ49" s="170"/>
      <c r="EK49" s="170"/>
      <c r="EL49" s="170"/>
      <c r="EM49" s="170"/>
      <c r="EN49" s="170"/>
      <c r="EO49" s="170"/>
      <c r="EP49" s="170"/>
      <c r="EQ49" s="170"/>
      <c r="ER49" s="170"/>
      <c r="ES49" s="170"/>
      <c r="ET49" s="170"/>
      <c r="EU49" s="170"/>
      <c r="EV49" s="170"/>
      <c r="EW49" s="170"/>
      <c r="EX49" s="170"/>
      <c r="EY49" s="170"/>
      <c r="EZ49" s="170"/>
      <c r="FA49" s="170"/>
      <c r="FB49" s="170"/>
      <c r="FC49" s="170"/>
      <c r="FD49" s="170"/>
      <c r="FE49" s="170"/>
      <c r="FF49" s="170"/>
      <c r="FG49" s="170"/>
      <c r="FH49" s="170"/>
      <c r="FI49" s="170"/>
      <c r="FJ49" s="170"/>
      <c r="FK49" s="170"/>
      <c r="FL49" s="170"/>
      <c r="FM49" s="170"/>
      <c r="FN49" s="170"/>
      <c r="FO49" s="170"/>
      <c r="FP49" s="170"/>
      <c r="FQ49" s="170"/>
      <c r="FR49" s="170"/>
      <c r="FS49" s="170"/>
      <c r="FT49" s="170"/>
      <c r="FU49" s="170"/>
      <c r="FV49" s="170"/>
      <c r="FW49" s="170"/>
      <c r="FX49" s="170"/>
      <c r="FY49" s="170"/>
      <c r="FZ49" s="170"/>
      <c r="GA49" s="170"/>
      <c r="GB49" s="170"/>
      <c r="GC49" s="170"/>
      <c r="GD49" s="170"/>
      <c r="GE49" s="170"/>
      <c r="GF49" s="170"/>
      <c r="GG49" s="170"/>
      <c r="GH49" s="170"/>
      <c r="GI49" s="170"/>
      <c r="GJ49" s="170"/>
      <c r="GK49" s="170"/>
      <c r="GL49" s="170"/>
      <c r="GM49" s="170"/>
      <c r="GN49" s="170"/>
      <c r="GO49" s="170"/>
      <c r="GP49" s="170"/>
      <c r="GQ49" s="170"/>
      <c r="GR49" s="170"/>
      <c r="GS49" s="170"/>
      <c r="GT49" s="170"/>
      <c r="GU49" s="170"/>
      <c r="GV49" s="170"/>
      <c r="GW49" s="170"/>
      <c r="GX49" s="170"/>
      <c r="GY49" s="170"/>
      <c r="GZ49" s="170"/>
      <c r="HA49" s="170"/>
      <c r="HB49" s="170"/>
      <c r="HC49" s="170"/>
      <c r="HD49" s="170"/>
      <c r="HE49" s="170"/>
      <c r="HF49" s="170"/>
      <c r="HG49" s="170"/>
      <c r="HH49" s="170"/>
      <c r="HI49" s="170"/>
      <c r="HJ49" s="170"/>
      <c r="HK49" s="170"/>
      <c r="HL49" s="170"/>
      <c r="HM49" s="170"/>
      <c r="HN49" s="170"/>
      <c r="HO49" s="170"/>
      <c r="HP49" s="170"/>
      <c r="HQ49" s="170"/>
      <c r="HR49" s="170"/>
      <c r="HS49" s="170"/>
      <c r="HT49" s="170"/>
      <c r="HU49" s="170"/>
      <c r="HV49" s="170"/>
      <c r="HW49" s="170"/>
      <c r="HX49" s="170"/>
      <c r="HY49" s="170"/>
      <c r="HZ49" s="170"/>
      <c r="IA49" s="170"/>
      <c r="IB49" s="170"/>
      <c r="IC49" s="170"/>
      <c r="ID49" s="170"/>
      <c r="IE49" s="170"/>
      <c r="IF49" s="170"/>
      <c r="IG49" s="170"/>
      <c r="IH49" s="170"/>
      <c r="II49" s="170"/>
      <c r="IJ49" s="170"/>
      <c r="IK49" s="170"/>
      <c r="IL49" s="170"/>
      <c r="IM49" s="170"/>
      <c r="IN49" s="170"/>
      <c r="IO49" s="170"/>
      <c r="IP49" s="170"/>
      <c r="IQ49" s="170"/>
      <c r="IR49" s="170"/>
      <c r="IS49" s="170"/>
      <c r="IT49" s="170"/>
      <c r="IU49" s="170"/>
    </row>
    <row r="50" spans="1:255" ht="63.75" customHeight="1" x14ac:dyDescent="0.2">
      <c r="A50" s="424"/>
      <c r="B50" s="425"/>
      <c r="C50" s="253"/>
      <c r="D50" s="450"/>
      <c r="E50" s="253"/>
      <c r="F50" s="450"/>
      <c r="G50" s="2417"/>
      <c r="H50" s="3106"/>
      <c r="I50" s="2297"/>
      <c r="J50" s="3176"/>
      <c r="K50" s="3142"/>
      <c r="L50" s="3130"/>
      <c r="M50" s="3096"/>
      <c r="N50" s="3179"/>
      <c r="O50" s="3149"/>
      <c r="P50" s="3096"/>
      <c r="Q50" s="2297"/>
      <c r="R50" s="267" t="s">
        <v>346</v>
      </c>
      <c r="S50" s="443">
        <v>4160000</v>
      </c>
      <c r="T50" s="3083"/>
      <c r="U50" s="3083"/>
      <c r="V50" s="3184"/>
      <c r="W50" s="3052"/>
      <c r="X50" s="3040"/>
      <c r="Y50" s="3040"/>
      <c r="Z50" s="3040"/>
      <c r="AA50" s="3040"/>
      <c r="AB50" s="3181"/>
      <c r="AC50" s="3040"/>
      <c r="AD50" s="2223"/>
      <c r="AE50" s="2223"/>
      <c r="AF50" s="2223"/>
      <c r="AG50" s="2223"/>
      <c r="AH50" s="2223"/>
      <c r="AI50" s="2223"/>
      <c r="AJ50" s="2223"/>
      <c r="AK50" s="2811"/>
      <c r="AL50" s="2604"/>
      <c r="AM50" s="2184"/>
      <c r="AN50" s="423"/>
      <c r="AO50" s="423"/>
      <c r="AP50" s="423"/>
      <c r="AQ50" s="423"/>
      <c r="AR50" s="423"/>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0"/>
      <c r="DE50" s="170"/>
      <c r="DF50" s="170"/>
      <c r="DG50" s="170"/>
      <c r="DH50" s="170"/>
      <c r="DI50" s="170"/>
      <c r="DJ50" s="170"/>
      <c r="DK50" s="170"/>
      <c r="DL50" s="170"/>
      <c r="DM50" s="170"/>
      <c r="DN50" s="170"/>
      <c r="DO50" s="170"/>
      <c r="DP50" s="170"/>
      <c r="DQ50" s="170"/>
      <c r="DR50" s="170"/>
      <c r="DS50" s="170"/>
      <c r="DT50" s="170"/>
      <c r="DU50" s="170"/>
      <c r="DV50" s="170"/>
      <c r="DW50" s="170"/>
      <c r="DX50" s="170"/>
      <c r="DY50" s="170"/>
      <c r="DZ50" s="170"/>
      <c r="EA50" s="170"/>
      <c r="EB50" s="170"/>
      <c r="EC50" s="170"/>
      <c r="ED50" s="170"/>
      <c r="EE50" s="170"/>
      <c r="EF50" s="170"/>
      <c r="EG50" s="170"/>
      <c r="EH50" s="170"/>
      <c r="EI50" s="170"/>
      <c r="EJ50" s="170"/>
      <c r="EK50" s="170"/>
      <c r="EL50" s="170"/>
      <c r="EM50" s="170"/>
      <c r="EN50" s="170"/>
      <c r="EO50" s="170"/>
      <c r="EP50" s="170"/>
      <c r="EQ50" s="170"/>
      <c r="ER50" s="170"/>
      <c r="ES50" s="170"/>
      <c r="ET50" s="170"/>
      <c r="EU50" s="170"/>
      <c r="EV50" s="170"/>
      <c r="EW50" s="170"/>
      <c r="EX50" s="170"/>
      <c r="EY50" s="170"/>
      <c r="EZ50" s="170"/>
      <c r="FA50" s="170"/>
      <c r="FB50" s="170"/>
      <c r="FC50" s="170"/>
      <c r="FD50" s="170"/>
      <c r="FE50" s="170"/>
      <c r="FF50" s="170"/>
      <c r="FG50" s="170"/>
      <c r="FH50" s="170"/>
      <c r="FI50" s="170"/>
      <c r="FJ50" s="170"/>
      <c r="FK50" s="170"/>
      <c r="FL50" s="170"/>
      <c r="FM50" s="170"/>
      <c r="FN50" s="170"/>
      <c r="FO50" s="170"/>
      <c r="FP50" s="170"/>
      <c r="FQ50" s="170"/>
      <c r="FR50" s="170"/>
      <c r="FS50" s="170"/>
      <c r="FT50" s="170"/>
      <c r="FU50" s="170"/>
      <c r="FV50" s="170"/>
      <c r="FW50" s="170"/>
      <c r="FX50" s="170"/>
      <c r="FY50" s="170"/>
      <c r="FZ50" s="170"/>
      <c r="GA50" s="170"/>
      <c r="GB50" s="170"/>
      <c r="GC50" s="170"/>
      <c r="GD50" s="170"/>
      <c r="GE50" s="170"/>
      <c r="GF50" s="170"/>
      <c r="GG50" s="170"/>
      <c r="GH50" s="170"/>
      <c r="GI50" s="170"/>
      <c r="GJ50" s="170"/>
      <c r="GK50" s="170"/>
      <c r="GL50" s="170"/>
      <c r="GM50" s="170"/>
      <c r="GN50" s="170"/>
      <c r="GO50" s="170"/>
      <c r="GP50" s="170"/>
      <c r="GQ50" s="170"/>
      <c r="GR50" s="170"/>
      <c r="GS50" s="170"/>
      <c r="GT50" s="170"/>
      <c r="GU50" s="170"/>
      <c r="GV50" s="170"/>
      <c r="GW50" s="170"/>
      <c r="GX50" s="170"/>
      <c r="GY50" s="170"/>
      <c r="GZ50" s="170"/>
      <c r="HA50" s="170"/>
      <c r="HB50" s="170"/>
      <c r="HC50" s="170"/>
      <c r="HD50" s="170"/>
      <c r="HE50" s="170"/>
      <c r="HF50" s="170"/>
      <c r="HG50" s="170"/>
      <c r="HH50" s="170"/>
      <c r="HI50" s="170"/>
      <c r="HJ50" s="170"/>
      <c r="HK50" s="170"/>
      <c r="HL50" s="170"/>
      <c r="HM50" s="170"/>
      <c r="HN50" s="170"/>
      <c r="HO50" s="170"/>
      <c r="HP50" s="170"/>
      <c r="HQ50" s="170"/>
      <c r="HR50" s="170"/>
      <c r="HS50" s="170"/>
      <c r="HT50" s="170"/>
      <c r="HU50" s="170"/>
      <c r="HV50" s="170"/>
      <c r="HW50" s="170"/>
      <c r="HX50" s="170"/>
      <c r="HY50" s="170"/>
      <c r="HZ50" s="170"/>
      <c r="IA50" s="170"/>
      <c r="IB50" s="170"/>
      <c r="IC50" s="170"/>
      <c r="ID50" s="170"/>
      <c r="IE50" s="170"/>
      <c r="IF50" s="170"/>
      <c r="IG50" s="170"/>
      <c r="IH50" s="170"/>
      <c r="II50" s="170"/>
      <c r="IJ50" s="170"/>
      <c r="IK50" s="170"/>
      <c r="IL50" s="170"/>
      <c r="IM50" s="170"/>
      <c r="IN50" s="170"/>
      <c r="IO50" s="170"/>
      <c r="IP50" s="170"/>
      <c r="IQ50" s="170"/>
      <c r="IR50" s="170"/>
      <c r="IS50" s="170"/>
      <c r="IT50" s="170"/>
      <c r="IU50" s="170"/>
    </row>
    <row r="51" spans="1:255" ht="89.25" customHeight="1" x14ac:dyDescent="0.2">
      <c r="A51" s="424"/>
      <c r="B51" s="425"/>
      <c r="C51" s="253"/>
      <c r="D51" s="450"/>
      <c r="E51" s="253"/>
      <c r="F51" s="450"/>
      <c r="G51" s="2354">
        <v>188</v>
      </c>
      <c r="H51" s="2284" t="s">
        <v>347</v>
      </c>
      <c r="I51" s="2296" t="s">
        <v>348</v>
      </c>
      <c r="J51" s="3174">
        <v>2</v>
      </c>
      <c r="K51" s="3142"/>
      <c r="L51" s="3130"/>
      <c r="M51" s="3096"/>
      <c r="N51" s="3177">
        <f>SUM(S51:S53)/O47</f>
        <v>0.37623762376237624</v>
      </c>
      <c r="O51" s="3149"/>
      <c r="P51" s="3096"/>
      <c r="Q51" s="2296" t="s">
        <v>347</v>
      </c>
      <c r="R51" s="387" t="s">
        <v>349</v>
      </c>
      <c r="S51" s="443">
        <v>27720000</v>
      </c>
      <c r="T51" s="3083"/>
      <c r="U51" s="3083"/>
      <c r="V51" s="3184"/>
      <c r="W51" s="3052"/>
      <c r="X51" s="3040"/>
      <c r="Y51" s="3040"/>
      <c r="Z51" s="3040"/>
      <c r="AA51" s="3040"/>
      <c r="AB51" s="3181"/>
      <c r="AC51" s="3040"/>
      <c r="AD51" s="2223"/>
      <c r="AE51" s="2223"/>
      <c r="AF51" s="2223"/>
      <c r="AG51" s="2223"/>
      <c r="AH51" s="2223"/>
      <c r="AI51" s="2223"/>
      <c r="AJ51" s="2223"/>
      <c r="AK51" s="2811"/>
      <c r="AL51" s="2604"/>
      <c r="AM51" s="2184"/>
      <c r="AN51" s="423"/>
      <c r="AO51" s="423"/>
      <c r="AP51" s="423"/>
      <c r="AQ51" s="423"/>
      <c r="AR51" s="423"/>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0"/>
      <c r="DF51" s="170"/>
      <c r="DG51" s="170"/>
      <c r="DH51" s="170"/>
      <c r="DI51" s="170"/>
      <c r="DJ51" s="170"/>
      <c r="DK51" s="170"/>
      <c r="DL51" s="170"/>
      <c r="DM51" s="170"/>
      <c r="DN51" s="170"/>
      <c r="DO51" s="170"/>
      <c r="DP51" s="170"/>
      <c r="DQ51" s="170"/>
      <c r="DR51" s="170"/>
      <c r="DS51" s="170"/>
      <c r="DT51" s="170"/>
      <c r="DU51" s="170"/>
      <c r="DV51" s="170"/>
      <c r="DW51" s="170"/>
      <c r="DX51" s="170"/>
      <c r="DY51" s="170"/>
      <c r="DZ51" s="170"/>
      <c r="EA51" s="170"/>
      <c r="EB51" s="170"/>
      <c r="EC51" s="170"/>
      <c r="ED51" s="170"/>
      <c r="EE51" s="170"/>
      <c r="EF51" s="170"/>
      <c r="EG51" s="170"/>
      <c r="EH51" s="170"/>
      <c r="EI51" s="170"/>
      <c r="EJ51" s="170"/>
      <c r="EK51" s="170"/>
      <c r="EL51" s="170"/>
      <c r="EM51" s="170"/>
      <c r="EN51" s="170"/>
      <c r="EO51" s="170"/>
      <c r="EP51" s="170"/>
      <c r="EQ51" s="170"/>
      <c r="ER51" s="170"/>
      <c r="ES51" s="170"/>
      <c r="ET51" s="170"/>
      <c r="EU51" s="170"/>
      <c r="EV51" s="170"/>
      <c r="EW51" s="170"/>
      <c r="EX51" s="170"/>
      <c r="EY51" s="170"/>
      <c r="EZ51" s="170"/>
      <c r="FA51" s="170"/>
      <c r="FB51" s="170"/>
      <c r="FC51" s="170"/>
      <c r="FD51" s="170"/>
      <c r="FE51" s="170"/>
      <c r="FF51" s="170"/>
      <c r="FG51" s="170"/>
      <c r="FH51" s="170"/>
      <c r="FI51" s="170"/>
      <c r="FJ51" s="170"/>
      <c r="FK51" s="170"/>
      <c r="FL51" s="170"/>
      <c r="FM51" s="170"/>
      <c r="FN51" s="170"/>
      <c r="FO51" s="170"/>
      <c r="FP51" s="170"/>
      <c r="FQ51" s="170"/>
      <c r="FR51" s="170"/>
      <c r="FS51" s="170"/>
      <c r="FT51" s="170"/>
      <c r="FU51" s="170"/>
      <c r="FV51" s="170"/>
      <c r="FW51" s="170"/>
      <c r="FX51" s="170"/>
      <c r="FY51" s="170"/>
      <c r="FZ51" s="170"/>
      <c r="GA51" s="170"/>
      <c r="GB51" s="170"/>
      <c r="GC51" s="170"/>
      <c r="GD51" s="170"/>
      <c r="GE51" s="170"/>
      <c r="GF51" s="170"/>
      <c r="GG51" s="170"/>
      <c r="GH51" s="170"/>
      <c r="GI51" s="170"/>
      <c r="GJ51" s="170"/>
      <c r="GK51" s="170"/>
      <c r="GL51" s="170"/>
      <c r="GM51" s="170"/>
      <c r="GN51" s="170"/>
      <c r="GO51" s="170"/>
      <c r="GP51" s="170"/>
      <c r="GQ51" s="170"/>
      <c r="GR51" s="170"/>
      <c r="GS51" s="170"/>
      <c r="GT51" s="170"/>
      <c r="GU51" s="170"/>
      <c r="GV51" s="170"/>
      <c r="GW51" s="170"/>
      <c r="GX51" s="170"/>
      <c r="GY51" s="170"/>
      <c r="GZ51" s="170"/>
      <c r="HA51" s="170"/>
      <c r="HB51" s="170"/>
      <c r="HC51" s="170"/>
      <c r="HD51" s="170"/>
      <c r="HE51" s="170"/>
      <c r="HF51" s="170"/>
      <c r="HG51" s="170"/>
      <c r="HH51" s="170"/>
      <c r="HI51" s="170"/>
      <c r="HJ51" s="170"/>
      <c r="HK51" s="170"/>
      <c r="HL51" s="170"/>
      <c r="HM51" s="170"/>
      <c r="HN51" s="170"/>
      <c r="HO51" s="170"/>
      <c r="HP51" s="170"/>
      <c r="HQ51" s="170"/>
      <c r="HR51" s="170"/>
      <c r="HS51" s="170"/>
      <c r="HT51" s="170"/>
      <c r="HU51" s="170"/>
      <c r="HV51" s="170"/>
      <c r="HW51" s="170"/>
      <c r="HX51" s="170"/>
      <c r="HY51" s="170"/>
      <c r="HZ51" s="170"/>
      <c r="IA51" s="170"/>
      <c r="IB51" s="170"/>
      <c r="IC51" s="170"/>
      <c r="ID51" s="170"/>
      <c r="IE51" s="170"/>
      <c r="IF51" s="170"/>
      <c r="IG51" s="170"/>
      <c r="IH51" s="170"/>
      <c r="II51" s="170"/>
      <c r="IJ51" s="170"/>
      <c r="IK51" s="170"/>
      <c r="IL51" s="170"/>
      <c r="IM51" s="170"/>
      <c r="IN51" s="170"/>
      <c r="IO51" s="170"/>
      <c r="IP51" s="170"/>
      <c r="IQ51" s="170"/>
      <c r="IR51" s="170"/>
      <c r="IS51" s="170"/>
      <c r="IT51" s="170"/>
      <c r="IU51" s="170"/>
    </row>
    <row r="52" spans="1:255" ht="52.5" customHeight="1" x14ac:dyDescent="0.2">
      <c r="A52" s="424"/>
      <c r="B52" s="425"/>
      <c r="C52" s="253"/>
      <c r="D52" s="450"/>
      <c r="E52" s="253"/>
      <c r="F52" s="450"/>
      <c r="G52" s="2355"/>
      <c r="H52" s="3091"/>
      <c r="I52" s="2302"/>
      <c r="J52" s="3175"/>
      <c r="K52" s="3142"/>
      <c r="L52" s="3130"/>
      <c r="M52" s="3096"/>
      <c r="N52" s="3178"/>
      <c r="O52" s="3149"/>
      <c r="P52" s="3096"/>
      <c r="Q52" s="2302"/>
      <c r="R52" s="387" t="s">
        <v>350</v>
      </c>
      <c r="S52" s="443">
        <v>7920000</v>
      </c>
      <c r="T52" s="3083"/>
      <c r="U52" s="3083"/>
      <c r="V52" s="3184"/>
      <c r="W52" s="3052"/>
      <c r="X52" s="3040"/>
      <c r="Y52" s="3040"/>
      <c r="Z52" s="3040"/>
      <c r="AA52" s="3040"/>
      <c r="AB52" s="3181"/>
      <c r="AC52" s="3040"/>
      <c r="AD52" s="2223"/>
      <c r="AE52" s="2223"/>
      <c r="AF52" s="2223"/>
      <c r="AG52" s="2223"/>
      <c r="AH52" s="2223"/>
      <c r="AI52" s="2223"/>
      <c r="AJ52" s="2223"/>
      <c r="AK52" s="2811"/>
      <c r="AL52" s="2604"/>
      <c r="AM52" s="2184"/>
      <c r="AN52" s="423"/>
      <c r="AO52" s="423"/>
      <c r="AP52" s="423"/>
      <c r="AQ52" s="423"/>
      <c r="AR52" s="423"/>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0"/>
      <c r="DE52" s="170"/>
      <c r="DF52" s="170"/>
      <c r="DG52" s="170"/>
      <c r="DH52" s="170"/>
      <c r="DI52" s="170"/>
      <c r="DJ52" s="170"/>
      <c r="DK52" s="170"/>
      <c r="DL52" s="170"/>
      <c r="DM52" s="170"/>
      <c r="DN52" s="170"/>
      <c r="DO52" s="170"/>
      <c r="DP52" s="170"/>
      <c r="DQ52" s="170"/>
      <c r="DR52" s="170"/>
      <c r="DS52" s="170"/>
      <c r="DT52" s="170"/>
      <c r="DU52" s="170"/>
      <c r="DV52" s="170"/>
      <c r="DW52" s="170"/>
      <c r="DX52" s="170"/>
      <c r="DY52" s="170"/>
      <c r="DZ52" s="170"/>
      <c r="EA52" s="170"/>
      <c r="EB52" s="170"/>
      <c r="EC52" s="170"/>
      <c r="ED52" s="170"/>
      <c r="EE52" s="170"/>
      <c r="EF52" s="170"/>
      <c r="EG52" s="170"/>
      <c r="EH52" s="170"/>
      <c r="EI52" s="170"/>
      <c r="EJ52" s="170"/>
      <c r="EK52" s="170"/>
      <c r="EL52" s="170"/>
      <c r="EM52" s="170"/>
      <c r="EN52" s="170"/>
      <c r="EO52" s="170"/>
      <c r="EP52" s="170"/>
      <c r="EQ52" s="170"/>
      <c r="ER52" s="170"/>
      <c r="ES52" s="170"/>
      <c r="ET52" s="170"/>
      <c r="EU52" s="170"/>
      <c r="EV52" s="170"/>
      <c r="EW52" s="170"/>
      <c r="EX52" s="170"/>
      <c r="EY52" s="170"/>
      <c r="EZ52" s="170"/>
      <c r="FA52" s="170"/>
      <c r="FB52" s="170"/>
      <c r="FC52" s="170"/>
      <c r="FD52" s="170"/>
      <c r="FE52" s="170"/>
      <c r="FF52" s="170"/>
      <c r="FG52" s="170"/>
      <c r="FH52" s="170"/>
      <c r="FI52" s="170"/>
      <c r="FJ52" s="170"/>
      <c r="FK52" s="170"/>
      <c r="FL52" s="170"/>
      <c r="FM52" s="170"/>
      <c r="FN52" s="170"/>
      <c r="FO52" s="170"/>
      <c r="FP52" s="170"/>
      <c r="FQ52" s="170"/>
      <c r="FR52" s="170"/>
      <c r="FS52" s="170"/>
      <c r="FT52" s="170"/>
      <c r="FU52" s="170"/>
      <c r="FV52" s="170"/>
      <c r="FW52" s="170"/>
      <c r="FX52" s="170"/>
      <c r="FY52" s="170"/>
      <c r="FZ52" s="170"/>
      <c r="GA52" s="170"/>
      <c r="GB52" s="170"/>
      <c r="GC52" s="170"/>
      <c r="GD52" s="170"/>
      <c r="GE52" s="170"/>
      <c r="GF52" s="170"/>
      <c r="GG52" s="170"/>
      <c r="GH52" s="170"/>
      <c r="GI52" s="170"/>
      <c r="GJ52" s="170"/>
      <c r="GK52" s="170"/>
      <c r="GL52" s="170"/>
      <c r="GM52" s="170"/>
      <c r="GN52" s="170"/>
      <c r="GO52" s="170"/>
      <c r="GP52" s="170"/>
      <c r="GQ52" s="170"/>
      <c r="GR52" s="170"/>
      <c r="GS52" s="170"/>
      <c r="GT52" s="170"/>
      <c r="GU52" s="170"/>
      <c r="GV52" s="170"/>
      <c r="GW52" s="170"/>
      <c r="GX52" s="170"/>
      <c r="GY52" s="170"/>
      <c r="GZ52" s="170"/>
      <c r="HA52" s="170"/>
      <c r="HB52" s="170"/>
      <c r="HC52" s="170"/>
      <c r="HD52" s="170"/>
      <c r="HE52" s="170"/>
      <c r="HF52" s="170"/>
      <c r="HG52" s="170"/>
      <c r="HH52" s="170"/>
      <c r="HI52" s="170"/>
      <c r="HJ52" s="170"/>
      <c r="HK52" s="170"/>
      <c r="HL52" s="170"/>
      <c r="HM52" s="170"/>
      <c r="HN52" s="170"/>
      <c r="HO52" s="170"/>
      <c r="HP52" s="170"/>
      <c r="HQ52" s="170"/>
      <c r="HR52" s="170"/>
      <c r="HS52" s="170"/>
      <c r="HT52" s="170"/>
      <c r="HU52" s="170"/>
      <c r="HV52" s="170"/>
      <c r="HW52" s="170"/>
      <c r="HX52" s="170"/>
      <c r="HY52" s="170"/>
      <c r="HZ52" s="170"/>
      <c r="IA52" s="170"/>
      <c r="IB52" s="170"/>
      <c r="IC52" s="170"/>
      <c r="ID52" s="170"/>
      <c r="IE52" s="170"/>
      <c r="IF52" s="170"/>
      <c r="IG52" s="170"/>
      <c r="IH52" s="170"/>
      <c r="II52" s="170"/>
      <c r="IJ52" s="170"/>
      <c r="IK52" s="170"/>
      <c r="IL52" s="170"/>
      <c r="IM52" s="170"/>
      <c r="IN52" s="170"/>
      <c r="IO52" s="170"/>
      <c r="IP52" s="170"/>
      <c r="IQ52" s="170"/>
      <c r="IR52" s="170"/>
      <c r="IS52" s="170"/>
      <c r="IT52" s="170"/>
      <c r="IU52" s="170"/>
    </row>
    <row r="53" spans="1:255" ht="45" customHeight="1" x14ac:dyDescent="0.2">
      <c r="A53" s="424"/>
      <c r="B53" s="425"/>
      <c r="C53" s="253"/>
      <c r="D53" s="450"/>
      <c r="E53" s="253"/>
      <c r="F53" s="450"/>
      <c r="G53" s="2417"/>
      <c r="H53" s="3106"/>
      <c r="I53" s="2297"/>
      <c r="J53" s="3176"/>
      <c r="K53" s="3142"/>
      <c r="L53" s="3130"/>
      <c r="M53" s="3096"/>
      <c r="N53" s="3179"/>
      <c r="O53" s="2715"/>
      <c r="P53" s="3096"/>
      <c r="Q53" s="2297"/>
      <c r="R53" s="387" t="s">
        <v>351</v>
      </c>
      <c r="S53" s="443">
        <v>2360000</v>
      </c>
      <c r="T53" s="3083"/>
      <c r="U53" s="3083"/>
      <c r="V53" s="3184"/>
      <c r="W53" s="3052"/>
      <c r="X53" s="3040"/>
      <c r="Y53" s="3040"/>
      <c r="Z53" s="3040"/>
      <c r="AA53" s="3040"/>
      <c r="AB53" s="3181"/>
      <c r="AC53" s="3040"/>
      <c r="AD53" s="2223"/>
      <c r="AE53" s="2223"/>
      <c r="AF53" s="2223"/>
      <c r="AG53" s="2223"/>
      <c r="AH53" s="2223"/>
      <c r="AI53" s="2223"/>
      <c r="AJ53" s="2223"/>
      <c r="AK53" s="2931"/>
      <c r="AL53" s="2229"/>
      <c r="AM53" s="2184"/>
      <c r="AN53" s="423"/>
      <c r="AO53" s="423"/>
      <c r="AP53" s="423"/>
      <c r="AQ53" s="423"/>
      <c r="AR53" s="423"/>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0"/>
      <c r="DE53" s="170"/>
      <c r="DF53" s="170"/>
      <c r="DG53" s="170"/>
      <c r="DH53" s="170"/>
      <c r="DI53" s="170"/>
      <c r="DJ53" s="170"/>
      <c r="DK53" s="170"/>
      <c r="DL53" s="170"/>
      <c r="DM53" s="170"/>
      <c r="DN53" s="170"/>
      <c r="DO53" s="170"/>
      <c r="DP53" s="170"/>
      <c r="DQ53" s="170"/>
      <c r="DR53" s="170"/>
      <c r="DS53" s="170"/>
      <c r="DT53" s="170"/>
      <c r="DU53" s="170"/>
      <c r="DV53" s="170"/>
      <c r="DW53" s="170"/>
      <c r="DX53" s="170"/>
      <c r="DY53" s="170"/>
      <c r="DZ53" s="170"/>
      <c r="EA53" s="170"/>
      <c r="EB53" s="170"/>
      <c r="EC53" s="170"/>
      <c r="ED53" s="170"/>
      <c r="EE53" s="170"/>
      <c r="EF53" s="170"/>
      <c r="EG53" s="170"/>
      <c r="EH53" s="170"/>
      <c r="EI53" s="170"/>
      <c r="EJ53" s="170"/>
      <c r="EK53" s="170"/>
      <c r="EL53" s="170"/>
      <c r="EM53" s="170"/>
      <c r="EN53" s="170"/>
      <c r="EO53" s="170"/>
      <c r="EP53" s="170"/>
      <c r="EQ53" s="170"/>
      <c r="ER53" s="170"/>
      <c r="ES53" s="170"/>
      <c r="ET53" s="170"/>
      <c r="EU53" s="170"/>
      <c r="EV53" s="170"/>
      <c r="EW53" s="170"/>
      <c r="EX53" s="170"/>
      <c r="EY53" s="170"/>
      <c r="EZ53" s="170"/>
      <c r="FA53" s="170"/>
      <c r="FB53" s="170"/>
      <c r="FC53" s="170"/>
      <c r="FD53" s="170"/>
      <c r="FE53" s="170"/>
      <c r="FF53" s="170"/>
      <c r="FG53" s="170"/>
      <c r="FH53" s="170"/>
      <c r="FI53" s="170"/>
      <c r="FJ53" s="170"/>
      <c r="FK53" s="170"/>
      <c r="FL53" s="170"/>
      <c r="FM53" s="170"/>
      <c r="FN53" s="170"/>
      <c r="FO53" s="170"/>
      <c r="FP53" s="170"/>
      <c r="FQ53" s="170"/>
      <c r="FR53" s="170"/>
      <c r="FS53" s="170"/>
      <c r="FT53" s="170"/>
      <c r="FU53" s="170"/>
      <c r="FV53" s="170"/>
      <c r="FW53" s="170"/>
      <c r="FX53" s="170"/>
      <c r="FY53" s="170"/>
      <c r="FZ53" s="170"/>
      <c r="GA53" s="170"/>
      <c r="GB53" s="170"/>
      <c r="GC53" s="170"/>
      <c r="GD53" s="170"/>
      <c r="GE53" s="170"/>
      <c r="GF53" s="170"/>
      <c r="GG53" s="170"/>
      <c r="GH53" s="170"/>
      <c r="GI53" s="170"/>
      <c r="GJ53" s="170"/>
      <c r="GK53" s="170"/>
      <c r="GL53" s="170"/>
      <c r="GM53" s="170"/>
      <c r="GN53" s="170"/>
      <c r="GO53" s="170"/>
      <c r="GP53" s="170"/>
      <c r="GQ53" s="170"/>
      <c r="GR53" s="170"/>
      <c r="GS53" s="170"/>
      <c r="GT53" s="170"/>
      <c r="GU53" s="170"/>
      <c r="GV53" s="170"/>
      <c r="GW53" s="170"/>
      <c r="GX53" s="170"/>
      <c r="GY53" s="170"/>
      <c r="GZ53" s="170"/>
      <c r="HA53" s="170"/>
      <c r="HB53" s="170"/>
      <c r="HC53" s="170"/>
      <c r="HD53" s="170"/>
      <c r="HE53" s="170"/>
      <c r="HF53" s="170"/>
      <c r="HG53" s="170"/>
      <c r="HH53" s="170"/>
      <c r="HI53" s="170"/>
      <c r="HJ53" s="170"/>
      <c r="HK53" s="170"/>
      <c r="HL53" s="170"/>
      <c r="HM53" s="170"/>
      <c r="HN53" s="170"/>
      <c r="HO53" s="170"/>
      <c r="HP53" s="170"/>
      <c r="HQ53" s="170"/>
      <c r="HR53" s="170"/>
      <c r="HS53" s="170"/>
      <c r="HT53" s="170"/>
      <c r="HU53" s="170"/>
      <c r="HV53" s="170"/>
      <c r="HW53" s="170"/>
      <c r="HX53" s="170"/>
      <c r="HY53" s="170"/>
      <c r="HZ53" s="170"/>
      <c r="IA53" s="170"/>
      <c r="IB53" s="170"/>
      <c r="IC53" s="170"/>
      <c r="ID53" s="170"/>
      <c r="IE53" s="170"/>
      <c r="IF53" s="170"/>
      <c r="IG53" s="170"/>
      <c r="IH53" s="170"/>
      <c r="II53" s="170"/>
      <c r="IJ53" s="170"/>
      <c r="IK53" s="170"/>
      <c r="IL53" s="170"/>
      <c r="IM53" s="170"/>
      <c r="IN53" s="170"/>
      <c r="IO53" s="170"/>
      <c r="IP53" s="170"/>
      <c r="IQ53" s="170"/>
      <c r="IR53" s="170"/>
      <c r="IS53" s="170"/>
      <c r="IT53" s="170"/>
      <c r="IU53" s="170"/>
    </row>
    <row r="54" spans="1:255" ht="50.25" customHeight="1" x14ac:dyDescent="0.2">
      <c r="A54" s="424"/>
      <c r="B54" s="425"/>
      <c r="C54" s="253"/>
      <c r="D54" s="450"/>
      <c r="E54" s="253"/>
      <c r="F54" s="450"/>
      <c r="G54" s="2354">
        <v>189</v>
      </c>
      <c r="H54" s="2284" t="s">
        <v>352</v>
      </c>
      <c r="I54" s="2783" t="s">
        <v>353</v>
      </c>
      <c r="J54" s="3006">
        <v>1</v>
      </c>
      <c r="K54" s="3142"/>
      <c r="L54" s="3130"/>
      <c r="M54" s="3096"/>
      <c r="N54" s="2939">
        <f>SUM(S54:S58)/O47</f>
        <v>0.37623762376237624</v>
      </c>
      <c r="O54" s="2715"/>
      <c r="P54" s="3096"/>
      <c r="Q54" s="2783" t="s">
        <v>354</v>
      </c>
      <c r="R54" s="388" t="s">
        <v>355</v>
      </c>
      <c r="S54" s="443">
        <v>20000000</v>
      </c>
      <c r="T54" s="3083"/>
      <c r="U54" s="3083"/>
      <c r="V54" s="3184"/>
      <c r="W54" s="3052"/>
      <c r="X54" s="3040"/>
      <c r="Y54" s="3040"/>
      <c r="Z54" s="3040"/>
      <c r="AA54" s="3040"/>
      <c r="AB54" s="3181"/>
      <c r="AC54" s="3040"/>
      <c r="AD54" s="2223"/>
      <c r="AE54" s="2223"/>
      <c r="AF54" s="2223"/>
      <c r="AG54" s="2223"/>
      <c r="AH54" s="2223"/>
      <c r="AI54" s="2223"/>
      <c r="AJ54" s="2223"/>
      <c r="AK54" s="2931"/>
      <c r="AL54" s="2229"/>
      <c r="AM54" s="2184"/>
      <c r="AN54" s="423"/>
      <c r="AO54" s="423"/>
      <c r="AP54" s="423"/>
      <c r="AQ54" s="423"/>
      <c r="AR54" s="423"/>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70"/>
      <c r="CE54" s="170"/>
      <c r="CF54" s="170"/>
      <c r="CG54" s="170"/>
      <c r="CH54" s="170"/>
      <c r="CI54" s="170"/>
      <c r="CJ54" s="170"/>
      <c r="CK54" s="170"/>
      <c r="CL54" s="170"/>
      <c r="CM54" s="170"/>
      <c r="CN54" s="170"/>
      <c r="CO54" s="170"/>
      <c r="CP54" s="170"/>
      <c r="CQ54" s="170"/>
      <c r="CR54" s="170"/>
      <c r="CS54" s="170"/>
      <c r="CT54" s="170"/>
      <c r="CU54" s="170"/>
      <c r="CV54" s="170"/>
      <c r="CW54" s="170"/>
      <c r="CX54" s="170"/>
      <c r="CY54" s="170"/>
      <c r="CZ54" s="170"/>
      <c r="DA54" s="170"/>
      <c r="DB54" s="170"/>
      <c r="DC54" s="170"/>
      <c r="DD54" s="170"/>
      <c r="DE54" s="170"/>
      <c r="DF54" s="170"/>
      <c r="DG54" s="170"/>
      <c r="DH54" s="170"/>
      <c r="DI54" s="170"/>
      <c r="DJ54" s="170"/>
      <c r="DK54" s="170"/>
      <c r="DL54" s="170"/>
      <c r="DM54" s="170"/>
      <c r="DN54" s="170"/>
      <c r="DO54" s="170"/>
      <c r="DP54" s="170"/>
      <c r="DQ54" s="170"/>
      <c r="DR54" s="170"/>
      <c r="DS54" s="170"/>
      <c r="DT54" s="170"/>
      <c r="DU54" s="170"/>
      <c r="DV54" s="170"/>
      <c r="DW54" s="170"/>
      <c r="DX54" s="170"/>
      <c r="DY54" s="170"/>
      <c r="DZ54" s="170"/>
      <c r="EA54" s="170"/>
      <c r="EB54" s="170"/>
      <c r="EC54" s="170"/>
      <c r="ED54" s="170"/>
      <c r="EE54" s="170"/>
      <c r="EF54" s="170"/>
      <c r="EG54" s="170"/>
      <c r="EH54" s="170"/>
      <c r="EI54" s="170"/>
      <c r="EJ54" s="170"/>
      <c r="EK54" s="170"/>
      <c r="EL54" s="170"/>
      <c r="EM54" s="170"/>
      <c r="EN54" s="170"/>
      <c r="EO54" s="170"/>
      <c r="EP54" s="170"/>
      <c r="EQ54" s="170"/>
      <c r="ER54" s="170"/>
      <c r="ES54" s="170"/>
      <c r="ET54" s="170"/>
      <c r="EU54" s="170"/>
      <c r="EV54" s="170"/>
      <c r="EW54" s="170"/>
      <c r="EX54" s="170"/>
      <c r="EY54" s="170"/>
      <c r="EZ54" s="170"/>
      <c r="FA54" s="170"/>
      <c r="FB54" s="170"/>
      <c r="FC54" s="170"/>
      <c r="FD54" s="170"/>
      <c r="FE54" s="170"/>
      <c r="FF54" s="170"/>
      <c r="FG54" s="170"/>
      <c r="FH54" s="170"/>
      <c r="FI54" s="170"/>
      <c r="FJ54" s="170"/>
      <c r="FK54" s="170"/>
      <c r="FL54" s="170"/>
      <c r="FM54" s="170"/>
      <c r="FN54" s="170"/>
      <c r="FO54" s="170"/>
      <c r="FP54" s="170"/>
      <c r="FQ54" s="170"/>
      <c r="FR54" s="170"/>
      <c r="FS54" s="170"/>
      <c r="FT54" s="170"/>
      <c r="FU54" s="170"/>
      <c r="FV54" s="170"/>
      <c r="FW54" s="170"/>
      <c r="FX54" s="170"/>
      <c r="FY54" s="170"/>
      <c r="FZ54" s="170"/>
      <c r="GA54" s="170"/>
      <c r="GB54" s="170"/>
      <c r="GC54" s="170"/>
      <c r="GD54" s="170"/>
      <c r="GE54" s="170"/>
      <c r="GF54" s="170"/>
      <c r="GG54" s="170"/>
      <c r="GH54" s="170"/>
      <c r="GI54" s="170"/>
      <c r="GJ54" s="170"/>
      <c r="GK54" s="170"/>
      <c r="GL54" s="170"/>
      <c r="GM54" s="170"/>
      <c r="GN54" s="170"/>
      <c r="GO54" s="170"/>
      <c r="GP54" s="170"/>
      <c r="GQ54" s="170"/>
      <c r="GR54" s="170"/>
      <c r="GS54" s="170"/>
      <c r="GT54" s="170"/>
      <c r="GU54" s="170"/>
      <c r="GV54" s="170"/>
      <c r="GW54" s="170"/>
      <c r="GX54" s="170"/>
      <c r="GY54" s="170"/>
      <c r="GZ54" s="170"/>
      <c r="HA54" s="170"/>
      <c r="HB54" s="170"/>
      <c r="HC54" s="170"/>
      <c r="HD54" s="170"/>
      <c r="HE54" s="170"/>
      <c r="HF54" s="170"/>
      <c r="HG54" s="170"/>
      <c r="HH54" s="170"/>
      <c r="HI54" s="170"/>
      <c r="HJ54" s="170"/>
      <c r="HK54" s="170"/>
      <c r="HL54" s="170"/>
      <c r="HM54" s="170"/>
      <c r="HN54" s="170"/>
      <c r="HO54" s="170"/>
      <c r="HP54" s="170"/>
      <c r="HQ54" s="170"/>
      <c r="HR54" s="170"/>
      <c r="HS54" s="170"/>
      <c r="HT54" s="170"/>
      <c r="HU54" s="170"/>
      <c r="HV54" s="170"/>
      <c r="HW54" s="170"/>
      <c r="HX54" s="170"/>
      <c r="HY54" s="170"/>
      <c r="HZ54" s="170"/>
      <c r="IA54" s="170"/>
      <c r="IB54" s="170"/>
      <c r="IC54" s="170"/>
      <c r="ID54" s="170"/>
      <c r="IE54" s="170"/>
      <c r="IF54" s="170"/>
      <c r="IG54" s="170"/>
      <c r="IH54" s="170"/>
      <c r="II54" s="170"/>
      <c r="IJ54" s="170"/>
      <c r="IK54" s="170"/>
      <c r="IL54" s="170"/>
      <c r="IM54" s="170"/>
      <c r="IN54" s="170"/>
      <c r="IO54" s="170"/>
      <c r="IP54" s="170"/>
      <c r="IQ54" s="170"/>
      <c r="IR54" s="170"/>
      <c r="IS54" s="170"/>
      <c r="IT54" s="170"/>
      <c r="IU54" s="170"/>
    </row>
    <row r="55" spans="1:255" ht="54" customHeight="1" x14ac:dyDescent="0.2">
      <c r="A55" s="424"/>
      <c r="B55" s="425"/>
      <c r="C55" s="253"/>
      <c r="D55" s="450"/>
      <c r="E55" s="253"/>
      <c r="F55" s="450"/>
      <c r="G55" s="2355"/>
      <c r="H55" s="3091"/>
      <c r="I55" s="2793"/>
      <c r="J55" s="3040"/>
      <c r="K55" s="3142"/>
      <c r="L55" s="3130"/>
      <c r="M55" s="3096"/>
      <c r="N55" s="2969"/>
      <c r="O55" s="2715"/>
      <c r="P55" s="3096"/>
      <c r="Q55" s="2793"/>
      <c r="R55" s="388" t="s">
        <v>356</v>
      </c>
      <c r="S55" s="443">
        <v>4000000</v>
      </c>
      <c r="T55" s="3083"/>
      <c r="U55" s="3083"/>
      <c r="V55" s="3184"/>
      <c r="W55" s="3052"/>
      <c r="X55" s="3040"/>
      <c r="Y55" s="3040"/>
      <c r="Z55" s="3040"/>
      <c r="AA55" s="3040"/>
      <c r="AB55" s="3181"/>
      <c r="AC55" s="3040"/>
      <c r="AD55" s="2223"/>
      <c r="AE55" s="2223"/>
      <c r="AF55" s="2223"/>
      <c r="AG55" s="2223"/>
      <c r="AH55" s="2223"/>
      <c r="AI55" s="2223"/>
      <c r="AJ55" s="2223"/>
      <c r="AK55" s="2931"/>
      <c r="AL55" s="2229"/>
      <c r="AM55" s="2184"/>
      <c r="AN55" s="423"/>
      <c r="AO55" s="423"/>
      <c r="AP55" s="423"/>
      <c r="AQ55" s="423"/>
      <c r="AR55" s="423"/>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170"/>
      <c r="CF55" s="170"/>
      <c r="CG55" s="170"/>
      <c r="CH55" s="170"/>
      <c r="CI55" s="170"/>
      <c r="CJ55" s="170"/>
      <c r="CK55" s="170"/>
      <c r="CL55" s="170"/>
      <c r="CM55" s="170"/>
      <c r="CN55" s="170"/>
      <c r="CO55" s="170"/>
      <c r="CP55" s="170"/>
      <c r="CQ55" s="170"/>
      <c r="CR55" s="170"/>
      <c r="CS55" s="170"/>
      <c r="CT55" s="170"/>
      <c r="CU55" s="170"/>
      <c r="CV55" s="170"/>
      <c r="CW55" s="170"/>
      <c r="CX55" s="170"/>
      <c r="CY55" s="170"/>
      <c r="CZ55" s="170"/>
      <c r="DA55" s="170"/>
      <c r="DB55" s="170"/>
      <c r="DC55" s="170"/>
      <c r="DD55" s="170"/>
      <c r="DE55" s="170"/>
      <c r="DF55" s="170"/>
      <c r="DG55" s="170"/>
      <c r="DH55" s="170"/>
      <c r="DI55" s="170"/>
      <c r="DJ55" s="170"/>
      <c r="DK55" s="170"/>
      <c r="DL55" s="170"/>
      <c r="DM55" s="170"/>
      <c r="DN55" s="170"/>
      <c r="DO55" s="170"/>
      <c r="DP55" s="170"/>
      <c r="DQ55" s="170"/>
      <c r="DR55" s="170"/>
      <c r="DS55" s="170"/>
      <c r="DT55" s="170"/>
      <c r="DU55" s="170"/>
      <c r="DV55" s="170"/>
      <c r="DW55" s="170"/>
      <c r="DX55" s="170"/>
      <c r="DY55" s="170"/>
      <c r="DZ55" s="170"/>
      <c r="EA55" s="170"/>
      <c r="EB55" s="170"/>
      <c r="EC55" s="170"/>
      <c r="ED55" s="170"/>
      <c r="EE55" s="170"/>
      <c r="EF55" s="170"/>
      <c r="EG55" s="170"/>
      <c r="EH55" s="170"/>
      <c r="EI55" s="170"/>
      <c r="EJ55" s="170"/>
      <c r="EK55" s="170"/>
      <c r="EL55" s="170"/>
      <c r="EM55" s="170"/>
      <c r="EN55" s="170"/>
      <c r="EO55" s="170"/>
      <c r="EP55" s="170"/>
      <c r="EQ55" s="170"/>
      <c r="ER55" s="170"/>
      <c r="ES55" s="170"/>
      <c r="ET55" s="170"/>
      <c r="EU55" s="170"/>
      <c r="EV55" s="170"/>
      <c r="EW55" s="170"/>
      <c r="EX55" s="170"/>
      <c r="EY55" s="170"/>
      <c r="EZ55" s="170"/>
      <c r="FA55" s="170"/>
      <c r="FB55" s="170"/>
      <c r="FC55" s="170"/>
      <c r="FD55" s="170"/>
      <c r="FE55" s="170"/>
      <c r="FF55" s="170"/>
      <c r="FG55" s="170"/>
      <c r="FH55" s="170"/>
      <c r="FI55" s="170"/>
      <c r="FJ55" s="170"/>
      <c r="FK55" s="170"/>
      <c r="FL55" s="170"/>
      <c r="FM55" s="170"/>
      <c r="FN55" s="170"/>
      <c r="FO55" s="170"/>
      <c r="FP55" s="170"/>
      <c r="FQ55" s="170"/>
      <c r="FR55" s="170"/>
      <c r="FS55" s="170"/>
      <c r="FT55" s="170"/>
      <c r="FU55" s="170"/>
      <c r="FV55" s="170"/>
      <c r="FW55" s="170"/>
      <c r="FX55" s="170"/>
      <c r="FY55" s="170"/>
      <c r="FZ55" s="170"/>
      <c r="GA55" s="170"/>
      <c r="GB55" s="170"/>
      <c r="GC55" s="170"/>
      <c r="GD55" s="170"/>
      <c r="GE55" s="170"/>
      <c r="GF55" s="170"/>
      <c r="GG55" s="170"/>
      <c r="GH55" s="170"/>
      <c r="GI55" s="170"/>
      <c r="GJ55" s="170"/>
      <c r="GK55" s="170"/>
      <c r="GL55" s="170"/>
      <c r="GM55" s="170"/>
      <c r="GN55" s="170"/>
      <c r="GO55" s="170"/>
      <c r="GP55" s="170"/>
      <c r="GQ55" s="170"/>
      <c r="GR55" s="170"/>
      <c r="GS55" s="170"/>
      <c r="GT55" s="170"/>
      <c r="GU55" s="170"/>
      <c r="GV55" s="170"/>
      <c r="GW55" s="170"/>
      <c r="GX55" s="170"/>
      <c r="GY55" s="170"/>
      <c r="GZ55" s="170"/>
      <c r="HA55" s="170"/>
      <c r="HB55" s="170"/>
      <c r="HC55" s="170"/>
      <c r="HD55" s="170"/>
      <c r="HE55" s="170"/>
      <c r="HF55" s="170"/>
      <c r="HG55" s="170"/>
      <c r="HH55" s="170"/>
      <c r="HI55" s="170"/>
      <c r="HJ55" s="170"/>
      <c r="HK55" s="170"/>
      <c r="HL55" s="170"/>
      <c r="HM55" s="170"/>
      <c r="HN55" s="170"/>
      <c r="HO55" s="170"/>
      <c r="HP55" s="170"/>
      <c r="HQ55" s="170"/>
      <c r="HR55" s="170"/>
      <c r="HS55" s="170"/>
      <c r="HT55" s="170"/>
      <c r="HU55" s="170"/>
      <c r="HV55" s="170"/>
      <c r="HW55" s="170"/>
      <c r="HX55" s="170"/>
      <c r="HY55" s="170"/>
      <c r="HZ55" s="170"/>
      <c r="IA55" s="170"/>
      <c r="IB55" s="170"/>
      <c r="IC55" s="170"/>
      <c r="ID55" s="170"/>
      <c r="IE55" s="170"/>
      <c r="IF55" s="170"/>
      <c r="IG55" s="170"/>
      <c r="IH55" s="170"/>
      <c r="II55" s="170"/>
      <c r="IJ55" s="170"/>
      <c r="IK55" s="170"/>
      <c r="IL55" s="170"/>
      <c r="IM55" s="170"/>
      <c r="IN55" s="170"/>
      <c r="IO55" s="170"/>
      <c r="IP55" s="170"/>
      <c r="IQ55" s="170"/>
      <c r="IR55" s="170"/>
      <c r="IS55" s="170"/>
      <c r="IT55" s="170"/>
      <c r="IU55" s="170"/>
    </row>
    <row r="56" spans="1:255" ht="39.75" customHeight="1" x14ac:dyDescent="0.2">
      <c r="A56" s="424"/>
      <c r="B56" s="425"/>
      <c r="C56" s="253"/>
      <c r="D56" s="450"/>
      <c r="E56" s="253"/>
      <c r="F56" s="450"/>
      <c r="G56" s="2355"/>
      <c r="H56" s="3091"/>
      <c r="I56" s="2793"/>
      <c r="J56" s="3040"/>
      <c r="K56" s="3142"/>
      <c r="L56" s="3130"/>
      <c r="M56" s="3096"/>
      <c r="N56" s="2969"/>
      <c r="O56" s="2715"/>
      <c r="P56" s="3096"/>
      <c r="Q56" s="2793"/>
      <c r="R56" s="388" t="s">
        <v>357</v>
      </c>
      <c r="S56" s="443">
        <v>4000000</v>
      </c>
      <c r="T56" s="3083"/>
      <c r="U56" s="3083"/>
      <c r="V56" s="3184"/>
      <c r="W56" s="3052"/>
      <c r="X56" s="3040"/>
      <c r="Y56" s="3040"/>
      <c r="Z56" s="3040"/>
      <c r="AA56" s="3040"/>
      <c r="AB56" s="3181"/>
      <c r="AC56" s="3040"/>
      <c r="AD56" s="2223"/>
      <c r="AE56" s="2223"/>
      <c r="AF56" s="2223"/>
      <c r="AG56" s="2223"/>
      <c r="AH56" s="2223"/>
      <c r="AI56" s="2223"/>
      <c r="AJ56" s="2223"/>
      <c r="AK56" s="2931"/>
      <c r="AL56" s="2229"/>
      <c r="AM56" s="2184"/>
      <c r="AN56" s="423"/>
      <c r="AO56" s="423"/>
      <c r="AP56" s="423"/>
      <c r="AQ56" s="423"/>
      <c r="AR56" s="423"/>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CS56" s="170"/>
      <c r="CT56" s="170"/>
      <c r="CU56" s="170"/>
      <c r="CV56" s="170"/>
      <c r="CW56" s="170"/>
      <c r="CX56" s="170"/>
      <c r="CY56" s="170"/>
      <c r="CZ56" s="170"/>
      <c r="DA56" s="170"/>
      <c r="DB56" s="170"/>
      <c r="DC56" s="170"/>
      <c r="DD56" s="170"/>
      <c r="DE56" s="170"/>
      <c r="DF56" s="170"/>
      <c r="DG56" s="170"/>
      <c r="DH56" s="170"/>
      <c r="DI56" s="170"/>
      <c r="DJ56" s="170"/>
      <c r="DK56" s="170"/>
      <c r="DL56" s="170"/>
      <c r="DM56" s="170"/>
      <c r="DN56" s="170"/>
      <c r="DO56" s="170"/>
      <c r="DP56" s="170"/>
      <c r="DQ56" s="170"/>
      <c r="DR56" s="170"/>
      <c r="DS56" s="170"/>
      <c r="DT56" s="170"/>
      <c r="DU56" s="170"/>
      <c r="DV56" s="170"/>
      <c r="DW56" s="170"/>
      <c r="DX56" s="170"/>
      <c r="DY56" s="170"/>
      <c r="DZ56" s="170"/>
      <c r="EA56" s="170"/>
      <c r="EB56" s="170"/>
      <c r="EC56" s="170"/>
      <c r="ED56" s="170"/>
      <c r="EE56" s="170"/>
      <c r="EF56" s="170"/>
      <c r="EG56" s="170"/>
      <c r="EH56" s="170"/>
      <c r="EI56" s="170"/>
      <c r="EJ56" s="170"/>
      <c r="EK56" s="170"/>
      <c r="EL56" s="170"/>
      <c r="EM56" s="170"/>
      <c r="EN56" s="170"/>
      <c r="EO56" s="170"/>
      <c r="EP56" s="170"/>
      <c r="EQ56" s="170"/>
      <c r="ER56" s="170"/>
      <c r="ES56" s="170"/>
      <c r="ET56" s="170"/>
      <c r="EU56" s="170"/>
      <c r="EV56" s="170"/>
      <c r="EW56" s="170"/>
      <c r="EX56" s="170"/>
      <c r="EY56" s="170"/>
      <c r="EZ56" s="170"/>
      <c r="FA56" s="170"/>
      <c r="FB56" s="170"/>
      <c r="FC56" s="170"/>
      <c r="FD56" s="170"/>
      <c r="FE56" s="170"/>
      <c r="FF56" s="170"/>
      <c r="FG56" s="170"/>
      <c r="FH56" s="170"/>
      <c r="FI56" s="170"/>
      <c r="FJ56" s="170"/>
      <c r="FK56" s="170"/>
      <c r="FL56" s="170"/>
      <c r="FM56" s="170"/>
      <c r="FN56" s="170"/>
      <c r="FO56" s="170"/>
      <c r="FP56" s="170"/>
      <c r="FQ56" s="170"/>
      <c r="FR56" s="170"/>
      <c r="FS56" s="170"/>
      <c r="FT56" s="170"/>
      <c r="FU56" s="170"/>
      <c r="FV56" s="170"/>
      <c r="FW56" s="170"/>
      <c r="FX56" s="170"/>
      <c r="FY56" s="170"/>
      <c r="FZ56" s="170"/>
      <c r="GA56" s="170"/>
      <c r="GB56" s="170"/>
      <c r="GC56" s="170"/>
      <c r="GD56" s="170"/>
      <c r="GE56" s="170"/>
      <c r="GF56" s="170"/>
      <c r="GG56" s="170"/>
      <c r="GH56" s="170"/>
      <c r="GI56" s="170"/>
      <c r="GJ56" s="170"/>
      <c r="GK56" s="170"/>
      <c r="GL56" s="170"/>
      <c r="GM56" s="170"/>
      <c r="GN56" s="170"/>
      <c r="GO56" s="170"/>
      <c r="GP56" s="170"/>
      <c r="GQ56" s="170"/>
      <c r="GR56" s="170"/>
      <c r="GS56" s="170"/>
      <c r="GT56" s="170"/>
      <c r="GU56" s="170"/>
      <c r="GV56" s="170"/>
      <c r="GW56" s="170"/>
      <c r="GX56" s="170"/>
      <c r="GY56" s="170"/>
      <c r="GZ56" s="170"/>
      <c r="HA56" s="170"/>
      <c r="HB56" s="170"/>
      <c r="HC56" s="170"/>
      <c r="HD56" s="170"/>
      <c r="HE56" s="170"/>
      <c r="HF56" s="170"/>
      <c r="HG56" s="170"/>
      <c r="HH56" s="170"/>
      <c r="HI56" s="170"/>
      <c r="HJ56" s="170"/>
      <c r="HK56" s="170"/>
      <c r="HL56" s="170"/>
      <c r="HM56" s="170"/>
      <c r="HN56" s="170"/>
      <c r="HO56" s="170"/>
      <c r="HP56" s="170"/>
      <c r="HQ56" s="170"/>
      <c r="HR56" s="170"/>
      <c r="HS56" s="170"/>
      <c r="HT56" s="170"/>
      <c r="HU56" s="170"/>
      <c r="HV56" s="170"/>
      <c r="HW56" s="170"/>
      <c r="HX56" s="170"/>
      <c r="HY56" s="170"/>
      <c r="HZ56" s="170"/>
      <c r="IA56" s="170"/>
      <c r="IB56" s="170"/>
      <c r="IC56" s="170"/>
      <c r="ID56" s="170"/>
      <c r="IE56" s="170"/>
      <c r="IF56" s="170"/>
      <c r="IG56" s="170"/>
      <c r="IH56" s="170"/>
      <c r="II56" s="170"/>
      <c r="IJ56" s="170"/>
      <c r="IK56" s="170"/>
      <c r="IL56" s="170"/>
      <c r="IM56" s="170"/>
      <c r="IN56" s="170"/>
      <c r="IO56" s="170"/>
      <c r="IP56" s="170"/>
      <c r="IQ56" s="170"/>
      <c r="IR56" s="170"/>
      <c r="IS56" s="170"/>
      <c r="IT56" s="170"/>
      <c r="IU56" s="170"/>
    </row>
    <row r="57" spans="1:255" ht="47.25" customHeight="1" x14ac:dyDescent="0.2">
      <c r="A57" s="424"/>
      <c r="B57" s="425"/>
      <c r="C57" s="253"/>
      <c r="D57" s="450"/>
      <c r="E57" s="253"/>
      <c r="F57" s="450"/>
      <c r="G57" s="2355"/>
      <c r="H57" s="3091"/>
      <c r="I57" s="2793"/>
      <c r="J57" s="3040"/>
      <c r="K57" s="3142"/>
      <c r="L57" s="3130"/>
      <c r="M57" s="3096"/>
      <c r="N57" s="2969"/>
      <c r="O57" s="2715"/>
      <c r="P57" s="3096"/>
      <c r="Q57" s="2793"/>
      <c r="R57" s="267" t="s">
        <v>358</v>
      </c>
      <c r="S57" s="443">
        <v>9000000</v>
      </c>
      <c r="T57" s="3083"/>
      <c r="U57" s="3083"/>
      <c r="V57" s="3184"/>
      <c r="W57" s="3052"/>
      <c r="X57" s="3040"/>
      <c r="Y57" s="3040"/>
      <c r="Z57" s="3040"/>
      <c r="AA57" s="3040"/>
      <c r="AB57" s="3181"/>
      <c r="AC57" s="3040"/>
      <c r="AD57" s="2223"/>
      <c r="AE57" s="2223"/>
      <c r="AF57" s="2223"/>
      <c r="AG57" s="2223"/>
      <c r="AH57" s="2223"/>
      <c r="AI57" s="2223"/>
      <c r="AJ57" s="2223"/>
      <c r="AK57" s="2931"/>
      <c r="AL57" s="2229"/>
      <c r="AM57" s="2184"/>
      <c r="AN57" s="423"/>
      <c r="AO57" s="423"/>
      <c r="AP57" s="423"/>
      <c r="AQ57" s="423"/>
      <c r="AR57" s="423"/>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0"/>
      <c r="CG57" s="170"/>
      <c r="CH57" s="170"/>
      <c r="CI57" s="170"/>
      <c r="CJ57" s="170"/>
      <c r="CK57" s="170"/>
      <c r="CL57" s="170"/>
      <c r="CM57" s="170"/>
      <c r="CN57" s="170"/>
      <c r="CO57" s="170"/>
      <c r="CP57" s="170"/>
      <c r="CQ57" s="170"/>
      <c r="CR57" s="170"/>
      <c r="CS57" s="170"/>
      <c r="CT57" s="170"/>
      <c r="CU57" s="170"/>
      <c r="CV57" s="170"/>
      <c r="CW57" s="170"/>
      <c r="CX57" s="170"/>
      <c r="CY57" s="170"/>
      <c r="CZ57" s="170"/>
      <c r="DA57" s="170"/>
      <c r="DB57" s="170"/>
      <c r="DC57" s="170"/>
      <c r="DD57" s="170"/>
      <c r="DE57" s="170"/>
      <c r="DF57" s="170"/>
      <c r="DG57" s="170"/>
      <c r="DH57" s="170"/>
      <c r="DI57" s="170"/>
      <c r="DJ57" s="170"/>
      <c r="DK57" s="170"/>
      <c r="DL57" s="170"/>
      <c r="DM57" s="170"/>
      <c r="DN57" s="170"/>
      <c r="DO57" s="170"/>
      <c r="DP57" s="170"/>
      <c r="DQ57" s="170"/>
      <c r="DR57" s="170"/>
      <c r="DS57" s="170"/>
      <c r="DT57" s="170"/>
      <c r="DU57" s="170"/>
      <c r="DV57" s="170"/>
      <c r="DW57" s="170"/>
      <c r="DX57" s="170"/>
      <c r="DY57" s="170"/>
      <c r="DZ57" s="170"/>
      <c r="EA57" s="170"/>
      <c r="EB57" s="170"/>
      <c r="EC57" s="170"/>
      <c r="ED57" s="170"/>
      <c r="EE57" s="170"/>
      <c r="EF57" s="170"/>
      <c r="EG57" s="170"/>
      <c r="EH57" s="170"/>
      <c r="EI57" s="170"/>
      <c r="EJ57" s="170"/>
      <c r="EK57" s="170"/>
      <c r="EL57" s="170"/>
      <c r="EM57" s="170"/>
      <c r="EN57" s="170"/>
      <c r="EO57" s="170"/>
      <c r="EP57" s="170"/>
      <c r="EQ57" s="170"/>
      <c r="ER57" s="170"/>
      <c r="ES57" s="170"/>
      <c r="ET57" s="170"/>
      <c r="EU57" s="170"/>
      <c r="EV57" s="170"/>
      <c r="EW57" s="170"/>
      <c r="EX57" s="170"/>
      <c r="EY57" s="170"/>
      <c r="EZ57" s="170"/>
      <c r="FA57" s="170"/>
      <c r="FB57" s="170"/>
      <c r="FC57" s="170"/>
      <c r="FD57" s="170"/>
      <c r="FE57" s="170"/>
      <c r="FF57" s="170"/>
      <c r="FG57" s="170"/>
      <c r="FH57" s="170"/>
      <c r="FI57" s="170"/>
      <c r="FJ57" s="170"/>
      <c r="FK57" s="170"/>
      <c r="FL57" s="170"/>
      <c r="FM57" s="170"/>
      <c r="FN57" s="170"/>
      <c r="FO57" s="170"/>
      <c r="FP57" s="170"/>
      <c r="FQ57" s="170"/>
      <c r="FR57" s="170"/>
      <c r="FS57" s="170"/>
      <c r="FT57" s="170"/>
      <c r="FU57" s="170"/>
      <c r="FV57" s="170"/>
      <c r="FW57" s="170"/>
      <c r="FX57" s="170"/>
      <c r="FY57" s="170"/>
      <c r="FZ57" s="170"/>
      <c r="GA57" s="170"/>
      <c r="GB57" s="170"/>
      <c r="GC57" s="170"/>
      <c r="GD57" s="170"/>
      <c r="GE57" s="170"/>
      <c r="GF57" s="170"/>
      <c r="GG57" s="170"/>
      <c r="GH57" s="170"/>
      <c r="GI57" s="170"/>
      <c r="GJ57" s="170"/>
      <c r="GK57" s="170"/>
      <c r="GL57" s="170"/>
      <c r="GM57" s="170"/>
      <c r="GN57" s="170"/>
      <c r="GO57" s="170"/>
      <c r="GP57" s="170"/>
      <c r="GQ57" s="170"/>
      <c r="GR57" s="170"/>
      <c r="GS57" s="170"/>
      <c r="GT57" s="170"/>
      <c r="GU57" s="170"/>
      <c r="GV57" s="170"/>
      <c r="GW57" s="170"/>
      <c r="GX57" s="170"/>
      <c r="GY57" s="170"/>
      <c r="GZ57" s="170"/>
      <c r="HA57" s="170"/>
      <c r="HB57" s="170"/>
      <c r="HC57" s="170"/>
      <c r="HD57" s="170"/>
      <c r="HE57" s="170"/>
      <c r="HF57" s="170"/>
      <c r="HG57" s="170"/>
      <c r="HH57" s="170"/>
      <c r="HI57" s="170"/>
      <c r="HJ57" s="170"/>
      <c r="HK57" s="170"/>
      <c r="HL57" s="170"/>
      <c r="HM57" s="170"/>
      <c r="HN57" s="170"/>
      <c r="HO57" s="170"/>
      <c r="HP57" s="170"/>
      <c r="HQ57" s="170"/>
      <c r="HR57" s="170"/>
      <c r="HS57" s="170"/>
      <c r="HT57" s="170"/>
      <c r="HU57" s="170"/>
      <c r="HV57" s="170"/>
      <c r="HW57" s="170"/>
      <c r="HX57" s="170"/>
      <c r="HY57" s="170"/>
      <c r="HZ57" s="170"/>
      <c r="IA57" s="170"/>
      <c r="IB57" s="170"/>
      <c r="IC57" s="170"/>
      <c r="ID57" s="170"/>
      <c r="IE57" s="170"/>
      <c r="IF57" s="170"/>
      <c r="IG57" s="170"/>
      <c r="IH57" s="170"/>
      <c r="II57" s="170"/>
      <c r="IJ57" s="170"/>
      <c r="IK57" s="170"/>
      <c r="IL57" s="170"/>
      <c r="IM57" s="170"/>
      <c r="IN57" s="170"/>
      <c r="IO57" s="170"/>
      <c r="IP57" s="170"/>
      <c r="IQ57" s="170"/>
      <c r="IR57" s="170"/>
      <c r="IS57" s="170"/>
      <c r="IT57" s="170"/>
      <c r="IU57" s="170"/>
    </row>
    <row r="58" spans="1:255" ht="27.75" customHeight="1" x14ac:dyDescent="0.2">
      <c r="A58" s="424"/>
      <c r="B58" s="425"/>
      <c r="C58" s="253"/>
      <c r="D58" s="450"/>
      <c r="E58" s="253"/>
      <c r="F58" s="450"/>
      <c r="G58" s="2417"/>
      <c r="H58" s="3106"/>
      <c r="I58" s="2784"/>
      <c r="J58" s="3078"/>
      <c r="K58" s="3143"/>
      <c r="L58" s="3130"/>
      <c r="M58" s="3096"/>
      <c r="N58" s="2940"/>
      <c r="O58" s="2715"/>
      <c r="P58" s="3096"/>
      <c r="Q58" s="2784"/>
      <c r="R58" s="267" t="s">
        <v>359</v>
      </c>
      <c r="S58" s="443">
        <v>1000000</v>
      </c>
      <c r="T58" s="3083"/>
      <c r="U58" s="3105"/>
      <c r="V58" s="3185"/>
      <c r="W58" s="3063"/>
      <c r="X58" s="3078"/>
      <c r="Y58" s="3078"/>
      <c r="Z58" s="3078"/>
      <c r="AA58" s="3078"/>
      <c r="AB58" s="3182"/>
      <c r="AC58" s="3078"/>
      <c r="AD58" s="2223"/>
      <c r="AE58" s="2223"/>
      <c r="AF58" s="2223"/>
      <c r="AG58" s="2224"/>
      <c r="AH58" s="2223"/>
      <c r="AI58" s="2223"/>
      <c r="AJ58" s="2223"/>
      <c r="AK58" s="2931"/>
      <c r="AL58" s="2229"/>
      <c r="AM58" s="2184"/>
    </row>
    <row r="59" spans="1:255" ht="15.75" x14ac:dyDescent="0.2">
      <c r="A59" s="424"/>
      <c r="B59" s="425"/>
      <c r="C59" s="253"/>
      <c r="D59" s="450"/>
      <c r="E59" s="151">
        <v>61</v>
      </c>
      <c r="F59" s="433" t="s">
        <v>360</v>
      </c>
      <c r="G59" s="434"/>
      <c r="H59" s="435"/>
      <c r="I59" s="435"/>
      <c r="J59" s="434"/>
      <c r="K59" s="434"/>
      <c r="L59" s="434"/>
      <c r="M59" s="435"/>
      <c r="N59" s="434"/>
      <c r="O59" s="451"/>
      <c r="P59" s="435"/>
      <c r="Q59" s="435"/>
      <c r="R59" s="435"/>
      <c r="S59" s="452"/>
      <c r="T59" s="436"/>
      <c r="U59" s="435"/>
      <c r="V59" s="434"/>
      <c r="W59" s="434"/>
      <c r="X59" s="434"/>
      <c r="Y59" s="434"/>
      <c r="Z59" s="434"/>
      <c r="AA59" s="434"/>
      <c r="AB59" s="434"/>
      <c r="AC59" s="434"/>
      <c r="AD59" s="434"/>
      <c r="AE59" s="434"/>
      <c r="AF59" s="434"/>
      <c r="AG59" s="434"/>
      <c r="AH59" s="434"/>
      <c r="AI59" s="434"/>
      <c r="AJ59" s="434"/>
      <c r="AK59" s="434"/>
      <c r="AL59" s="434"/>
      <c r="AM59" s="453"/>
    </row>
    <row r="60" spans="1:255" ht="51" customHeight="1" x14ac:dyDescent="0.2">
      <c r="A60" s="424"/>
      <c r="B60" s="425"/>
      <c r="C60" s="253"/>
      <c r="D60" s="450"/>
      <c r="E60" s="239"/>
      <c r="F60" s="450"/>
      <c r="G60" s="2354">
        <v>190</v>
      </c>
      <c r="H60" s="2284" t="s">
        <v>361</v>
      </c>
      <c r="I60" s="2284" t="s">
        <v>362</v>
      </c>
      <c r="J60" s="3172">
        <v>1</v>
      </c>
      <c r="K60" s="3141" t="s">
        <v>363</v>
      </c>
      <c r="L60" s="3132" t="s">
        <v>364</v>
      </c>
      <c r="M60" s="3095" t="s">
        <v>365</v>
      </c>
      <c r="N60" s="3076">
        <f>SUM(S60:S76)/O60</f>
        <v>1</v>
      </c>
      <c r="O60" s="3169">
        <f>SUM(S60:S76)</f>
        <v>190000000</v>
      </c>
      <c r="P60" s="3170" t="s">
        <v>366</v>
      </c>
      <c r="Q60" s="2277" t="s">
        <v>367</v>
      </c>
      <c r="R60" s="481" t="s">
        <v>368</v>
      </c>
      <c r="S60" s="482">
        <v>15000000</v>
      </c>
      <c r="T60" s="3104">
        <v>20</v>
      </c>
      <c r="U60" s="3144" t="s">
        <v>72</v>
      </c>
      <c r="V60" s="3167">
        <v>3257</v>
      </c>
      <c r="W60" s="3167">
        <v>2000</v>
      </c>
      <c r="X60" s="3167">
        <f>1588*30%</f>
        <v>476.4</v>
      </c>
      <c r="Y60" s="3167">
        <f>922*30%</f>
        <v>276.59999999999997</v>
      </c>
      <c r="Z60" s="3167">
        <f>6953*30%</f>
        <v>2085.9</v>
      </c>
      <c r="AA60" s="3167">
        <f>7792*30%</f>
        <v>2337.6</v>
      </c>
      <c r="AB60" s="3167">
        <v>50</v>
      </c>
      <c r="AC60" s="3167">
        <v>30</v>
      </c>
      <c r="AD60" s="3167"/>
      <c r="AE60" s="3167"/>
      <c r="AF60" s="3167"/>
      <c r="AG60" s="3167"/>
      <c r="AH60" s="3167">
        <v>5257</v>
      </c>
      <c r="AI60" s="2931"/>
      <c r="AJ60" s="2931"/>
      <c r="AK60" s="3117">
        <v>43102</v>
      </c>
      <c r="AL60" s="3165">
        <v>43465</v>
      </c>
      <c r="AM60" s="2184" t="s">
        <v>273</v>
      </c>
    </row>
    <row r="61" spans="1:255" ht="53.25" customHeight="1" x14ac:dyDescent="0.2">
      <c r="A61" s="424"/>
      <c r="B61" s="425"/>
      <c r="C61" s="253"/>
      <c r="D61" s="450"/>
      <c r="E61" s="253"/>
      <c r="F61" s="450"/>
      <c r="G61" s="2355"/>
      <c r="H61" s="3091"/>
      <c r="I61" s="3091"/>
      <c r="J61" s="3173"/>
      <c r="K61" s="3142"/>
      <c r="L61" s="3130"/>
      <c r="M61" s="3096"/>
      <c r="N61" s="2734"/>
      <c r="O61" s="2735"/>
      <c r="P61" s="3171"/>
      <c r="Q61" s="2277"/>
      <c r="R61" s="381" t="s">
        <v>369</v>
      </c>
      <c r="S61" s="482">
        <v>7920000</v>
      </c>
      <c r="T61" s="3083"/>
      <c r="U61" s="3144"/>
      <c r="V61" s="3167"/>
      <c r="W61" s="3167"/>
      <c r="X61" s="3167"/>
      <c r="Y61" s="3167"/>
      <c r="Z61" s="3167"/>
      <c r="AA61" s="3167"/>
      <c r="AB61" s="3167"/>
      <c r="AC61" s="3167"/>
      <c r="AD61" s="3167"/>
      <c r="AE61" s="3167"/>
      <c r="AF61" s="3167"/>
      <c r="AG61" s="3167"/>
      <c r="AH61" s="3167"/>
      <c r="AI61" s="2931"/>
      <c r="AJ61" s="2931"/>
      <c r="AK61" s="3117"/>
      <c r="AL61" s="3166"/>
      <c r="AM61" s="2184"/>
    </row>
    <row r="62" spans="1:255" ht="49.5" customHeight="1" x14ac:dyDescent="0.2">
      <c r="A62" s="424"/>
      <c r="B62" s="425"/>
      <c r="C62" s="253"/>
      <c r="D62" s="450"/>
      <c r="E62" s="253"/>
      <c r="F62" s="450"/>
      <c r="G62" s="2355"/>
      <c r="H62" s="3091"/>
      <c r="I62" s="3091"/>
      <c r="J62" s="3173"/>
      <c r="K62" s="3142"/>
      <c r="L62" s="3130"/>
      <c r="M62" s="3096"/>
      <c r="N62" s="2734"/>
      <c r="O62" s="2735"/>
      <c r="P62" s="3171"/>
      <c r="Q62" s="2277"/>
      <c r="R62" s="483" t="s">
        <v>370</v>
      </c>
      <c r="S62" s="482">
        <v>7920000</v>
      </c>
      <c r="T62" s="3083"/>
      <c r="U62" s="3144"/>
      <c r="V62" s="3167"/>
      <c r="W62" s="3167"/>
      <c r="X62" s="3167"/>
      <c r="Y62" s="3167"/>
      <c r="Z62" s="3167"/>
      <c r="AA62" s="3167"/>
      <c r="AB62" s="3167"/>
      <c r="AC62" s="3167"/>
      <c r="AD62" s="3167"/>
      <c r="AE62" s="3167"/>
      <c r="AF62" s="3167"/>
      <c r="AG62" s="3167"/>
      <c r="AH62" s="3167"/>
      <c r="AI62" s="2931"/>
      <c r="AJ62" s="2931"/>
      <c r="AK62" s="3117"/>
      <c r="AL62" s="3166"/>
      <c r="AM62" s="2184"/>
    </row>
    <row r="63" spans="1:255" ht="72.75" customHeight="1" x14ac:dyDescent="0.2">
      <c r="A63" s="424"/>
      <c r="B63" s="425"/>
      <c r="C63" s="253"/>
      <c r="D63" s="450"/>
      <c r="E63" s="253"/>
      <c r="F63" s="450"/>
      <c r="G63" s="2355"/>
      <c r="H63" s="3091"/>
      <c r="I63" s="3091"/>
      <c r="J63" s="3173"/>
      <c r="K63" s="3142"/>
      <c r="L63" s="3130"/>
      <c r="M63" s="3096"/>
      <c r="N63" s="2734"/>
      <c r="O63" s="2735"/>
      <c r="P63" s="3171"/>
      <c r="Q63" s="2277"/>
      <c r="R63" s="483" t="s">
        <v>371</v>
      </c>
      <c r="S63" s="482">
        <v>5000000</v>
      </c>
      <c r="T63" s="3083"/>
      <c r="U63" s="3144"/>
      <c r="V63" s="3167"/>
      <c r="W63" s="3167"/>
      <c r="X63" s="3167"/>
      <c r="Y63" s="3167"/>
      <c r="Z63" s="3167"/>
      <c r="AA63" s="3167"/>
      <c r="AB63" s="3167"/>
      <c r="AC63" s="3167"/>
      <c r="AD63" s="3167"/>
      <c r="AE63" s="3167"/>
      <c r="AF63" s="3167"/>
      <c r="AG63" s="3167"/>
      <c r="AH63" s="3167"/>
      <c r="AI63" s="2931"/>
      <c r="AJ63" s="2931"/>
      <c r="AK63" s="3117"/>
      <c r="AL63" s="3166"/>
      <c r="AM63" s="2184"/>
    </row>
    <row r="64" spans="1:255" ht="75" customHeight="1" x14ac:dyDescent="0.2">
      <c r="A64" s="424"/>
      <c r="B64" s="425"/>
      <c r="C64" s="253"/>
      <c r="D64" s="450"/>
      <c r="E64" s="253"/>
      <c r="F64" s="450"/>
      <c r="G64" s="2355"/>
      <c r="H64" s="3091"/>
      <c r="I64" s="3091"/>
      <c r="J64" s="3173"/>
      <c r="K64" s="3142"/>
      <c r="L64" s="3130"/>
      <c r="M64" s="3096"/>
      <c r="N64" s="2734"/>
      <c r="O64" s="2735"/>
      <c r="P64" s="3171"/>
      <c r="Q64" s="2277" t="s">
        <v>372</v>
      </c>
      <c r="R64" s="483" t="s">
        <v>373</v>
      </c>
      <c r="S64" s="484">
        <v>5280000</v>
      </c>
      <c r="T64" s="3083"/>
      <c r="U64" s="3144"/>
      <c r="V64" s="3167"/>
      <c r="W64" s="3167"/>
      <c r="X64" s="3167"/>
      <c r="Y64" s="3167"/>
      <c r="Z64" s="3167"/>
      <c r="AA64" s="3167"/>
      <c r="AB64" s="3167"/>
      <c r="AC64" s="3167"/>
      <c r="AD64" s="3167"/>
      <c r="AE64" s="3167"/>
      <c r="AF64" s="3167"/>
      <c r="AG64" s="3167"/>
      <c r="AH64" s="3167"/>
      <c r="AI64" s="2931"/>
      <c r="AJ64" s="2931"/>
      <c r="AK64" s="3117"/>
      <c r="AL64" s="3166"/>
      <c r="AM64" s="2184"/>
    </row>
    <row r="65" spans="1:255" ht="42.75" customHeight="1" x14ac:dyDescent="0.2">
      <c r="A65" s="424"/>
      <c r="B65" s="425"/>
      <c r="C65" s="253"/>
      <c r="D65" s="450"/>
      <c r="E65" s="253"/>
      <c r="F65" s="450"/>
      <c r="G65" s="2355"/>
      <c r="H65" s="3091"/>
      <c r="I65" s="3091"/>
      <c r="J65" s="3173"/>
      <c r="K65" s="3142"/>
      <c r="L65" s="3130"/>
      <c r="M65" s="3096"/>
      <c r="N65" s="2734"/>
      <c r="O65" s="2735"/>
      <c r="P65" s="3171"/>
      <c r="Q65" s="2277"/>
      <c r="R65" s="483" t="s">
        <v>374</v>
      </c>
      <c r="S65" s="484">
        <v>5280000</v>
      </c>
      <c r="T65" s="3083"/>
      <c r="U65" s="3144"/>
      <c r="V65" s="3167"/>
      <c r="W65" s="3167"/>
      <c r="X65" s="3167"/>
      <c r="Y65" s="3167"/>
      <c r="Z65" s="3167"/>
      <c r="AA65" s="3167"/>
      <c r="AB65" s="3167"/>
      <c r="AC65" s="3167"/>
      <c r="AD65" s="3167"/>
      <c r="AE65" s="3167"/>
      <c r="AF65" s="3167"/>
      <c r="AG65" s="3167"/>
      <c r="AH65" s="3167"/>
      <c r="AI65" s="2931"/>
      <c r="AJ65" s="2931"/>
      <c r="AK65" s="3117"/>
      <c r="AL65" s="3166"/>
      <c r="AM65" s="2184"/>
    </row>
    <row r="66" spans="1:255" ht="53.25" customHeight="1" x14ac:dyDescent="0.2">
      <c r="A66" s="424"/>
      <c r="B66" s="425"/>
      <c r="C66" s="253"/>
      <c r="D66" s="450"/>
      <c r="E66" s="253"/>
      <c r="F66" s="450"/>
      <c r="G66" s="2355"/>
      <c r="H66" s="3091"/>
      <c r="I66" s="3091"/>
      <c r="J66" s="3173"/>
      <c r="K66" s="3142"/>
      <c r="L66" s="3130"/>
      <c r="M66" s="3096"/>
      <c r="N66" s="2734"/>
      <c r="O66" s="2735"/>
      <c r="P66" s="3171"/>
      <c r="Q66" s="2277"/>
      <c r="R66" s="483" t="s">
        <v>375</v>
      </c>
      <c r="S66" s="484">
        <v>7920000</v>
      </c>
      <c r="T66" s="3083"/>
      <c r="U66" s="3144"/>
      <c r="V66" s="3167"/>
      <c r="W66" s="3167"/>
      <c r="X66" s="3167"/>
      <c r="Y66" s="3167"/>
      <c r="Z66" s="3167"/>
      <c r="AA66" s="3167"/>
      <c r="AB66" s="3167"/>
      <c r="AC66" s="3167"/>
      <c r="AD66" s="3167"/>
      <c r="AE66" s="3167"/>
      <c r="AF66" s="3167"/>
      <c r="AG66" s="3167"/>
      <c r="AH66" s="3167"/>
      <c r="AI66" s="2931"/>
      <c r="AJ66" s="2931"/>
      <c r="AK66" s="3117"/>
      <c r="AL66" s="3166"/>
      <c r="AM66" s="2184"/>
    </row>
    <row r="67" spans="1:255" ht="60" x14ac:dyDescent="0.2">
      <c r="A67" s="424"/>
      <c r="B67" s="425"/>
      <c r="C67" s="253"/>
      <c r="D67" s="450"/>
      <c r="E67" s="253"/>
      <c r="F67" s="450"/>
      <c r="G67" s="2355"/>
      <c r="H67" s="3091"/>
      <c r="I67" s="3091"/>
      <c r="J67" s="3173"/>
      <c r="K67" s="3142"/>
      <c r="L67" s="3130"/>
      <c r="M67" s="3096"/>
      <c r="N67" s="2734"/>
      <c r="O67" s="2735"/>
      <c r="P67" s="3171"/>
      <c r="Q67" s="2277"/>
      <c r="R67" s="483" t="s">
        <v>376</v>
      </c>
      <c r="S67" s="484">
        <v>5280000</v>
      </c>
      <c r="T67" s="3083"/>
      <c r="U67" s="3144"/>
      <c r="V67" s="3167"/>
      <c r="W67" s="3167"/>
      <c r="X67" s="3167"/>
      <c r="Y67" s="3167"/>
      <c r="Z67" s="3167"/>
      <c r="AA67" s="3167"/>
      <c r="AB67" s="3167"/>
      <c r="AC67" s="3167"/>
      <c r="AD67" s="3167"/>
      <c r="AE67" s="3167"/>
      <c r="AF67" s="3167"/>
      <c r="AG67" s="3167"/>
      <c r="AH67" s="3167"/>
      <c r="AI67" s="2931"/>
      <c r="AJ67" s="2931"/>
      <c r="AK67" s="3117"/>
      <c r="AL67" s="3166"/>
      <c r="AM67" s="2184"/>
    </row>
    <row r="68" spans="1:255" ht="105" customHeight="1" x14ac:dyDescent="0.2">
      <c r="A68" s="424"/>
      <c r="B68" s="425"/>
      <c r="C68" s="253"/>
      <c r="D68" s="450"/>
      <c r="E68" s="253"/>
      <c r="F68" s="450"/>
      <c r="G68" s="2355"/>
      <c r="H68" s="3091"/>
      <c r="I68" s="3091"/>
      <c r="J68" s="3173"/>
      <c r="K68" s="3142"/>
      <c r="L68" s="3130"/>
      <c r="M68" s="3096"/>
      <c r="N68" s="2734"/>
      <c r="O68" s="2735"/>
      <c r="P68" s="3171"/>
      <c r="Q68" s="2277"/>
      <c r="R68" s="483" t="s">
        <v>377</v>
      </c>
      <c r="S68" s="484">
        <v>17435000</v>
      </c>
      <c r="T68" s="3083"/>
      <c r="U68" s="3144"/>
      <c r="V68" s="3167"/>
      <c r="W68" s="3167"/>
      <c r="X68" s="3167"/>
      <c r="Y68" s="3167"/>
      <c r="Z68" s="3167"/>
      <c r="AA68" s="3167"/>
      <c r="AB68" s="3167"/>
      <c r="AC68" s="3167"/>
      <c r="AD68" s="3167"/>
      <c r="AE68" s="3167"/>
      <c r="AF68" s="3167"/>
      <c r="AG68" s="3167"/>
      <c r="AH68" s="3167"/>
      <c r="AI68" s="2931"/>
      <c r="AJ68" s="2931"/>
      <c r="AK68" s="3117"/>
      <c r="AL68" s="3166"/>
      <c r="AM68" s="2184"/>
    </row>
    <row r="69" spans="1:255" ht="45" customHeight="1" x14ac:dyDescent="0.2">
      <c r="A69" s="424"/>
      <c r="B69" s="425"/>
      <c r="C69" s="253"/>
      <c r="D69" s="450"/>
      <c r="E69" s="253"/>
      <c r="F69" s="450"/>
      <c r="G69" s="2355"/>
      <c r="H69" s="3091"/>
      <c r="I69" s="3091"/>
      <c r="J69" s="3173"/>
      <c r="K69" s="3142"/>
      <c r="L69" s="3130"/>
      <c r="M69" s="3096"/>
      <c r="N69" s="2734"/>
      <c r="O69" s="2735"/>
      <c r="P69" s="3171"/>
      <c r="Q69" s="2277"/>
      <c r="R69" s="483" t="s">
        <v>378</v>
      </c>
      <c r="S69" s="484">
        <v>5945000</v>
      </c>
      <c r="T69" s="3083"/>
      <c r="U69" s="3144"/>
      <c r="V69" s="3167"/>
      <c r="W69" s="3167"/>
      <c r="X69" s="3167"/>
      <c r="Y69" s="3167"/>
      <c r="Z69" s="3167"/>
      <c r="AA69" s="3167"/>
      <c r="AB69" s="3167"/>
      <c r="AC69" s="3167"/>
      <c r="AD69" s="3167"/>
      <c r="AE69" s="3167"/>
      <c r="AF69" s="3167"/>
      <c r="AG69" s="3167"/>
      <c r="AH69" s="3167"/>
      <c r="AI69" s="2931"/>
      <c r="AJ69" s="2931"/>
      <c r="AK69" s="3117"/>
      <c r="AL69" s="3166"/>
      <c r="AM69" s="2184"/>
    </row>
    <row r="70" spans="1:255" ht="48" customHeight="1" x14ac:dyDescent="0.2">
      <c r="A70" s="424"/>
      <c r="B70" s="425"/>
      <c r="C70" s="253"/>
      <c r="D70" s="450"/>
      <c r="E70" s="253"/>
      <c r="F70" s="450"/>
      <c r="G70" s="2355"/>
      <c r="H70" s="3091"/>
      <c r="I70" s="3091"/>
      <c r="J70" s="3173"/>
      <c r="K70" s="3142"/>
      <c r="L70" s="3130"/>
      <c r="M70" s="3096"/>
      <c r="N70" s="2734"/>
      <c r="O70" s="2735"/>
      <c r="P70" s="3171"/>
      <c r="Q70" s="2277"/>
      <c r="R70" s="483" t="s">
        <v>379</v>
      </c>
      <c r="S70" s="484">
        <v>5280000</v>
      </c>
      <c r="T70" s="3083"/>
      <c r="U70" s="3144"/>
      <c r="V70" s="3167"/>
      <c r="W70" s="3167"/>
      <c r="X70" s="3167"/>
      <c r="Y70" s="3167"/>
      <c r="Z70" s="3167"/>
      <c r="AA70" s="3167"/>
      <c r="AB70" s="3167"/>
      <c r="AC70" s="3167"/>
      <c r="AD70" s="3167"/>
      <c r="AE70" s="3167"/>
      <c r="AF70" s="3167"/>
      <c r="AG70" s="3167"/>
      <c r="AH70" s="3167"/>
      <c r="AI70" s="2931"/>
      <c r="AJ70" s="2931"/>
      <c r="AK70" s="3117"/>
      <c r="AL70" s="3166"/>
      <c r="AM70" s="2184"/>
    </row>
    <row r="71" spans="1:255" ht="105" customHeight="1" x14ac:dyDescent="0.2">
      <c r="A71" s="424"/>
      <c r="B71" s="425"/>
      <c r="C71" s="253"/>
      <c r="D71" s="450"/>
      <c r="E71" s="253"/>
      <c r="F71" s="450"/>
      <c r="G71" s="2355"/>
      <c r="H71" s="3091"/>
      <c r="I71" s="3091"/>
      <c r="J71" s="3173"/>
      <c r="K71" s="3142"/>
      <c r="L71" s="3130"/>
      <c r="M71" s="3096"/>
      <c r="N71" s="2734"/>
      <c r="O71" s="2735"/>
      <c r="P71" s="3171"/>
      <c r="Q71" s="2277"/>
      <c r="R71" s="381" t="s">
        <v>380</v>
      </c>
      <c r="S71" s="484">
        <v>5000000</v>
      </c>
      <c r="T71" s="3083"/>
      <c r="U71" s="3144"/>
      <c r="V71" s="3167"/>
      <c r="W71" s="3167"/>
      <c r="X71" s="3167"/>
      <c r="Y71" s="3167"/>
      <c r="Z71" s="3167"/>
      <c r="AA71" s="3167"/>
      <c r="AB71" s="3167"/>
      <c r="AC71" s="3167"/>
      <c r="AD71" s="3167"/>
      <c r="AE71" s="3167"/>
      <c r="AF71" s="3167"/>
      <c r="AG71" s="3167"/>
      <c r="AH71" s="3167"/>
      <c r="AI71" s="2931"/>
      <c r="AJ71" s="2931"/>
      <c r="AK71" s="3117"/>
      <c r="AL71" s="3166"/>
      <c r="AM71" s="2184"/>
    </row>
    <row r="72" spans="1:255" ht="59.25" customHeight="1" x14ac:dyDescent="0.2">
      <c r="A72" s="424"/>
      <c r="B72" s="425"/>
      <c r="C72" s="253"/>
      <c r="D72" s="450"/>
      <c r="E72" s="253"/>
      <c r="F72" s="450"/>
      <c r="G72" s="2355"/>
      <c r="H72" s="3091"/>
      <c r="I72" s="3091"/>
      <c r="J72" s="3173"/>
      <c r="K72" s="3142"/>
      <c r="L72" s="3130"/>
      <c r="M72" s="3096"/>
      <c r="N72" s="2734"/>
      <c r="O72" s="2735"/>
      <c r="P72" s="3171"/>
      <c r="Q72" s="2277"/>
      <c r="R72" s="485" t="s">
        <v>381</v>
      </c>
      <c r="S72" s="484">
        <v>5280000</v>
      </c>
      <c r="T72" s="3083"/>
      <c r="U72" s="3144"/>
      <c r="V72" s="3167"/>
      <c r="W72" s="3167"/>
      <c r="X72" s="3167"/>
      <c r="Y72" s="3167"/>
      <c r="Z72" s="3167"/>
      <c r="AA72" s="3167"/>
      <c r="AB72" s="3167"/>
      <c r="AC72" s="3167"/>
      <c r="AD72" s="3167"/>
      <c r="AE72" s="3167"/>
      <c r="AF72" s="3167"/>
      <c r="AG72" s="3167"/>
      <c r="AH72" s="3167"/>
      <c r="AI72" s="2931"/>
      <c r="AJ72" s="2931"/>
      <c r="AK72" s="3117"/>
      <c r="AL72" s="3166"/>
      <c r="AM72" s="2184"/>
    </row>
    <row r="73" spans="1:255" ht="33" customHeight="1" x14ac:dyDescent="0.2">
      <c r="A73" s="424"/>
      <c r="B73" s="425"/>
      <c r="C73" s="253"/>
      <c r="D73" s="450"/>
      <c r="E73" s="253"/>
      <c r="F73" s="450"/>
      <c r="G73" s="2355"/>
      <c r="H73" s="3091"/>
      <c r="I73" s="3091"/>
      <c r="J73" s="3173"/>
      <c r="K73" s="3142"/>
      <c r="L73" s="3130"/>
      <c r="M73" s="3096"/>
      <c r="N73" s="2734"/>
      <c r="O73" s="2735"/>
      <c r="P73" s="3171"/>
      <c r="Q73" s="2277"/>
      <c r="R73" s="485" t="s">
        <v>382</v>
      </c>
      <c r="S73" s="484">
        <v>5280000</v>
      </c>
      <c r="T73" s="3083"/>
      <c r="U73" s="3144"/>
      <c r="V73" s="3167"/>
      <c r="W73" s="3167"/>
      <c r="X73" s="3167"/>
      <c r="Y73" s="3167"/>
      <c r="Z73" s="3167"/>
      <c r="AA73" s="3167"/>
      <c r="AB73" s="3167"/>
      <c r="AC73" s="3167"/>
      <c r="AD73" s="3167"/>
      <c r="AE73" s="3167"/>
      <c r="AF73" s="3167"/>
      <c r="AG73" s="3167"/>
      <c r="AH73" s="3167"/>
      <c r="AI73" s="2931"/>
      <c r="AJ73" s="2931"/>
      <c r="AK73" s="3117"/>
      <c r="AL73" s="3166"/>
      <c r="AM73" s="2184"/>
    </row>
    <row r="74" spans="1:255" ht="45" x14ac:dyDescent="0.2">
      <c r="A74" s="424"/>
      <c r="B74" s="425"/>
      <c r="C74" s="253"/>
      <c r="D74" s="450"/>
      <c r="E74" s="253"/>
      <c r="F74" s="450"/>
      <c r="G74" s="2355"/>
      <c r="H74" s="3091"/>
      <c r="I74" s="3091"/>
      <c r="J74" s="3173"/>
      <c r="K74" s="3142"/>
      <c r="L74" s="3130"/>
      <c r="M74" s="3096"/>
      <c r="N74" s="2734"/>
      <c r="O74" s="2735"/>
      <c r="P74" s="3171"/>
      <c r="Q74" s="2277"/>
      <c r="R74" s="485" t="s">
        <v>383</v>
      </c>
      <c r="S74" s="484">
        <v>13320000</v>
      </c>
      <c r="T74" s="3083"/>
      <c r="U74" s="3144"/>
      <c r="V74" s="3167"/>
      <c r="W74" s="3167"/>
      <c r="X74" s="3167"/>
      <c r="Y74" s="3167"/>
      <c r="Z74" s="3167"/>
      <c r="AA74" s="3167"/>
      <c r="AB74" s="3167"/>
      <c r="AC74" s="3167"/>
      <c r="AD74" s="3167"/>
      <c r="AE74" s="3167"/>
      <c r="AF74" s="3167"/>
      <c r="AG74" s="3167"/>
      <c r="AH74" s="3167"/>
      <c r="AI74" s="2931"/>
      <c r="AJ74" s="2931"/>
      <c r="AK74" s="3117"/>
      <c r="AL74" s="3166"/>
      <c r="AM74" s="2184"/>
    </row>
    <row r="75" spans="1:255" ht="35.25" customHeight="1" x14ac:dyDescent="0.2">
      <c r="A75" s="424"/>
      <c r="B75" s="425"/>
      <c r="C75" s="253"/>
      <c r="D75" s="450"/>
      <c r="E75" s="253"/>
      <c r="F75" s="450"/>
      <c r="G75" s="2355"/>
      <c r="H75" s="3091"/>
      <c r="I75" s="3091"/>
      <c r="J75" s="3173"/>
      <c r="K75" s="3142"/>
      <c r="L75" s="3130"/>
      <c r="M75" s="3096"/>
      <c r="N75" s="2734"/>
      <c r="O75" s="2735"/>
      <c r="P75" s="3171"/>
      <c r="Q75" s="2277"/>
      <c r="R75" s="485" t="s">
        <v>384</v>
      </c>
      <c r="S75" s="482">
        <v>5280000</v>
      </c>
      <c r="T75" s="3083"/>
      <c r="U75" s="3144"/>
      <c r="V75" s="3167"/>
      <c r="W75" s="3167"/>
      <c r="X75" s="3167"/>
      <c r="Y75" s="3167"/>
      <c r="Z75" s="3167"/>
      <c r="AA75" s="3167"/>
      <c r="AB75" s="3167"/>
      <c r="AC75" s="3167"/>
      <c r="AD75" s="3167"/>
      <c r="AE75" s="3167"/>
      <c r="AF75" s="3167"/>
      <c r="AG75" s="3167"/>
      <c r="AH75" s="3167"/>
      <c r="AI75" s="2931"/>
      <c r="AJ75" s="2931"/>
      <c r="AK75" s="3117"/>
      <c r="AL75" s="3166"/>
      <c r="AM75" s="2184"/>
    </row>
    <row r="76" spans="1:255" ht="42.75" customHeight="1" x14ac:dyDescent="0.2">
      <c r="A76" s="424"/>
      <c r="B76" s="425"/>
      <c r="C76" s="253"/>
      <c r="D76" s="450"/>
      <c r="E76" s="253"/>
      <c r="F76" s="450"/>
      <c r="G76" s="2355"/>
      <c r="H76" s="3091"/>
      <c r="I76" s="3091"/>
      <c r="J76" s="3173"/>
      <c r="K76" s="3142"/>
      <c r="L76" s="3130"/>
      <c r="M76" s="3096"/>
      <c r="N76" s="2734"/>
      <c r="O76" s="2735"/>
      <c r="P76" s="3171"/>
      <c r="Q76" s="2296"/>
      <c r="R76" s="486" t="s">
        <v>385</v>
      </c>
      <c r="S76" s="487">
        <v>67580000</v>
      </c>
      <c r="T76" s="3083"/>
      <c r="U76" s="3104"/>
      <c r="V76" s="3168"/>
      <c r="W76" s="3168"/>
      <c r="X76" s="3168"/>
      <c r="Y76" s="3168"/>
      <c r="Z76" s="3168"/>
      <c r="AA76" s="3168"/>
      <c r="AB76" s="3168"/>
      <c r="AC76" s="3168"/>
      <c r="AD76" s="3168"/>
      <c r="AE76" s="3168"/>
      <c r="AF76" s="3168"/>
      <c r="AG76" s="3168"/>
      <c r="AH76" s="3168"/>
      <c r="AI76" s="3006"/>
      <c r="AJ76" s="3006"/>
      <c r="AK76" s="2602"/>
      <c r="AL76" s="3166"/>
      <c r="AM76" s="2184"/>
    </row>
    <row r="77" spans="1:255" ht="15.75" x14ac:dyDescent="0.25">
      <c r="A77" s="424"/>
      <c r="B77" s="425"/>
      <c r="C77" s="426">
        <v>18</v>
      </c>
      <c r="D77" s="427" t="s">
        <v>386</v>
      </c>
      <c r="E77" s="276"/>
      <c r="F77" s="276"/>
      <c r="G77" s="276"/>
      <c r="H77" s="445"/>
      <c r="I77" s="445"/>
      <c r="J77" s="276"/>
      <c r="K77" s="276"/>
      <c r="L77" s="276"/>
      <c r="M77" s="445"/>
      <c r="N77" s="276"/>
      <c r="O77" s="488"/>
      <c r="P77" s="445"/>
      <c r="Q77" s="445"/>
      <c r="R77" s="445"/>
      <c r="S77" s="447"/>
      <c r="T77" s="448"/>
      <c r="U77" s="445"/>
      <c r="V77" s="489"/>
      <c r="W77" s="276"/>
      <c r="X77" s="276"/>
      <c r="Y77" s="276"/>
      <c r="Z77" s="276"/>
      <c r="AA77" s="276"/>
      <c r="AB77" s="276"/>
      <c r="AC77" s="276"/>
      <c r="AD77" s="276"/>
      <c r="AE77" s="276"/>
      <c r="AF77" s="276"/>
      <c r="AG77" s="276"/>
      <c r="AH77" s="276"/>
      <c r="AI77" s="276"/>
      <c r="AJ77" s="276"/>
      <c r="AK77" s="276"/>
      <c r="AL77" s="276"/>
      <c r="AM77" s="449"/>
      <c r="AN77" s="490"/>
      <c r="AO77" s="490"/>
      <c r="AP77" s="490"/>
      <c r="AQ77" s="490"/>
      <c r="AR77" s="490"/>
      <c r="AS77" s="308"/>
      <c r="AT77" s="308"/>
      <c r="AU77" s="308"/>
      <c r="AV77" s="308"/>
      <c r="AW77" s="308"/>
      <c r="AX77" s="308"/>
      <c r="AY77" s="308"/>
      <c r="AZ77" s="308"/>
      <c r="BA77" s="308"/>
      <c r="BB77" s="308"/>
      <c r="BC77" s="308"/>
      <c r="BD77" s="308"/>
      <c r="BE77" s="308"/>
      <c r="BF77" s="308"/>
      <c r="BG77" s="308"/>
      <c r="BH77" s="308"/>
      <c r="BI77" s="308"/>
      <c r="BJ77" s="308"/>
      <c r="BK77" s="308"/>
      <c r="BL77" s="308"/>
      <c r="BM77" s="308"/>
      <c r="BN77" s="308"/>
      <c r="BO77" s="308"/>
      <c r="BP77" s="308"/>
      <c r="BQ77" s="308"/>
      <c r="BR77" s="308"/>
      <c r="BS77" s="308"/>
      <c r="BT77" s="308"/>
      <c r="BU77" s="308"/>
      <c r="BV77" s="308"/>
      <c r="BW77" s="308"/>
      <c r="BX77" s="308"/>
      <c r="BY77" s="308"/>
      <c r="BZ77" s="308"/>
      <c r="CA77" s="308"/>
      <c r="CB77" s="308"/>
      <c r="CC77" s="308"/>
      <c r="CD77" s="308"/>
      <c r="CE77" s="308"/>
      <c r="CF77" s="308"/>
      <c r="CG77" s="308"/>
      <c r="CH77" s="308"/>
      <c r="CI77" s="308"/>
      <c r="CJ77" s="308"/>
      <c r="CK77" s="308"/>
      <c r="CL77" s="308"/>
      <c r="CM77" s="308"/>
      <c r="CN77" s="308"/>
      <c r="CO77" s="308"/>
      <c r="CP77" s="308"/>
      <c r="CQ77" s="308"/>
      <c r="CR77" s="308"/>
      <c r="CS77" s="308"/>
      <c r="CT77" s="308"/>
      <c r="CU77" s="308"/>
      <c r="CV77" s="308"/>
      <c r="CW77" s="308"/>
      <c r="CX77" s="308"/>
      <c r="CY77" s="308"/>
      <c r="CZ77" s="308"/>
      <c r="DA77" s="308"/>
      <c r="DB77" s="308"/>
      <c r="DC77" s="308"/>
      <c r="DD77" s="308"/>
      <c r="DE77" s="308"/>
      <c r="DF77" s="308"/>
      <c r="DG77" s="308"/>
      <c r="DH77" s="308"/>
      <c r="DI77" s="308"/>
      <c r="DJ77" s="308"/>
      <c r="DK77" s="308"/>
      <c r="DL77" s="308"/>
      <c r="DM77" s="308"/>
      <c r="DN77" s="308"/>
      <c r="DO77" s="308"/>
      <c r="DP77" s="308"/>
      <c r="DQ77" s="308"/>
      <c r="DR77" s="308"/>
      <c r="DS77" s="308"/>
      <c r="DT77" s="308"/>
      <c r="DU77" s="308"/>
      <c r="DV77" s="308"/>
      <c r="DW77" s="308"/>
      <c r="DX77" s="308"/>
      <c r="DY77" s="308"/>
      <c r="DZ77" s="308"/>
      <c r="EA77" s="308"/>
      <c r="EB77" s="308"/>
      <c r="EC77" s="308"/>
      <c r="ED77" s="308"/>
      <c r="EE77" s="308"/>
      <c r="EF77" s="308"/>
      <c r="EG77" s="308"/>
      <c r="EH77" s="308"/>
      <c r="EI77" s="308"/>
      <c r="EJ77" s="308"/>
      <c r="EK77" s="308"/>
      <c r="EL77" s="308"/>
      <c r="EM77" s="308"/>
      <c r="EN77" s="308"/>
      <c r="EO77" s="308"/>
      <c r="EP77" s="308"/>
      <c r="EQ77" s="308"/>
      <c r="ER77" s="308"/>
      <c r="ES77" s="308"/>
      <c r="ET77" s="308"/>
      <c r="EU77" s="308"/>
      <c r="EV77" s="308"/>
      <c r="EW77" s="308"/>
      <c r="EX77" s="308"/>
      <c r="EY77" s="308"/>
      <c r="EZ77" s="308"/>
      <c r="FA77" s="308"/>
      <c r="FB77" s="308"/>
      <c r="FC77" s="308"/>
      <c r="FD77" s="308"/>
      <c r="FE77" s="308"/>
      <c r="FF77" s="308"/>
      <c r="FG77" s="308"/>
      <c r="FH77" s="308"/>
      <c r="FI77" s="308"/>
      <c r="FJ77" s="308"/>
      <c r="FK77" s="308"/>
      <c r="FL77" s="308"/>
      <c r="FM77" s="308"/>
      <c r="FN77" s="308"/>
      <c r="FO77" s="308"/>
      <c r="FP77" s="308"/>
      <c r="FQ77" s="308"/>
      <c r="FR77" s="308"/>
      <c r="FS77" s="308"/>
      <c r="FT77" s="308"/>
      <c r="FU77" s="308"/>
      <c r="FV77" s="308"/>
      <c r="FW77" s="308"/>
      <c r="FX77" s="308"/>
      <c r="FY77" s="308"/>
      <c r="FZ77" s="308"/>
      <c r="GA77" s="308"/>
      <c r="GB77" s="308"/>
      <c r="GC77" s="308"/>
      <c r="GD77" s="308"/>
      <c r="GE77" s="308"/>
      <c r="GF77" s="308"/>
      <c r="GG77" s="308"/>
      <c r="GH77" s="308"/>
      <c r="GI77" s="308"/>
      <c r="GJ77" s="308"/>
      <c r="GK77" s="308"/>
      <c r="GL77" s="308"/>
      <c r="GM77" s="308"/>
      <c r="GN77" s="308"/>
      <c r="GO77" s="308"/>
      <c r="GP77" s="308"/>
      <c r="GQ77" s="308"/>
      <c r="GR77" s="308"/>
      <c r="GS77" s="308"/>
      <c r="GT77" s="308"/>
      <c r="GU77" s="308"/>
      <c r="GV77" s="308"/>
      <c r="GW77" s="308"/>
      <c r="GX77" s="308"/>
      <c r="GY77" s="308"/>
      <c r="GZ77" s="308"/>
      <c r="HA77" s="308"/>
      <c r="HB77" s="308"/>
      <c r="HC77" s="308"/>
      <c r="HD77" s="308"/>
      <c r="HE77" s="308"/>
      <c r="HF77" s="308"/>
      <c r="HG77" s="308"/>
      <c r="HH77" s="308"/>
      <c r="HI77" s="308"/>
      <c r="HJ77" s="308"/>
      <c r="HK77" s="308"/>
      <c r="HL77" s="308"/>
      <c r="HM77" s="308"/>
      <c r="HN77" s="308"/>
      <c r="HO77" s="308"/>
      <c r="HP77" s="308"/>
      <c r="HQ77" s="308"/>
      <c r="HR77" s="308"/>
      <c r="HS77" s="308"/>
      <c r="HT77" s="308"/>
      <c r="HU77" s="308"/>
      <c r="HV77" s="308"/>
      <c r="HW77" s="308"/>
      <c r="HX77" s="308"/>
      <c r="HY77" s="308"/>
      <c r="HZ77" s="308"/>
      <c r="IA77" s="308"/>
      <c r="IB77" s="308"/>
      <c r="IC77" s="308"/>
      <c r="ID77" s="308"/>
      <c r="IE77" s="308"/>
      <c r="IF77" s="308"/>
      <c r="IG77" s="308"/>
      <c r="IH77" s="308"/>
      <c r="II77" s="308"/>
      <c r="IJ77" s="308"/>
      <c r="IK77" s="308"/>
      <c r="IL77" s="308"/>
      <c r="IM77" s="308"/>
      <c r="IN77" s="308"/>
      <c r="IO77" s="308"/>
      <c r="IP77" s="308"/>
      <c r="IQ77" s="308"/>
      <c r="IR77" s="308"/>
      <c r="IS77" s="308"/>
      <c r="IT77" s="308"/>
      <c r="IU77" s="308"/>
    </row>
    <row r="78" spans="1:255" ht="15.75" x14ac:dyDescent="0.2">
      <c r="A78" s="424"/>
      <c r="B78" s="425"/>
      <c r="C78" s="253"/>
      <c r="D78" s="450"/>
      <c r="E78" s="151">
        <v>62</v>
      </c>
      <c r="F78" s="433" t="s">
        <v>387</v>
      </c>
      <c r="G78" s="434"/>
      <c r="H78" s="435"/>
      <c r="I78" s="435"/>
      <c r="J78" s="434"/>
      <c r="K78" s="434"/>
      <c r="L78" s="434"/>
      <c r="M78" s="435"/>
      <c r="N78" s="434"/>
      <c r="O78" s="451"/>
      <c r="P78" s="435"/>
      <c r="Q78" s="435"/>
      <c r="R78" s="435"/>
      <c r="S78" s="452"/>
      <c r="T78" s="491"/>
      <c r="U78" s="461"/>
      <c r="V78" s="460"/>
      <c r="W78" s="460"/>
      <c r="X78" s="434"/>
      <c r="Y78" s="434"/>
      <c r="Z78" s="434"/>
      <c r="AA78" s="434"/>
      <c r="AB78" s="434"/>
      <c r="AC78" s="434"/>
      <c r="AD78" s="434"/>
      <c r="AE78" s="434"/>
      <c r="AF78" s="434"/>
      <c r="AG78" s="434"/>
      <c r="AH78" s="434"/>
      <c r="AI78" s="434"/>
      <c r="AJ78" s="434"/>
      <c r="AK78" s="434"/>
      <c r="AL78" s="434"/>
      <c r="AM78" s="453"/>
    </row>
    <row r="79" spans="1:255" ht="70.5" customHeight="1" x14ac:dyDescent="0.2">
      <c r="A79" s="424"/>
      <c r="B79" s="425"/>
      <c r="C79" s="253"/>
      <c r="D79" s="450"/>
      <c r="E79" s="239"/>
      <c r="F79" s="454"/>
      <c r="G79" s="3159">
        <v>191</v>
      </c>
      <c r="H79" s="3150" t="s">
        <v>388</v>
      </c>
      <c r="I79" s="2823" t="s">
        <v>389</v>
      </c>
      <c r="J79" s="2305">
        <v>1</v>
      </c>
      <c r="K79" s="465"/>
      <c r="L79" s="3130" t="s">
        <v>390</v>
      </c>
      <c r="M79" s="3097" t="s">
        <v>391</v>
      </c>
      <c r="N79" s="3076">
        <v>1</v>
      </c>
      <c r="O79" s="3161">
        <f>SUM(S79:S100)</f>
        <v>1185000000</v>
      </c>
      <c r="P79" s="3096" t="s">
        <v>392</v>
      </c>
      <c r="Q79" s="2783" t="s">
        <v>393</v>
      </c>
      <c r="R79" s="492" t="s">
        <v>394</v>
      </c>
      <c r="S79" s="493">
        <v>31680000</v>
      </c>
      <c r="T79" s="3135" t="s">
        <v>67</v>
      </c>
      <c r="U79" s="3104" t="s">
        <v>318</v>
      </c>
      <c r="V79" s="2222">
        <v>280</v>
      </c>
      <c r="W79" s="2222">
        <v>290</v>
      </c>
      <c r="X79" s="3164"/>
      <c r="Y79" s="3133"/>
      <c r="Z79" s="3133"/>
      <c r="AA79" s="3133"/>
      <c r="AB79" s="3133"/>
      <c r="AC79" s="3133"/>
      <c r="AD79" s="3133"/>
      <c r="AE79" s="3133"/>
      <c r="AF79" s="3133"/>
      <c r="AG79" s="3133"/>
      <c r="AH79" s="3133"/>
      <c r="AI79" s="3133"/>
      <c r="AJ79" s="3133"/>
      <c r="AK79" s="2604">
        <v>43102</v>
      </c>
      <c r="AL79" s="2604">
        <v>43465</v>
      </c>
      <c r="AM79" s="2184" t="s">
        <v>273</v>
      </c>
    </row>
    <row r="80" spans="1:255" ht="57" customHeight="1" x14ac:dyDescent="0.2">
      <c r="A80" s="424"/>
      <c r="B80" s="425"/>
      <c r="C80" s="253"/>
      <c r="D80" s="450"/>
      <c r="E80" s="253"/>
      <c r="F80" s="450"/>
      <c r="G80" s="3159"/>
      <c r="H80" s="3150"/>
      <c r="I80" s="2823"/>
      <c r="J80" s="2305"/>
      <c r="K80" s="467"/>
      <c r="L80" s="3130"/>
      <c r="M80" s="3097"/>
      <c r="N80" s="2734"/>
      <c r="O80" s="3161"/>
      <c r="P80" s="3096"/>
      <c r="Q80" s="2793"/>
      <c r="R80" s="492" t="s">
        <v>395</v>
      </c>
      <c r="S80" s="493">
        <v>15840000</v>
      </c>
      <c r="T80" s="3136"/>
      <c r="U80" s="3083"/>
      <c r="V80" s="2223"/>
      <c r="W80" s="2223"/>
      <c r="X80" s="2707"/>
      <c r="Y80" s="3134"/>
      <c r="Z80" s="3134"/>
      <c r="AA80" s="3134"/>
      <c r="AB80" s="3134"/>
      <c r="AC80" s="3134"/>
      <c r="AD80" s="3134"/>
      <c r="AE80" s="3134"/>
      <c r="AF80" s="3134"/>
      <c r="AG80" s="3134"/>
      <c r="AH80" s="3134"/>
      <c r="AI80" s="3134"/>
      <c r="AJ80" s="3134"/>
      <c r="AK80" s="2604"/>
      <c r="AL80" s="2604"/>
      <c r="AM80" s="2184"/>
    </row>
    <row r="81" spans="1:39" ht="72" customHeight="1" x14ac:dyDescent="0.2">
      <c r="A81" s="424"/>
      <c r="B81" s="425"/>
      <c r="C81" s="253"/>
      <c r="D81" s="450"/>
      <c r="E81" s="253"/>
      <c r="F81" s="450"/>
      <c r="G81" s="3159"/>
      <c r="H81" s="3150"/>
      <c r="I81" s="2823"/>
      <c r="J81" s="2305"/>
      <c r="K81" s="467"/>
      <c r="L81" s="3130"/>
      <c r="M81" s="3097"/>
      <c r="N81" s="2734"/>
      <c r="O81" s="3161"/>
      <c r="P81" s="3096"/>
      <c r="Q81" s="2793"/>
      <c r="R81" s="492" t="s">
        <v>396</v>
      </c>
      <c r="S81" s="493">
        <v>16020000</v>
      </c>
      <c r="T81" s="3136"/>
      <c r="U81" s="3083"/>
      <c r="V81" s="2223"/>
      <c r="W81" s="2223"/>
      <c r="X81" s="2707"/>
      <c r="Y81" s="3134"/>
      <c r="Z81" s="3134"/>
      <c r="AA81" s="3134"/>
      <c r="AB81" s="3134"/>
      <c r="AC81" s="3134"/>
      <c r="AD81" s="3134"/>
      <c r="AE81" s="3134"/>
      <c r="AF81" s="3134"/>
      <c r="AG81" s="3134"/>
      <c r="AH81" s="3134"/>
      <c r="AI81" s="3134"/>
      <c r="AJ81" s="3134"/>
      <c r="AK81" s="2604"/>
      <c r="AL81" s="2604"/>
      <c r="AM81" s="2184"/>
    </row>
    <row r="82" spans="1:39" ht="60" customHeight="1" x14ac:dyDescent="0.2">
      <c r="A82" s="424"/>
      <c r="B82" s="425"/>
      <c r="C82" s="253"/>
      <c r="D82" s="450"/>
      <c r="E82" s="253"/>
      <c r="F82" s="450"/>
      <c r="G82" s="3159"/>
      <c r="H82" s="3150"/>
      <c r="I82" s="2823"/>
      <c r="J82" s="2305"/>
      <c r="K82" s="467"/>
      <c r="L82" s="3130"/>
      <c r="M82" s="3097"/>
      <c r="N82" s="2734"/>
      <c r="O82" s="3161"/>
      <c r="P82" s="3096"/>
      <c r="Q82" s="2793"/>
      <c r="R82" s="492" t="s">
        <v>397</v>
      </c>
      <c r="S82" s="493">
        <v>16020000</v>
      </c>
      <c r="T82" s="3136"/>
      <c r="U82" s="3083"/>
      <c r="V82" s="2223"/>
      <c r="W82" s="2223"/>
      <c r="X82" s="2707"/>
      <c r="Y82" s="3134"/>
      <c r="Z82" s="3134"/>
      <c r="AA82" s="3134"/>
      <c r="AB82" s="3134"/>
      <c r="AC82" s="3134"/>
      <c r="AD82" s="3134"/>
      <c r="AE82" s="3134"/>
      <c r="AF82" s="3134"/>
      <c r="AG82" s="3134"/>
      <c r="AH82" s="3134"/>
      <c r="AI82" s="3134"/>
      <c r="AJ82" s="3134"/>
      <c r="AK82" s="2604"/>
      <c r="AL82" s="2604"/>
      <c r="AM82" s="2184"/>
    </row>
    <row r="83" spans="1:39" ht="90" customHeight="1" x14ac:dyDescent="0.2">
      <c r="A83" s="424"/>
      <c r="B83" s="425"/>
      <c r="C83" s="253"/>
      <c r="D83" s="450"/>
      <c r="E83" s="253"/>
      <c r="F83" s="450"/>
      <c r="G83" s="3159"/>
      <c r="H83" s="3150"/>
      <c r="I83" s="2823"/>
      <c r="J83" s="2305"/>
      <c r="K83" s="467"/>
      <c r="L83" s="3130"/>
      <c r="M83" s="3097"/>
      <c r="N83" s="2734"/>
      <c r="O83" s="3161"/>
      <c r="P83" s="3096"/>
      <c r="Q83" s="2793"/>
      <c r="R83" s="492" t="s">
        <v>398</v>
      </c>
      <c r="S83" s="493">
        <v>200000000</v>
      </c>
      <c r="T83" s="3136"/>
      <c r="U83" s="3083"/>
      <c r="V83" s="2223"/>
      <c r="W83" s="2223"/>
      <c r="X83" s="2707"/>
      <c r="Y83" s="3134"/>
      <c r="Z83" s="3134"/>
      <c r="AA83" s="3134"/>
      <c r="AB83" s="3134"/>
      <c r="AC83" s="3134"/>
      <c r="AD83" s="3134"/>
      <c r="AE83" s="3134"/>
      <c r="AF83" s="3134"/>
      <c r="AG83" s="3134"/>
      <c r="AH83" s="3134"/>
      <c r="AI83" s="3134"/>
      <c r="AJ83" s="3134"/>
      <c r="AK83" s="2604"/>
      <c r="AL83" s="2604"/>
      <c r="AM83" s="2184"/>
    </row>
    <row r="84" spans="1:39" ht="117" customHeight="1" x14ac:dyDescent="0.2">
      <c r="A84" s="424"/>
      <c r="B84" s="425"/>
      <c r="C84" s="253"/>
      <c r="D84" s="450"/>
      <c r="E84" s="253"/>
      <c r="F84" s="450"/>
      <c r="G84" s="3159"/>
      <c r="H84" s="3150"/>
      <c r="I84" s="2823"/>
      <c r="J84" s="2305"/>
      <c r="K84" s="467"/>
      <c r="L84" s="3130"/>
      <c r="M84" s="3097"/>
      <c r="N84" s="2734"/>
      <c r="O84" s="3161"/>
      <c r="P84" s="3096"/>
      <c r="Q84" s="2793"/>
      <c r="R84" s="492" t="s">
        <v>399</v>
      </c>
      <c r="S84" s="493">
        <v>36120000</v>
      </c>
      <c r="T84" s="3136"/>
      <c r="U84" s="3083"/>
      <c r="V84" s="2223"/>
      <c r="W84" s="2223"/>
      <c r="X84" s="2707"/>
      <c r="Y84" s="3134"/>
      <c r="Z84" s="3134"/>
      <c r="AA84" s="3134"/>
      <c r="AB84" s="3134"/>
      <c r="AC84" s="3134"/>
      <c r="AD84" s="3134"/>
      <c r="AE84" s="3134"/>
      <c r="AF84" s="3134"/>
      <c r="AG84" s="3134"/>
      <c r="AH84" s="3134"/>
      <c r="AI84" s="3134"/>
      <c r="AJ84" s="3134"/>
      <c r="AK84" s="2604"/>
      <c r="AL84" s="2604"/>
      <c r="AM84" s="2184"/>
    </row>
    <row r="85" spans="1:39" ht="80.25" customHeight="1" x14ac:dyDescent="0.2">
      <c r="A85" s="424"/>
      <c r="B85" s="425"/>
      <c r="C85" s="253"/>
      <c r="D85" s="450"/>
      <c r="E85" s="253"/>
      <c r="F85" s="450"/>
      <c r="G85" s="3159"/>
      <c r="H85" s="3150"/>
      <c r="I85" s="2823"/>
      <c r="J85" s="2305"/>
      <c r="K85" s="467"/>
      <c r="L85" s="3130"/>
      <c r="M85" s="3097"/>
      <c r="N85" s="2734"/>
      <c r="O85" s="3161"/>
      <c r="P85" s="3096"/>
      <c r="Q85" s="2793"/>
      <c r="R85" s="492" t="s">
        <v>400</v>
      </c>
      <c r="S85" s="493">
        <v>21160000</v>
      </c>
      <c r="T85" s="3136"/>
      <c r="U85" s="3083"/>
      <c r="V85" s="2223"/>
      <c r="W85" s="2223"/>
      <c r="X85" s="2707"/>
      <c r="Y85" s="3134"/>
      <c r="Z85" s="3134"/>
      <c r="AA85" s="3134"/>
      <c r="AB85" s="3134"/>
      <c r="AC85" s="3134"/>
      <c r="AD85" s="3134"/>
      <c r="AE85" s="3134"/>
      <c r="AF85" s="3134"/>
      <c r="AG85" s="3134"/>
      <c r="AH85" s="3134"/>
      <c r="AI85" s="3134"/>
      <c r="AJ85" s="3134"/>
      <c r="AK85" s="2604"/>
      <c r="AL85" s="2604"/>
      <c r="AM85" s="2184"/>
    </row>
    <row r="86" spans="1:39" ht="60" customHeight="1" x14ac:dyDescent="0.2">
      <c r="A86" s="424"/>
      <c r="B86" s="425"/>
      <c r="C86" s="253"/>
      <c r="D86" s="450"/>
      <c r="E86" s="253"/>
      <c r="F86" s="450"/>
      <c r="G86" s="3159"/>
      <c r="H86" s="3150"/>
      <c r="I86" s="2823"/>
      <c r="J86" s="2305"/>
      <c r="K86" s="467"/>
      <c r="L86" s="3130"/>
      <c r="M86" s="3097"/>
      <c r="N86" s="2734"/>
      <c r="O86" s="3161"/>
      <c r="P86" s="3096"/>
      <c r="Q86" s="2793"/>
      <c r="R86" s="492" t="s">
        <v>401</v>
      </c>
      <c r="S86" s="493">
        <v>15840000</v>
      </c>
      <c r="T86" s="3136"/>
      <c r="U86" s="3083"/>
      <c r="V86" s="2223"/>
      <c r="W86" s="2223"/>
      <c r="X86" s="2707"/>
      <c r="Y86" s="3134"/>
      <c r="Z86" s="3134"/>
      <c r="AA86" s="3134"/>
      <c r="AB86" s="3134"/>
      <c r="AC86" s="3134"/>
      <c r="AD86" s="3134"/>
      <c r="AE86" s="3134"/>
      <c r="AF86" s="3134"/>
      <c r="AG86" s="3134"/>
      <c r="AH86" s="3134"/>
      <c r="AI86" s="3134"/>
      <c r="AJ86" s="3134"/>
      <c r="AK86" s="2604"/>
      <c r="AL86" s="2604"/>
      <c r="AM86" s="2184"/>
    </row>
    <row r="87" spans="1:39" ht="46.5" customHeight="1" x14ac:dyDescent="0.2">
      <c r="A87" s="424"/>
      <c r="B87" s="425"/>
      <c r="C87" s="253"/>
      <c r="D87" s="450"/>
      <c r="E87" s="253"/>
      <c r="F87" s="450"/>
      <c r="G87" s="3159"/>
      <c r="H87" s="3150"/>
      <c r="I87" s="2823"/>
      <c r="J87" s="2305"/>
      <c r="K87" s="467"/>
      <c r="L87" s="3130"/>
      <c r="M87" s="3097"/>
      <c r="N87" s="2734"/>
      <c r="O87" s="3161"/>
      <c r="P87" s="3096"/>
      <c r="Q87" s="2793"/>
      <c r="R87" s="492" t="s">
        <v>402</v>
      </c>
      <c r="S87" s="493">
        <v>15840000</v>
      </c>
      <c r="T87" s="3136"/>
      <c r="U87" s="3083"/>
      <c r="V87" s="2223"/>
      <c r="W87" s="2223"/>
      <c r="X87" s="2707"/>
      <c r="Y87" s="3134"/>
      <c r="Z87" s="3134"/>
      <c r="AA87" s="3134"/>
      <c r="AB87" s="3134"/>
      <c r="AC87" s="3134"/>
      <c r="AD87" s="3134"/>
      <c r="AE87" s="3134"/>
      <c r="AF87" s="3134"/>
      <c r="AG87" s="3134"/>
      <c r="AH87" s="3134"/>
      <c r="AI87" s="3134"/>
      <c r="AJ87" s="3134"/>
      <c r="AK87" s="2604"/>
      <c r="AL87" s="2604"/>
      <c r="AM87" s="2184"/>
    </row>
    <row r="88" spans="1:39" ht="90" customHeight="1" x14ac:dyDescent="0.2">
      <c r="A88" s="424"/>
      <c r="B88" s="425"/>
      <c r="C88" s="253"/>
      <c r="D88" s="450"/>
      <c r="E88" s="253"/>
      <c r="F88" s="450"/>
      <c r="G88" s="3159"/>
      <c r="H88" s="3150"/>
      <c r="I88" s="2823"/>
      <c r="J88" s="2305"/>
      <c r="K88" s="467"/>
      <c r="L88" s="3130"/>
      <c r="M88" s="3097"/>
      <c r="N88" s="2734"/>
      <c r="O88" s="3161"/>
      <c r="P88" s="3096"/>
      <c r="Q88" s="2793"/>
      <c r="R88" s="492" t="s">
        <v>403</v>
      </c>
      <c r="S88" s="493">
        <v>95040000</v>
      </c>
      <c r="T88" s="3136"/>
      <c r="U88" s="3083"/>
      <c r="V88" s="2223"/>
      <c r="W88" s="2223"/>
      <c r="X88" s="2707"/>
      <c r="Y88" s="3134"/>
      <c r="Z88" s="3134"/>
      <c r="AA88" s="3134"/>
      <c r="AB88" s="3134"/>
      <c r="AC88" s="3134"/>
      <c r="AD88" s="3134"/>
      <c r="AE88" s="3134"/>
      <c r="AF88" s="3134"/>
      <c r="AG88" s="3134"/>
      <c r="AH88" s="3134"/>
      <c r="AI88" s="3134"/>
      <c r="AJ88" s="3134"/>
      <c r="AK88" s="2604"/>
      <c r="AL88" s="2604"/>
      <c r="AM88" s="2184"/>
    </row>
    <row r="89" spans="1:39" ht="67.5" customHeight="1" x14ac:dyDescent="0.2">
      <c r="A89" s="424"/>
      <c r="B89" s="425"/>
      <c r="C89" s="253"/>
      <c r="D89" s="450"/>
      <c r="E89" s="253"/>
      <c r="F89" s="450"/>
      <c r="G89" s="3159"/>
      <c r="H89" s="3150"/>
      <c r="I89" s="2823"/>
      <c r="J89" s="2305"/>
      <c r="K89" s="467"/>
      <c r="L89" s="3130"/>
      <c r="M89" s="3097"/>
      <c r="N89" s="2734"/>
      <c r="O89" s="3161"/>
      <c r="P89" s="3096"/>
      <c r="Q89" s="2793"/>
      <c r="R89" s="492" t="s">
        <v>404</v>
      </c>
      <c r="S89" s="493">
        <v>16150000</v>
      </c>
      <c r="T89" s="3136"/>
      <c r="U89" s="3083"/>
      <c r="V89" s="2223"/>
      <c r="W89" s="2223"/>
      <c r="X89" s="2707"/>
      <c r="Y89" s="3134"/>
      <c r="Z89" s="3134"/>
      <c r="AA89" s="3134"/>
      <c r="AB89" s="3134"/>
      <c r="AC89" s="3134"/>
      <c r="AD89" s="3134"/>
      <c r="AE89" s="3134"/>
      <c r="AF89" s="3134"/>
      <c r="AG89" s="3134"/>
      <c r="AH89" s="3134"/>
      <c r="AI89" s="3134"/>
      <c r="AJ89" s="3134"/>
      <c r="AK89" s="2604"/>
      <c r="AL89" s="2604"/>
      <c r="AM89" s="2184"/>
    </row>
    <row r="90" spans="1:39" ht="105" customHeight="1" x14ac:dyDescent="0.2">
      <c r="A90" s="424"/>
      <c r="B90" s="425"/>
      <c r="C90" s="253"/>
      <c r="D90" s="450"/>
      <c r="E90" s="253"/>
      <c r="F90" s="450"/>
      <c r="G90" s="3159"/>
      <c r="H90" s="3150"/>
      <c r="I90" s="2823"/>
      <c r="J90" s="2305"/>
      <c r="K90" s="467" t="s">
        <v>405</v>
      </c>
      <c r="L90" s="3130"/>
      <c r="M90" s="3097"/>
      <c r="N90" s="2734"/>
      <c r="O90" s="3161"/>
      <c r="P90" s="3096"/>
      <c r="Q90" s="2793"/>
      <c r="R90" s="492" t="s">
        <v>406</v>
      </c>
      <c r="S90" s="493">
        <v>50790000</v>
      </c>
      <c r="T90" s="3136"/>
      <c r="U90" s="3083"/>
      <c r="V90" s="2223"/>
      <c r="W90" s="2223"/>
      <c r="X90" s="2707"/>
      <c r="Y90" s="3134"/>
      <c r="Z90" s="3134"/>
      <c r="AA90" s="3134"/>
      <c r="AB90" s="3134"/>
      <c r="AC90" s="3134"/>
      <c r="AD90" s="3134"/>
      <c r="AE90" s="3134"/>
      <c r="AF90" s="3134"/>
      <c r="AG90" s="3134"/>
      <c r="AH90" s="3134"/>
      <c r="AI90" s="3134"/>
      <c r="AJ90" s="3134"/>
      <c r="AK90" s="2604"/>
      <c r="AL90" s="2604"/>
      <c r="AM90" s="2184"/>
    </row>
    <row r="91" spans="1:39" ht="118.5" customHeight="1" x14ac:dyDescent="0.2">
      <c r="A91" s="424"/>
      <c r="B91" s="425"/>
      <c r="C91" s="253"/>
      <c r="D91" s="450"/>
      <c r="E91" s="253"/>
      <c r="F91" s="450"/>
      <c r="G91" s="3159"/>
      <c r="H91" s="3150"/>
      <c r="I91" s="2823"/>
      <c r="J91" s="2305"/>
      <c r="K91" s="467" t="s">
        <v>407</v>
      </c>
      <c r="L91" s="3130"/>
      <c r="M91" s="3097"/>
      <c r="N91" s="2734"/>
      <c r="O91" s="3161"/>
      <c r="P91" s="3096"/>
      <c r="Q91" s="2793"/>
      <c r="R91" s="492" t="s">
        <v>408</v>
      </c>
      <c r="S91" s="493">
        <v>32040000</v>
      </c>
      <c r="T91" s="3136"/>
      <c r="U91" s="3083"/>
      <c r="V91" s="2223"/>
      <c r="W91" s="2223"/>
      <c r="X91" s="2707"/>
      <c r="Y91" s="3134"/>
      <c r="Z91" s="3134"/>
      <c r="AA91" s="3134"/>
      <c r="AB91" s="3134"/>
      <c r="AC91" s="3134"/>
      <c r="AD91" s="3134"/>
      <c r="AE91" s="3134"/>
      <c r="AF91" s="3134"/>
      <c r="AG91" s="3134"/>
      <c r="AH91" s="3134"/>
      <c r="AI91" s="3134"/>
      <c r="AJ91" s="3134"/>
      <c r="AK91" s="2604"/>
      <c r="AL91" s="2604"/>
      <c r="AM91" s="2184"/>
    </row>
    <row r="92" spans="1:39" ht="71.25" customHeight="1" x14ac:dyDescent="0.2">
      <c r="A92" s="424"/>
      <c r="B92" s="425"/>
      <c r="C92" s="253"/>
      <c r="D92" s="450"/>
      <c r="E92" s="253"/>
      <c r="F92" s="450"/>
      <c r="G92" s="3159"/>
      <c r="H92" s="3150"/>
      <c r="I92" s="2823"/>
      <c r="J92" s="2305"/>
      <c r="K92" s="467"/>
      <c r="L92" s="3130"/>
      <c r="M92" s="3150"/>
      <c r="N92" s="2734"/>
      <c r="O92" s="3162"/>
      <c r="P92" s="3096"/>
      <c r="Q92" s="2793"/>
      <c r="R92" s="492" t="s">
        <v>409</v>
      </c>
      <c r="S92" s="493">
        <v>14360000</v>
      </c>
      <c r="T92" s="3136"/>
      <c r="U92" s="3083"/>
      <c r="V92" s="2223"/>
      <c r="W92" s="2223"/>
      <c r="X92" s="2707"/>
      <c r="Y92" s="3134"/>
      <c r="Z92" s="3134"/>
      <c r="AA92" s="3134"/>
      <c r="AB92" s="3134"/>
      <c r="AC92" s="3134"/>
      <c r="AD92" s="3134"/>
      <c r="AE92" s="3134"/>
      <c r="AF92" s="3134"/>
      <c r="AG92" s="3134"/>
      <c r="AH92" s="3134"/>
      <c r="AI92" s="3134"/>
      <c r="AJ92" s="3134"/>
      <c r="AK92" s="2229"/>
      <c r="AL92" s="2229"/>
      <c r="AM92" s="2184"/>
    </row>
    <row r="93" spans="1:39" ht="66.75" customHeight="1" x14ac:dyDescent="0.2">
      <c r="A93" s="424"/>
      <c r="B93" s="425"/>
      <c r="C93" s="253"/>
      <c r="D93" s="450"/>
      <c r="E93" s="253"/>
      <c r="F93" s="450"/>
      <c r="G93" s="3159"/>
      <c r="H93" s="3150"/>
      <c r="I93" s="2823"/>
      <c r="J93" s="2305"/>
      <c r="K93" s="467"/>
      <c r="L93" s="3130"/>
      <c r="M93" s="3150"/>
      <c r="N93" s="2734"/>
      <c r="O93" s="3162"/>
      <c r="P93" s="3096"/>
      <c r="Q93" s="2793"/>
      <c r="R93" s="494" t="s">
        <v>410</v>
      </c>
      <c r="S93" s="493">
        <v>11040000</v>
      </c>
      <c r="T93" s="3136"/>
      <c r="U93" s="3083"/>
      <c r="V93" s="2223"/>
      <c r="W93" s="2223"/>
      <c r="X93" s="2707"/>
      <c r="Y93" s="3134"/>
      <c r="Z93" s="3134"/>
      <c r="AA93" s="3134"/>
      <c r="AB93" s="3134"/>
      <c r="AC93" s="3134"/>
      <c r="AD93" s="3134"/>
      <c r="AE93" s="3134"/>
      <c r="AF93" s="3134"/>
      <c r="AG93" s="3134"/>
      <c r="AH93" s="3134"/>
      <c r="AI93" s="3134"/>
      <c r="AJ93" s="3134"/>
      <c r="AK93" s="2229"/>
      <c r="AL93" s="2229"/>
      <c r="AM93" s="2184"/>
    </row>
    <row r="94" spans="1:39" ht="73.5" customHeight="1" x14ac:dyDescent="0.2">
      <c r="A94" s="424"/>
      <c r="B94" s="425"/>
      <c r="C94" s="253"/>
      <c r="D94" s="450"/>
      <c r="E94" s="253"/>
      <c r="F94" s="450"/>
      <c r="G94" s="3159"/>
      <c r="H94" s="3150"/>
      <c r="I94" s="2823"/>
      <c r="J94" s="2305"/>
      <c r="K94" s="467"/>
      <c r="L94" s="3130"/>
      <c r="M94" s="3150"/>
      <c r="N94" s="2734"/>
      <c r="O94" s="3162"/>
      <c r="P94" s="3096"/>
      <c r="Q94" s="2793"/>
      <c r="R94" s="495" t="s">
        <v>411</v>
      </c>
      <c r="S94" s="493">
        <v>12000000</v>
      </c>
      <c r="T94" s="3136"/>
      <c r="U94" s="3083"/>
      <c r="V94" s="2223"/>
      <c r="W94" s="2223"/>
      <c r="X94" s="2707"/>
      <c r="Y94" s="3134"/>
      <c r="Z94" s="3134"/>
      <c r="AA94" s="3134"/>
      <c r="AB94" s="3134"/>
      <c r="AC94" s="3134"/>
      <c r="AD94" s="3134"/>
      <c r="AE94" s="3134"/>
      <c r="AF94" s="3134"/>
      <c r="AG94" s="3134"/>
      <c r="AH94" s="3134"/>
      <c r="AI94" s="3134"/>
      <c r="AJ94" s="3134"/>
      <c r="AK94" s="2229"/>
      <c r="AL94" s="2229"/>
      <c r="AM94" s="2184"/>
    </row>
    <row r="95" spans="1:39" ht="83.25" customHeight="1" x14ac:dyDescent="0.2">
      <c r="A95" s="424"/>
      <c r="B95" s="425"/>
      <c r="C95" s="253"/>
      <c r="D95" s="450"/>
      <c r="E95" s="253"/>
      <c r="F95" s="450"/>
      <c r="G95" s="3159"/>
      <c r="H95" s="3150"/>
      <c r="I95" s="2823"/>
      <c r="J95" s="2305"/>
      <c r="K95" s="467"/>
      <c r="L95" s="3130"/>
      <c r="M95" s="3150"/>
      <c r="N95" s="2734"/>
      <c r="O95" s="3162"/>
      <c r="P95" s="3096"/>
      <c r="Q95" s="2793"/>
      <c r="R95" s="495" t="s">
        <v>412</v>
      </c>
      <c r="S95" s="493">
        <v>12000000</v>
      </c>
      <c r="T95" s="3136"/>
      <c r="U95" s="3083"/>
      <c r="V95" s="2223"/>
      <c r="W95" s="2223"/>
      <c r="X95" s="2707"/>
      <c r="Y95" s="3134"/>
      <c r="Z95" s="3134"/>
      <c r="AA95" s="3134"/>
      <c r="AB95" s="3134"/>
      <c r="AC95" s="3134"/>
      <c r="AD95" s="3134"/>
      <c r="AE95" s="3134"/>
      <c r="AF95" s="3134"/>
      <c r="AG95" s="3134"/>
      <c r="AH95" s="3134"/>
      <c r="AI95" s="3134"/>
      <c r="AJ95" s="3134"/>
      <c r="AK95" s="2229"/>
      <c r="AL95" s="2229"/>
      <c r="AM95" s="2184"/>
    </row>
    <row r="96" spans="1:39" ht="53.25" customHeight="1" x14ac:dyDescent="0.2">
      <c r="A96" s="424"/>
      <c r="B96" s="425"/>
      <c r="C96" s="253"/>
      <c r="D96" s="450"/>
      <c r="E96" s="253"/>
      <c r="F96" s="450"/>
      <c r="G96" s="3159"/>
      <c r="H96" s="3150"/>
      <c r="I96" s="2823"/>
      <c r="J96" s="2305"/>
      <c r="K96" s="467"/>
      <c r="L96" s="3130"/>
      <c r="M96" s="3150"/>
      <c r="N96" s="2734"/>
      <c r="O96" s="3162"/>
      <c r="P96" s="3096"/>
      <c r="Q96" s="2784"/>
      <c r="R96" s="483" t="s">
        <v>413</v>
      </c>
      <c r="S96" s="493">
        <v>12000000</v>
      </c>
      <c r="T96" s="3136"/>
      <c r="U96" s="3083"/>
      <c r="V96" s="2223"/>
      <c r="W96" s="2223"/>
      <c r="X96" s="2707"/>
      <c r="Y96" s="3134"/>
      <c r="Z96" s="3134"/>
      <c r="AA96" s="3134"/>
      <c r="AB96" s="3134"/>
      <c r="AC96" s="3134"/>
      <c r="AD96" s="3134"/>
      <c r="AE96" s="3134"/>
      <c r="AF96" s="3134"/>
      <c r="AG96" s="3134"/>
      <c r="AH96" s="3134"/>
      <c r="AI96" s="3134"/>
      <c r="AJ96" s="3134"/>
      <c r="AK96" s="2229"/>
      <c r="AL96" s="2229"/>
      <c r="AM96" s="2184"/>
    </row>
    <row r="97" spans="1:39" ht="93.75" customHeight="1" x14ac:dyDescent="0.2">
      <c r="A97" s="424"/>
      <c r="B97" s="425"/>
      <c r="C97" s="253"/>
      <c r="D97" s="450"/>
      <c r="E97" s="253"/>
      <c r="F97" s="450"/>
      <c r="G97" s="3159"/>
      <c r="H97" s="3150"/>
      <c r="I97" s="2823"/>
      <c r="J97" s="2305"/>
      <c r="K97" s="467"/>
      <c r="L97" s="3130"/>
      <c r="M97" s="3150"/>
      <c r="N97" s="2734"/>
      <c r="O97" s="3162"/>
      <c r="P97" s="3096"/>
      <c r="Q97" s="2783" t="s">
        <v>414</v>
      </c>
      <c r="R97" s="495" t="s">
        <v>415</v>
      </c>
      <c r="S97" s="493">
        <v>290060000</v>
      </c>
      <c r="T97" s="3136"/>
      <c r="U97" s="3083"/>
      <c r="V97" s="2223"/>
      <c r="W97" s="2223"/>
      <c r="X97" s="2707"/>
      <c r="Y97" s="3134"/>
      <c r="Z97" s="3134"/>
      <c r="AA97" s="3134"/>
      <c r="AB97" s="3134"/>
      <c r="AC97" s="3134"/>
      <c r="AD97" s="3134"/>
      <c r="AE97" s="3134"/>
      <c r="AF97" s="3134"/>
      <c r="AG97" s="3134"/>
      <c r="AH97" s="3134"/>
      <c r="AI97" s="3134"/>
      <c r="AJ97" s="3134"/>
      <c r="AK97" s="2229"/>
      <c r="AL97" s="2229"/>
      <c r="AM97" s="2184"/>
    </row>
    <row r="98" spans="1:39" ht="101.25" customHeight="1" x14ac:dyDescent="0.2">
      <c r="A98" s="424"/>
      <c r="B98" s="425"/>
      <c r="C98" s="253"/>
      <c r="D98" s="450"/>
      <c r="E98" s="253"/>
      <c r="F98" s="450"/>
      <c r="G98" s="3159"/>
      <c r="H98" s="3150"/>
      <c r="I98" s="2823"/>
      <c r="J98" s="2305"/>
      <c r="K98" s="467"/>
      <c r="L98" s="3130"/>
      <c r="M98" s="3150"/>
      <c r="N98" s="2734"/>
      <c r="O98" s="3162"/>
      <c r="P98" s="3096"/>
      <c r="Q98" s="2793"/>
      <c r="R98" s="495" t="s">
        <v>416</v>
      </c>
      <c r="S98" s="493">
        <f>51000000+170000000</f>
        <v>221000000</v>
      </c>
      <c r="T98" s="3136"/>
      <c r="U98" s="3083"/>
      <c r="V98" s="2223"/>
      <c r="W98" s="2223"/>
      <c r="X98" s="2707"/>
      <c r="Y98" s="3134"/>
      <c r="Z98" s="3134"/>
      <c r="AA98" s="3134"/>
      <c r="AB98" s="3134"/>
      <c r="AC98" s="3134"/>
      <c r="AD98" s="3134"/>
      <c r="AE98" s="3134"/>
      <c r="AF98" s="3134"/>
      <c r="AG98" s="3134"/>
      <c r="AH98" s="3134"/>
      <c r="AI98" s="3134"/>
      <c r="AJ98" s="3134"/>
      <c r="AK98" s="2229"/>
      <c r="AL98" s="2229"/>
      <c r="AM98" s="2184"/>
    </row>
    <row r="99" spans="1:39" ht="51.75" customHeight="1" x14ac:dyDescent="0.2">
      <c r="A99" s="424"/>
      <c r="B99" s="425"/>
      <c r="C99" s="253"/>
      <c r="D99" s="450"/>
      <c r="E99" s="253"/>
      <c r="F99" s="450"/>
      <c r="G99" s="3159"/>
      <c r="H99" s="3150"/>
      <c r="I99" s="2823"/>
      <c r="J99" s="2305"/>
      <c r="K99" s="467"/>
      <c r="L99" s="3130"/>
      <c r="M99" s="3150"/>
      <c r="N99" s="2734"/>
      <c r="O99" s="3162"/>
      <c r="P99" s="3096"/>
      <c r="Q99" s="2793"/>
      <c r="R99" s="495" t="s">
        <v>417</v>
      </c>
      <c r="S99" s="493">
        <v>30000000</v>
      </c>
      <c r="T99" s="3136"/>
      <c r="U99" s="3083"/>
      <c r="V99" s="2223"/>
      <c r="W99" s="2223"/>
      <c r="X99" s="2707"/>
      <c r="Y99" s="3134"/>
      <c r="Z99" s="3134"/>
      <c r="AA99" s="3134"/>
      <c r="AB99" s="3134"/>
      <c r="AC99" s="3134"/>
      <c r="AD99" s="3134"/>
      <c r="AE99" s="3134"/>
      <c r="AF99" s="3134"/>
      <c r="AG99" s="3134"/>
      <c r="AH99" s="3134"/>
      <c r="AI99" s="3134"/>
      <c r="AJ99" s="3134"/>
      <c r="AK99" s="2229"/>
      <c r="AL99" s="2229"/>
      <c r="AM99" s="2184"/>
    </row>
    <row r="100" spans="1:39" ht="70.5" customHeight="1" x14ac:dyDescent="0.2">
      <c r="A100" s="424"/>
      <c r="B100" s="425"/>
      <c r="C100" s="253"/>
      <c r="D100" s="450"/>
      <c r="E100" s="253"/>
      <c r="F100" s="450"/>
      <c r="G100" s="3159"/>
      <c r="H100" s="3150"/>
      <c r="I100" s="2823"/>
      <c r="J100" s="2305"/>
      <c r="K100" s="467"/>
      <c r="L100" s="3130"/>
      <c r="M100" s="3150"/>
      <c r="N100" s="2734"/>
      <c r="O100" s="3162"/>
      <c r="P100" s="3096"/>
      <c r="Q100" s="2784"/>
      <c r="R100" s="495" t="s">
        <v>418</v>
      </c>
      <c r="S100" s="493">
        <v>20000000</v>
      </c>
      <c r="T100" s="3163"/>
      <c r="U100" s="3105"/>
      <c r="V100" s="2224"/>
      <c r="W100" s="2224"/>
      <c r="X100" s="2707"/>
      <c r="Y100" s="3134"/>
      <c r="Z100" s="3134"/>
      <c r="AA100" s="3134"/>
      <c r="AB100" s="3134"/>
      <c r="AC100" s="3134"/>
      <c r="AD100" s="3134"/>
      <c r="AE100" s="3134"/>
      <c r="AF100" s="3134"/>
      <c r="AG100" s="3134"/>
      <c r="AH100" s="3134"/>
      <c r="AI100" s="3134"/>
      <c r="AJ100" s="3134"/>
      <c r="AK100" s="2229"/>
      <c r="AL100" s="2229"/>
      <c r="AM100" s="2184"/>
    </row>
    <row r="101" spans="1:39" ht="66" customHeight="1" x14ac:dyDescent="0.2">
      <c r="A101" s="424"/>
      <c r="B101" s="425"/>
      <c r="C101" s="253"/>
      <c r="D101" s="450"/>
      <c r="E101" s="253"/>
      <c r="F101" s="450"/>
      <c r="G101" s="3159">
        <v>192</v>
      </c>
      <c r="H101" s="3095" t="s">
        <v>419</v>
      </c>
      <c r="I101" s="2284" t="s">
        <v>420</v>
      </c>
      <c r="J101" s="3160">
        <v>1</v>
      </c>
      <c r="K101" s="3141" t="s">
        <v>421</v>
      </c>
      <c r="L101" s="3132" t="s">
        <v>422</v>
      </c>
      <c r="M101" s="3095" t="s">
        <v>423</v>
      </c>
      <c r="N101" s="2714">
        <f>SUM(S101:S104)/O101</f>
        <v>1</v>
      </c>
      <c r="O101" s="2715">
        <f>SUM(S101:S104)</f>
        <v>80000000</v>
      </c>
      <c r="P101" s="3150" t="s">
        <v>424</v>
      </c>
      <c r="Q101" s="2296" t="s">
        <v>425</v>
      </c>
      <c r="R101" s="496" t="s">
        <v>426</v>
      </c>
      <c r="S101" s="497">
        <v>15000000</v>
      </c>
      <c r="T101" s="3083" t="s">
        <v>342</v>
      </c>
      <c r="U101" s="3083" t="s">
        <v>55</v>
      </c>
      <c r="V101" s="3151">
        <v>877</v>
      </c>
      <c r="W101" s="3151">
        <v>701</v>
      </c>
      <c r="X101" s="3133"/>
      <c r="Y101" s="3133"/>
      <c r="Z101" s="3133"/>
      <c r="AA101" s="3133"/>
      <c r="AB101" s="3133"/>
      <c r="AC101" s="3133"/>
      <c r="AD101" s="3133"/>
      <c r="AE101" s="3133"/>
      <c r="AF101" s="3133"/>
      <c r="AG101" s="3133"/>
      <c r="AH101" s="3133"/>
      <c r="AI101" s="3133"/>
      <c r="AJ101" s="3133"/>
      <c r="AK101" s="3117">
        <v>43102</v>
      </c>
      <c r="AL101" s="3117">
        <v>43465</v>
      </c>
      <c r="AM101" s="2184" t="s">
        <v>273</v>
      </c>
    </row>
    <row r="102" spans="1:39" ht="52.5" customHeight="1" x14ac:dyDescent="0.2">
      <c r="A102" s="424"/>
      <c r="B102" s="425"/>
      <c r="C102" s="253"/>
      <c r="D102" s="450"/>
      <c r="E102" s="253"/>
      <c r="F102" s="450"/>
      <c r="G102" s="3159"/>
      <c r="H102" s="3096"/>
      <c r="I102" s="3091"/>
      <c r="J102" s="3160"/>
      <c r="K102" s="3142"/>
      <c r="L102" s="3130"/>
      <c r="M102" s="3096"/>
      <c r="N102" s="2714"/>
      <c r="O102" s="2715"/>
      <c r="P102" s="3150"/>
      <c r="Q102" s="2302"/>
      <c r="R102" s="495" t="s">
        <v>427</v>
      </c>
      <c r="S102" s="497">
        <v>17000000</v>
      </c>
      <c r="T102" s="3083"/>
      <c r="U102" s="3083"/>
      <c r="V102" s="3151"/>
      <c r="W102" s="3151"/>
      <c r="X102" s="3134"/>
      <c r="Y102" s="3134"/>
      <c r="Z102" s="3134"/>
      <c r="AA102" s="3134"/>
      <c r="AB102" s="3134"/>
      <c r="AC102" s="3134"/>
      <c r="AD102" s="3134"/>
      <c r="AE102" s="3134"/>
      <c r="AF102" s="3134"/>
      <c r="AG102" s="3134"/>
      <c r="AH102" s="3134"/>
      <c r="AI102" s="3134"/>
      <c r="AJ102" s="3134"/>
      <c r="AK102" s="3117"/>
      <c r="AL102" s="3117"/>
      <c r="AM102" s="2184"/>
    </row>
    <row r="103" spans="1:39" ht="53.25" customHeight="1" x14ac:dyDescent="0.2">
      <c r="A103" s="424"/>
      <c r="B103" s="425"/>
      <c r="C103" s="253"/>
      <c r="D103" s="450"/>
      <c r="E103" s="253"/>
      <c r="F103" s="450"/>
      <c r="G103" s="3159"/>
      <c r="H103" s="3096"/>
      <c r="I103" s="3091"/>
      <c r="J103" s="3160"/>
      <c r="K103" s="3142"/>
      <c r="L103" s="3130"/>
      <c r="M103" s="3096"/>
      <c r="N103" s="2714"/>
      <c r="O103" s="2715"/>
      <c r="P103" s="3150"/>
      <c r="Q103" s="2302"/>
      <c r="R103" s="381" t="s">
        <v>428</v>
      </c>
      <c r="S103" s="497">
        <v>10000000</v>
      </c>
      <c r="T103" s="3083"/>
      <c r="U103" s="3083"/>
      <c r="V103" s="3151"/>
      <c r="W103" s="3151"/>
      <c r="X103" s="3134"/>
      <c r="Y103" s="3134"/>
      <c r="Z103" s="3134"/>
      <c r="AA103" s="3134"/>
      <c r="AB103" s="3134"/>
      <c r="AC103" s="3134"/>
      <c r="AD103" s="3134"/>
      <c r="AE103" s="3134"/>
      <c r="AF103" s="3134"/>
      <c r="AG103" s="3134"/>
      <c r="AH103" s="3134"/>
      <c r="AI103" s="3134"/>
      <c r="AJ103" s="3134"/>
      <c r="AK103" s="3117"/>
      <c r="AL103" s="3117"/>
      <c r="AM103" s="2184"/>
    </row>
    <row r="104" spans="1:39" ht="49.5" customHeight="1" x14ac:dyDescent="0.2">
      <c r="A104" s="424"/>
      <c r="B104" s="425"/>
      <c r="C104" s="253"/>
      <c r="D104" s="450"/>
      <c r="E104" s="498"/>
      <c r="F104" s="450"/>
      <c r="G104" s="3159"/>
      <c r="H104" s="3097"/>
      <c r="I104" s="3106"/>
      <c r="J104" s="3160"/>
      <c r="K104" s="3143"/>
      <c r="L104" s="3131"/>
      <c r="M104" s="3097"/>
      <c r="N104" s="2714"/>
      <c r="O104" s="2715"/>
      <c r="P104" s="3150"/>
      <c r="Q104" s="2297"/>
      <c r="R104" s="382" t="s">
        <v>429</v>
      </c>
      <c r="S104" s="497">
        <v>38000000</v>
      </c>
      <c r="T104" s="3105"/>
      <c r="U104" s="3105"/>
      <c r="V104" s="3152"/>
      <c r="W104" s="3152"/>
      <c r="X104" s="3134"/>
      <c r="Y104" s="3134"/>
      <c r="Z104" s="3134"/>
      <c r="AA104" s="3134"/>
      <c r="AB104" s="3134"/>
      <c r="AC104" s="3134"/>
      <c r="AD104" s="3134"/>
      <c r="AE104" s="3134"/>
      <c r="AF104" s="3134"/>
      <c r="AG104" s="3134"/>
      <c r="AH104" s="3134"/>
      <c r="AI104" s="3134"/>
      <c r="AJ104" s="3134"/>
      <c r="AK104" s="2229"/>
      <c r="AL104" s="2229"/>
      <c r="AM104" s="2184"/>
    </row>
    <row r="105" spans="1:39" ht="15.75" x14ac:dyDescent="0.2">
      <c r="A105" s="424"/>
      <c r="B105" s="425"/>
      <c r="C105" s="253"/>
      <c r="D105" s="450"/>
      <c r="E105" s="499">
        <v>63</v>
      </c>
      <c r="F105" s="500" t="s">
        <v>430</v>
      </c>
      <c r="G105" s="501"/>
      <c r="H105" s="502"/>
      <c r="I105" s="502"/>
      <c r="J105" s="501"/>
      <c r="K105" s="501"/>
      <c r="L105" s="501"/>
      <c r="M105" s="502"/>
      <c r="N105" s="501"/>
      <c r="O105" s="503"/>
      <c r="P105" s="502"/>
      <c r="Q105" s="502"/>
      <c r="R105" s="502"/>
      <c r="S105" s="504"/>
      <c r="T105" s="505"/>
      <c r="U105" s="502"/>
      <c r="V105" s="501"/>
      <c r="W105" s="501"/>
      <c r="X105" s="501"/>
      <c r="Y105" s="501"/>
      <c r="Z105" s="501"/>
      <c r="AA105" s="501"/>
      <c r="AB105" s="501"/>
      <c r="AC105" s="501"/>
      <c r="AD105" s="501"/>
      <c r="AE105" s="501"/>
      <c r="AF105" s="501"/>
      <c r="AG105" s="501"/>
      <c r="AH105" s="501"/>
      <c r="AI105" s="501"/>
      <c r="AJ105" s="501"/>
      <c r="AK105" s="501"/>
      <c r="AL105" s="501"/>
      <c r="AM105" s="506"/>
    </row>
    <row r="106" spans="1:39" ht="72" customHeight="1" x14ac:dyDescent="0.2">
      <c r="A106" s="424"/>
      <c r="B106" s="425"/>
      <c r="C106" s="253"/>
      <c r="D106" s="450"/>
      <c r="E106" s="239"/>
      <c r="F106" s="450"/>
      <c r="G106" s="3128">
        <v>193</v>
      </c>
      <c r="H106" s="3091" t="s">
        <v>431</v>
      </c>
      <c r="I106" s="3091" t="s">
        <v>432</v>
      </c>
      <c r="J106" s="2434">
        <v>1</v>
      </c>
      <c r="K106" s="3141" t="s">
        <v>433</v>
      </c>
      <c r="L106" s="3130" t="s">
        <v>434</v>
      </c>
      <c r="M106" s="2391" t="s">
        <v>435</v>
      </c>
      <c r="N106" s="2714">
        <f>SUM(S106:S107)/O106</f>
        <v>1</v>
      </c>
      <c r="O106" s="3149">
        <f>SUM(S106:S107)</f>
        <v>30000000</v>
      </c>
      <c r="P106" s="3150" t="s">
        <v>436</v>
      </c>
      <c r="Q106" s="2277" t="s">
        <v>437</v>
      </c>
      <c r="R106" s="381" t="s">
        <v>438</v>
      </c>
      <c r="S106" s="507">
        <v>15000000</v>
      </c>
      <c r="T106" s="3144">
        <v>20</v>
      </c>
      <c r="U106" s="3144" t="s">
        <v>72</v>
      </c>
      <c r="V106" s="2222">
        <v>15</v>
      </c>
      <c r="W106" s="2222">
        <v>17</v>
      </c>
      <c r="X106" s="3153"/>
      <c r="Y106" s="3153"/>
      <c r="Z106" s="3153"/>
      <c r="AA106" s="3153"/>
      <c r="AB106" s="3157">
        <v>32</v>
      </c>
      <c r="AC106" s="3153"/>
      <c r="AD106" s="3155"/>
      <c r="AE106" s="3155"/>
      <c r="AF106" s="3155"/>
      <c r="AG106" s="3155"/>
      <c r="AH106" s="3133"/>
      <c r="AI106" s="3133"/>
      <c r="AJ106" s="3133"/>
      <c r="AK106" s="2602">
        <v>43102</v>
      </c>
      <c r="AL106" s="2602">
        <v>43465</v>
      </c>
      <c r="AM106" s="2184" t="s">
        <v>273</v>
      </c>
    </row>
    <row r="107" spans="1:39" ht="51.75" customHeight="1" x14ac:dyDescent="0.2">
      <c r="A107" s="424"/>
      <c r="B107" s="425"/>
      <c r="C107" s="253"/>
      <c r="D107" s="450"/>
      <c r="E107" s="253"/>
      <c r="F107" s="450"/>
      <c r="G107" s="3129"/>
      <c r="H107" s="3106"/>
      <c r="I107" s="3106"/>
      <c r="J107" s="2305"/>
      <c r="K107" s="3143"/>
      <c r="L107" s="3131"/>
      <c r="M107" s="2392"/>
      <c r="N107" s="2714"/>
      <c r="O107" s="2715"/>
      <c r="P107" s="3150"/>
      <c r="Q107" s="2277"/>
      <c r="R107" s="381" t="s">
        <v>439</v>
      </c>
      <c r="S107" s="508">
        <v>15000000</v>
      </c>
      <c r="T107" s="3144"/>
      <c r="U107" s="3144"/>
      <c r="V107" s="2224"/>
      <c r="W107" s="2224"/>
      <c r="X107" s="3154"/>
      <c r="Y107" s="3154"/>
      <c r="Z107" s="3154"/>
      <c r="AA107" s="3154"/>
      <c r="AB107" s="3158"/>
      <c r="AC107" s="3154"/>
      <c r="AD107" s="3156"/>
      <c r="AE107" s="3156"/>
      <c r="AF107" s="3156"/>
      <c r="AG107" s="3156"/>
      <c r="AH107" s="3134"/>
      <c r="AI107" s="3134"/>
      <c r="AJ107" s="3134"/>
      <c r="AK107" s="2604"/>
      <c r="AL107" s="2604"/>
      <c r="AM107" s="2184"/>
    </row>
    <row r="108" spans="1:39" ht="60" customHeight="1" x14ac:dyDescent="0.2">
      <c r="A108" s="424"/>
      <c r="B108" s="425"/>
      <c r="C108" s="253"/>
      <c r="D108" s="450"/>
      <c r="E108" s="253"/>
      <c r="F108" s="450"/>
      <c r="G108" s="3127">
        <v>194</v>
      </c>
      <c r="H108" s="2284" t="s">
        <v>440</v>
      </c>
      <c r="I108" s="3148" t="s">
        <v>441</v>
      </c>
      <c r="J108" s="2305">
        <v>1</v>
      </c>
      <c r="K108" s="3141" t="s">
        <v>442</v>
      </c>
      <c r="L108" s="3132" t="s">
        <v>443</v>
      </c>
      <c r="M108" s="3095" t="s">
        <v>444</v>
      </c>
      <c r="N108" s="2714">
        <f>SUM(S108:S109)/O108</f>
        <v>1</v>
      </c>
      <c r="O108" s="2715">
        <f>SUM(S108:S109)</f>
        <v>70000000</v>
      </c>
      <c r="P108" s="3095" t="s">
        <v>445</v>
      </c>
      <c r="Q108" s="382" t="s">
        <v>446</v>
      </c>
      <c r="R108" s="370" t="s">
        <v>447</v>
      </c>
      <c r="S108" s="509">
        <v>45000000</v>
      </c>
      <c r="T108" s="3144" t="s">
        <v>342</v>
      </c>
      <c r="U108" s="3104" t="s">
        <v>55</v>
      </c>
      <c r="V108" s="2229">
        <v>433</v>
      </c>
      <c r="W108" s="2229">
        <v>476</v>
      </c>
      <c r="X108" s="3133"/>
      <c r="Y108" s="3133"/>
      <c r="Z108" s="3133"/>
      <c r="AA108" s="3133"/>
      <c r="AB108" s="2222">
        <v>909</v>
      </c>
      <c r="AC108" s="3133"/>
      <c r="AD108" s="3133"/>
      <c r="AE108" s="3133"/>
      <c r="AF108" s="3133"/>
      <c r="AG108" s="3133"/>
      <c r="AH108" s="3133"/>
      <c r="AI108" s="3133"/>
      <c r="AJ108" s="3133"/>
      <c r="AK108" s="2602">
        <v>43102</v>
      </c>
      <c r="AL108" s="2602">
        <v>43465</v>
      </c>
      <c r="AM108" s="2184" t="s">
        <v>273</v>
      </c>
    </row>
    <row r="109" spans="1:39" ht="51.75" customHeight="1" x14ac:dyDescent="0.2">
      <c r="A109" s="424"/>
      <c r="B109" s="425"/>
      <c r="C109" s="253"/>
      <c r="D109" s="450"/>
      <c r="E109" s="253"/>
      <c r="F109" s="450"/>
      <c r="G109" s="3128"/>
      <c r="H109" s="3091"/>
      <c r="I109" s="3148"/>
      <c r="J109" s="2305"/>
      <c r="K109" s="3143"/>
      <c r="L109" s="3130"/>
      <c r="M109" s="3096"/>
      <c r="N109" s="2714"/>
      <c r="O109" s="2715"/>
      <c r="P109" s="3097"/>
      <c r="Q109" s="386" t="s">
        <v>448</v>
      </c>
      <c r="R109" s="510" t="s">
        <v>449</v>
      </c>
      <c r="S109" s="497">
        <v>25000000</v>
      </c>
      <c r="T109" s="3144"/>
      <c r="U109" s="3105"/>
      <c r="V109" s="2229"/>
      <c r="W109" s="2229"/>
      <c r="X109" s="3134"/>
      <c r="Y109" s="3134"/>
      <c r="Z109" s="3134"/>
      <c r="AA109" s="3134"/>
      <c r="AB109" s="2223"/>
      <c r="AC109" s="3134"/>
      <c r="AD109" s="3134"/>
      <c r="AE109" s="3134"/>
      <c r="AF109" s="3134"/>
      <c r="AG109" s="3134"/>
      <c r="AH109" s="3134"/>
      <c r="AI109" s="3134"/>
      <c r="AJ109" s="3134"/>
      <c r="AK109" s="2604"/>
      <c r="AL109" s="2603"/>
      <c r="AM109" s="2184"/>
    </row>
    <row r="110" spans="1:39" ht="15.75" x14ac:dyDescent="0.2">
      <c r="A110" s="424"/>
      <c r="B110" s="425"/>
      <c r="C110" s="253"/>
      <c r="D110" s="450"/>
      <c r="E110" s="151">
        <v>64</v>
      </c>
      <c r="F110" s="511" t="s">
        <v>450</v>
      </c>
      <c r="G110" s="512"/>
      <c r="H110" s="502"/>
      <c r="I110" s="502"/>
      <c r="J110" s="512"/>
      <c r="K110" s="512"/>
      <c r="L110" s="512"/>
      <c r="M110" s="502"/>
      <c r="N110" s="512"/>
      <c r="O110" s="513"/>
      <c r="P110" s="502"/>
      <c r="Q110" s="502"/>
      <c r="R110" s="502"/>
      <c r="S110" s="504"/>
      <c r="T110" s="505"/>
      <c r="U110" s="505"/>
      <c r="V110" s="512"/>
      <c r="W110" s="512"/>
      <c r="X110" s="512"/>
      <c r="Y110" s="512"/>
      <c r="Z110" s="512"/>
      <c r="AA110" s="512"/>
      <c r="AB110" s="512"/>
      <c r="AC110" s="512"/>
      <c r="AD110" s="512"/>
      <c r="AE110" s="512"/>
      <c r="AF110" s="512"/>
      <c r="AG110" s="512"/>
      <c r="AH110" s="512"/>
      <c r="AI110" s="512"/>
      <c r="AJ110" s="512"/>
      <c r="AK110" s="512"/>
      <c r="AL110" s="512"/>
      <c r="AM110" s="506"/>
    </row>
    <row r="111" spans="1:39" ht="49.5" customHeight="1" x14ac:dyDescent="0.2">
      <c r="A111" s="424"/>
      <c r="B111" s="425"/>
      <c r="C111" s="253"/>
      <c r="D111" s="450"/>
      <c r="E111" s="432"/>
      <c r="F111" s="425"/>
      <c r="G111" s="3127">
        <v>195</v>
      </c>
      <c r="H111" s="2284" t="s">
        <v>451</v>
      </c>
      <c r="I111" s="3145" t="s">
        <v>452</v>
      </c>
      <c r="J111" s="2950">
        <v>1</v>
      </c>
      <c r="K111" s="3141" t="s">
        <v>453</v>
      </c>
      <c r="L111" s="3132" t="s">
        <v>454</v>
      </c>
      <c r="M111" s="2390" t="s">
        <v>455</v>
      </c>
      <c r="N111" s="2714">
        <f>SUM(S111:S113)/O111</f>
        <v>1</v>
      </c>
      <c r="O111" s="2715">
        <f>SUM(S111:S113)</f>
        <v>90000000</v>
      </c>
      <c r="P111" s="3095" t="s">
        <v>456</v>
      </c>
      <c r="Q111" s="2296" t="s">
        <v>457</v>
      </c>
      <c r="R111" s="382" t="s">
        <v>458</v>
      </c>
      <c r="S111" s="497">
        <v>30200000</v>
      </c>
      <c r="T111" s="3104" t="s">
        <v>342</v>
      </c>
      <c r="U111" s="3104" t="s">
        <v>55</v>
      </c>
      <c r="V111" s="2222">
        <v>6364</v>
      </c>
      <c r="W111" s="2222">
        <v>6844</v>
      </c>
      <c r="X111" s="3133"/>
      <c r="Y111" s="3133"/>
      <c r="Z111" s="3133"/>
      <c r="AA111" s="3133"/>
      <c r="AB111" s="3133"/>
      <c r="AC111" s="2222">
        <v>13208</v>
      </c>
      <c r="AD111" s="3133"/>
      <c r="AE111" s="3133"/>
      <c r="AF111" s="3133"/>
      <c r="AG111" s="3133"/>
      <c r="AH111" s="3133"/>
      <c r="AI111" s="3133"/>
      <c r="AJ111" s="3133"/>
      <c r="AK111" s="3137">
        <v>43102</v>
      </c>
      <c r="AL111" s="2602">
        <v>43465</v>
      </c>
      <c r="AM111" s="2184" t="s">
        <v>273</v>
      </c>
    </row>
    <row r="112" spans="1:39" ht="63.75" customHeight="1" x14ac:dyDescent="0.2">
      <c r="A112" s="424"/>
      <c r="B112" s="425"/>
      <c r="C112" s="253"/>
      <c r="D112" s="450"/>
      <c r="E112" s="432"/>
      <c r="F112" s="425"/>
      <c r="G112" s="3128"/>
      <c r="H112" s="3091"/>
      <c r="I112" s="3146"/>
      <c r="J112" s="2950"/>
      <c r="K112" s="3142"/>
      <c r="L112" s="3130"/>
      <c r="M112" s="2391"/>
      <c r="N112" s="2714"/>
      <c r="O112" s="2715"/>
      <c r="P112" s="3096"/>
      <c r="Q112" s="2302"/>
      <c r="R112" s="382" t="s">
        <v>459</v>
      </c>
      <c r="S112" s="497">
        <v>51000000</v>
      </c>
      <c r="T112" s="3083"/>
      <c r="U112" s="3083"/>
      <c r="V112" s="2223"/>
      <c r="W112" s="2223"/>
      <c r="X112" s="3134"/>
      <c r="Y112" s="3134"/>
      <c r="Z112" s="3134"/>
      <c r="AA112" s="3134"/>
      <c r="AB112" s="3134"/>
      <c r="AC112" s="2223"/>
      <c r="AD112" s="3134"/>
      <c r="AE112" s="3134"/>
      <c r="AF112" s="3134"/>
      <c r="AG112" s="3134"/>
      <c r="AH112" s="3134"/>
      <c r="AI112" s="3134"/>
      <c r="AJ112" s="3134"/>
      <c r="AK112" s="3138"/>
      <c r="AL112" s="2603"/>
      <c r="AM112" s="2184"/>
    </row>
    <row r="113" spans="1:254" ht="33.75" customHeight="1" x14ac:dyDescent="0.2">
      <c r="A113" s="424"/>
      <c r="B113" s="425"/>
      <c r="C113" s="253"/>
      <c r="D113" s="450"/>
      <c r="E113" s="441"/>
      <c r="F113" s="442"/>
      <c r="G113" s="3129"/>
      <c r="H113" s="3106"/>
      <c r="I113" s="3147"/>
      <c r="J113" s="2950"/>
      <c r="K113" s="3143"/>
      <c r="L113" s="3131"/>
      <c r="M113" s="2392"/>
      <c r="N113" s="2714"/>
      <c r="O113" s="2715"/>
      <c r="P113" s="3097"/>
      <c r="Q113" s="2297"/>
      <c r="R113" s="382" t="s">
        <v>460</v>
      </c>
      <c r="S113" s="497">
        <v>8800000</v>
      </c>
      <c r="T113" s="3105"/>
      <c r="U113" s="3105"/>
      <c r="V113" s="2224"/>
      <c r="W113" s="2224"/>
      <c r="X113" s="3134"/>
      <c r="Y113" s="3134"/>
      <c r="Z113" s="3134"/>
      <c r="AA113" s="3134"/>
      <c r="AB113" s="3134"/>
      <c r="AC113" s="2223"/>
      <c r="AD113" s="3134"/>
      <c r="AE113" s="3134"/>
      <c r="AF113" s="3134"/>
      <c r="AG113" s="3134"/>
      <c r="AH113" s="3134"/>
      <c r="AI113" s="3134"/>
      <c r="AJ113" s="3134"/>
      <c r="AK113" s="3139"/>
      <c r="AL113" s="2604"/>
      <c r="AM113" s="2184"/>
    </row>
    <row r="114" spans="1:254" ht="15.75" x14ac:dyDescent="0.2">
      <c r="A114" s="424"/>
      <c r="B114" s="425"/>
      <c r="C114" s="253"/>
      <c r="D114" s="450"/>
      <c r="E114" s="478">
        <v>65</v>
      </c>
      <c r="F114" s="500" t="s">
        <v>461</v>
      </c>
      <c r="G114" s="501"/>
      <c r="H114" s="502"/>
      <c r="I114" s="502"/>
      <c r="J114" s="501"/>
      <c r="K114" s="501"/>
      <c r="L114" s="501"/>
      <c r="M114" s="502"/>
      <c r="N114" s="501"/>
      <c r="O114" s="503"/>
      <c r="P114" s="502"/>
      <c r="Q114" s="502"/>
      <c r="R114" s="502"/>
      <c r="S114" s="504"/>
      <c r="T114" s="505"/>
      <c r="U114" s="502"/>
      <c r="V114" s="501"/>
      <c r="W114" s="501"/>
      <c r="X114" s="501"/>
      <c r="Y114" s="501"/>
      <c r="Z114" s="501"/>
      <c r="AA114" s="501"/>
      <c r="AB114" s="501"/>
      <c r="AC114" s="501"/>
      <c r="AD114" s="501"/>
      <c r="AE114" s="501"/>
      <c r="AF114" s="501"/>
      <c r="AG114" s="501"/>
      <c r="AH114" s="501"/>
      <c r="AI114" s="501"/>
      <c r="AJ114" s="501"/>
      <c r="AK114" s="501"/>
      <c r="AL114" s="501"/>
      <c r="AM114" s="506"/>
    </row>
    <row r="115" spans="1:254" ht="43.5" customHeight="1" x14ac:dyDescent="0.2">
      <c r="A115" s="424"/>
      <c r="B115" s="425"/>
      <c r="C115" s="253"/>
      <c r="D115" s="450"/>
      <c r="E115" s="239"/>
      <c r="F115" s="454"/>
      <c r="G115" s="3127">
        <v>196</v>
      </c>
      <c r="H115" s="2284" t="s">
        <v>462</v>
      </c>
      <c r="I115" s="2284" t="s">
        <v>463</v>
      </c>
      <c r="J115" s="3140">
        <v>1</v>
      </c>
      <c r="K115" s="3141" t="s">
        <v>464</v>
      </c>
      <c r="L115" s="3132" t="s">
        <v>465</v>
      </c>
      <c r="M115" s="3095" t="s">
        <v>466</v>
      </c>
      <c r="N115" s="2714">
        <f>SUM(S115:S117)/O115</f>
        <v>1</v>
      </c>
      <c r="O115" s="2715">
        <f>SUM(S115:S117)</f>
        <v>56400000</v>
      </c>
      <c r="P115" s="3095" t="s">
        <v>467</v>
      </c>
      <c r="Q115" s="2296" t="s">
        <v>468</v>
      </c>
      <c r="R115" s="267" t="s">
        <v>469</v>
      </c>
      <c r="S115" s="443">
        <f>15000000+20120000</f>
        <v>35120000</v>
      </c>
      <c r="T115" s="3135" t="s">
        <v>67</v>
      </c>
      <c r="U115" s="2284" t="s">
        <v>470</v>
      </c>
      <c r="V115" s="2906">
        <v>900</v>
      </c>
      <c r="W115" s="2906">
        <v>1480</v>
      </c>
      <c r="X115" s="2906">
        <v>0</v>
      </c>
      <c r="Y115" s="2906">
        <v>755</v>
      </c>
      <c r="Z115" s="2906">
        <v>1500</v>
      </c>
      <c r="AA115" s="2906">
        <v>95</v>
      </c>
      <c r="AB115" s="3121">
        <v>10</v>
      </c>
      <c r="AC115" s="3121">
        <v>20</v>
      </c>
      <c r="AD115" s="3118"/>
      <c r="AE115" s="3118"/>
      <c r="AF115" s="3118"/>
      <c r="AG115" s="3118"/>
      <c r="AH115" s="3111"/>
      <c r="AI115" s="3111"/>
      <c r="AJ115" s="3114"/>
      <c r="AK115" s="2602">
        <v>43102</v>
      </c>
      <c r="AL115" s="2602">
        <v>43465</v>
      </c>
      <c r="AM115" s="2184" t="s">
        <v>273</v>
      </c>
    </row>
    <row r="116" spans="1:254" ht="59.25" customHeight="1" x14ac:dyDescent="0.2">
      <c r="A116" s="424"/>
      <c r="B116" s="425"/>
      <c r="C116" s="253"/>
      <c r="D116" s="450"/>
      <c r="E116" s="253"/>
      <c r="F116" s="450"/>
      <c r="G116" s="3128"/>
      <c r="H116" s="3091"/>
      <c r="I116" s="3091"/>
      <c r="J116" s="3140"/>
      <c r="K116" s="3142"/>
      <c r="L116" s="3130"/>
      <c r="M116" s="3096"/>
      <c r="N116" s="2714"/>
      <c r="O116" s="2715"/>
      <c r="P116" s="3096"/>
      <c r="Q116" s="2302"/>
      <c r="R116" s="267" t="s">
        <v>471</v>
      </c>
      <c r="S116" s="443">
        <f>10000000+11280000</f>
        <v>21280000</v>
      </c>
      <c r="T116" s="3136"/>
      <c r="U116" s="3091"/>
      <c r="V116" s="2907"/>
      <c r="W116" s="2907"/>
      <c r="X116" s="2907"/>
      <c r="Y116" s="2907"/>
      <c r="Z116" s="2907"/>
      <c r="AA116" s="2907"/>
      <c r="AB116" s="3122"/>
      <c r="AC116" s="3122"/>
      <c r="AD116" s="3119"/>
      <c r="AE116" s="3119"/>
      <c r="AF116" s="3119"/>
      <c r="AG116" s="3119"/>
      <c r="AH116" s="3112"/>
      <c r="AI116" s="3112"/>
      <c r="AJ116" s="3115"/>
      <c r="AK116" s="2603"/>
      <c r="AL116" s="2603"/>
      <c r="AM116" s="2184"/>
    </row>
    <row r="117" spans="1:254" ht="34.5" customHeight="1" x14ac:dyDescent="0.2">
      <c r="A117" s="424"/>
      <c r="B117" s="425"/>
      <c r="C117" s="253"/>
      <c r="D117" s="450"/>
      <c r="E117" s="253"/>
      <c r="F117" s="450"/>
      <c r="G117" s="3128"/>
      <c r="H117" s="3091"/>
      <c r="I117" s="3091"/>
      <c r="J117" s="3140"/>
      <c r="K117" s="3143"/>
      <c r="L117" s="3130"/>
      <c r="M117" s="3096"/>
      <c r="N117" s="2714"/>
      <c r="O117" s="2715"/>
      <c r="P117" s="3096"/>
      <c r="Q117" s="2302"/>
      <c r="R117" s="267" t="s">
        <v>472</v>
      </c>
      <c r="S117" s="443">
        <f>1000000-1000000</f>
        <v>0</v>
      </c>
      <c r="T117" s="3136"/>
      <c r="U117" s="3106"/>
      <c r="V117" s="2908"/>
      <c r="W117" s="2908"/>
      <c r="X117" s="2908"/>
      <c r="Y117" s="2908"/>
      <c r="Z117" s="2908"/>
      <c r="AA117" s="2908"/>
      <c r="AB117" s="3123"/>
      <c r="AC117" s="3123"/>
      <c r="AD117" s="3120"/>
      <c r="AE117" s="3120"/>
      <c r="AF117" s="3120"/>
      <c r="AG117" s="3120"/>
      <c r="AH117" s="3113"/>
      <c r="AI117" s="3113"/>
      <c r="AJ117" s="3116"/>
      <c r="AK117" s="2604"/>
      <c r="AL117" s="2604"/>
      <c r="AM117" s="2184"/>
    </row>
    <row r="118" spans="1:254" ht="15.75" x14ac:dyDescent="0.2">
      <c r="A118" s="424"/>
      <c r="B118" s="425"/>
      <c r="C118" s="253"/>
      <c r="D118" s="450"/>
      <c r="E118" s="259">
        <v>66</v>
      </c>
      <c r="F118" s="500" t="s">
        <v>473</v>
      </c>
      <c r="G118" s="501"/>
      <c r="H118" s="502"/>
      <c r="I118" s="502"/>
      <c r="J118" s="501"/>
      <c r="K118" s="501"/>
      <c r="L118" s="501"/>
      <c r="M118" s="502"/>
      <c r="N118" s="501"/>
      <c r="O118" s="503"/>
      <c r="P118" s="502"/>
      <c r="Q118" s="502"/>
      <c r="R118" s="502"/>
      <c r="S118" s="504"/>
      <c r="T118" s="505"/>
      <c r="U118" s="502"/>
      <c r="V118" s="501"/>
      <c r="W118" s="501"/>
      <c r="X118" s="501"/>
      <c r="Y118" s="501"/>
      <c r="Z118" s="501"/>
      <c r="AA118" s="501"/>
      <c r="AB118" s="501"/>
      <c r="AC118" s="501"/>
      <c r="AD118" s="501"/>
      <c r="AE118" s="501"/>
      <c r="AF118" s="501"/>
      <c r="AG118" s="501"/>
      <c r="AH118" s="501"/>
      <c r="AI118" s="501"/>
      <c r="AJ118" s="501"/>
      <c r="AK118" s="501"/>
      <c r="AL118" s="501"/>
      <c r="AM118" s="506"/>
    </row>
    <row r="119" spans="1:254" ht="45" customHeight="1" x14ac:dyDescent="0.2">
      <c r="A119" s="424"/>
      <c r="B119" s="425"/>
      <c r="C119" s="253"/>
      <c r="D119" s="450"/>
      <c r="E119" s="462"/>
      <c r="F119" s="474"/>
      <c r="G119" s="3127">
        <v>197</v>
      </c>
      <c r="H119" s="2356" t="s">
        <v>474</v>
      </c>
      <c r="I119" s="2284" t="s">
        <v>475</v>
      </c>
      <c r="J119" s="2950">
        <v>1</v>
      </c>
      <c r="K119" s="465"/>
      <c r="L119" s="3130" t="s">
        <v>476</v>
      </c>
      <c r="M119" s="3095" t="s">
        <v>477</v>
      </c>
      <c r="N119" s="3076">
        <f>SUM(S119:S124)/O119</f>
        <v>1</v>
      </c>
      <c r="O119" s="2715">
        <f>SUM(S119:S124)</f>
        <v>69300000</v>
      </c>
      <c r="P119" s="3095" t="s">
        <v>478</v>
      </c>
      <c r="Q119" s="2277" t="s">
        <v>479</v>
      </c>
      <c r="R119" s="382" t="s">
        <v>480</v>
      </c>
      <c r="S119" s="497">
        <v>5000000</v>
      </c>
      <c r="T119" s="515"/>
      <c r="U119" s="3104" t="s">
        <v>470</v>
      </c>
      <c r="V119" s="3124">
        <v>142909</v>
      </c>
      <c r="W119" s="2954"/>
      <c r="X119" s="2954">
        <v>43252</v>
      </c>
      <c r="Y119" s="2954">
        <v>46770</v>
      </c>
      <c r="Z119" s="2954">
        <v>69532</v>
      </c>
      <c r="AA119" s="2954">
        <v>103</v>
      </c>
      <c r="AB119" s="2222">
        <v>215</v>
      </c>
      <c r="AC119" s="2954"/>
      <c r="AD119" s="2954">
        <v>12</v>
      </c>
      <c r="AE119" s="3006"/>
      <c r="AF119" s="2954"/>
      <c r="AG119" s="2954"/>
      <c r="AH119" s="2954"/>
      <c r="AI119" s="2954"/>
      <c r="AJ119" s="2954"/>
      <c r="AK119" s="3117">
        <v>43102</v>
      </c>
      <c r="AL119" s="3117">
        <v>43465</v>
      </c>
      <c r="AM119" s="2184" t="s">
        <v>273</v>
      </c>
    </row>
    <row r="120" spans="1:254" ht="51" customHeight="1" x14ac:dyDescent="0.2">
      <c r="A120" s="424"/>
      <c r="B120" s="425"/>
      <c r="C120" s="253"/>
      <c r="D120" s="450"/>
      <c r="E120" s="462"/>
      <c r="F120" s="474"/>
      <c r="G120" s="3128"/>
      <c r="H120" s="2357"/>
      <c r="I120" s="3091"/>
      <c r="J120" s="2950"/>
      <c r="K120" s="467"/>
      <c r="L120" s="3130"/>
      <c r="M120" s="3096"/>
      <c r="N120" s="2734"/>
      <c r="O120" s="2715"/>
      <c r="P120" s="3096"/>
      <c r="Q120" s="2277"/>
      <c r="R120" s="382" t="s">
        <v>481</v>
      </c>
      <c r="S120" s="497">
        <v>2000000</v>
      </c>
      <c r="T120" s="516"/>
      <c r="U120" s="3083"/>
      <c r="V120" s="3125"/>
      <c r="W120" s="2995"/>
      <c r="X120" s="2995"/>
      <c r="Y120" s="2995"/>
      <c r="Z120" s="2995"/>
      <c r="AA120" s="2995"/>
      <c r="AB120" s="2223"/>
      <c r="AC120" s="2995"/>
      <c r="AD120" s="2995"/>
      <c r="AE120" s="3040"/>
      <c r="AF120" s="2995"/>
      <c r="AG120" s="2995"/>
      <c r="AH120" s="2995"/>
      <c r="AI120" s="2995"/>
      <c r="AJ120" s="2995"/>
      <c r="AK120" s="3117"/>
      <c r="AL120" s="3117"/>
      <c r="AM120" s="2184"/>
    </row>
    <row r="121" spans="1:254" ht="75" customHeight="1" x14ac:dyDescent="0.2">
      <c r="A121" s="424"/>
      <c r="B121" s="425"/>
      <c r="C121" s="253"/>
      <c r="D121" s="450"/>
      <c r="E121" s="462"/>
      <c r="F121" s="474"/>
      <c r="G121" s="3128"/>
      <c r="H121" s="2357"/>
      <c r="I121" s="3091"/>
      <c r="J121" s="2950"/>
      <c r="K121" s="467"/>
      <c r="L121" s="3130"/>
      <c r="M121" s="3096"/>
      <c r="N121" s="2734"/>
      <c r="O121" s="2715"/>
      <c r="P121" s="3096"/>
      <c r="Q121" s="2302" t="s">
        <v>482</v>
      </c>
      <c r="R121" s="517" t="s">
        <v>483</v>
      </c>
      <c r="S121" s="443">
        <v>880000</v>
      </c>
      <c r="T121" s="518">
        <v>20</v>
      </c>
      <c r="U121" s="3083"/>
      <c r="V121" s="3125"/>
      <c r="W121" s="2995"/>
      <c r="X121" s="2995"/>
      <c r="Y121" s="2995"/>
      <c r="Z121" s="2995"/>
      <c r="AA121" s="2995"/>
      <c r="AB121" s="2223"/>
      <c r="AC121" s="2995"/>
      <c r="AD121" s="2995"/>
      <c r="AE121" s="3040"/>
      <c r="AF121" s="2995"/>
      <c r="AG121" s="2995"/>
      <c r="AH121" s="2995"/>
      <c r="AI121" s="2995"/>
      <c r="AJ121" s="2995"/>
      <c r="AK121" s="2229"/>
      <c r="AL121" s="2229"/>
      <c r="AM121" s="2184"/>
    </row>
    <row r="122" spans="1:254" ht="59.25" customHeight="1" x14ac:dyDescent="0.2">
      <c r="A122" s="424"/>
      <c r="B122" s="425"/>
      <c r="C122" s="253"/>
      <c r="D122" s="450"/>
      <c r="E122" s="462"/>
      <c r="F122" s="474"/>
      <c r="G122" s="3128"/>
      <c r="H122" s="2357"/>
      <c r="I122" s="3091"/>
      <c r="J122" s="2950"/>
      <c r="K122" s="467" t="s">
        <v>484</v>
      </c>
      <c r="L122" s="3130"/>
      <c r="M122" s="3096"/>
      <c r="N122" s="2734"/>
      <c r="O122" s="2715"/>
      <c r="P122" s="3096"/>
      <c r="Q122" s="2302"/>
      <c r="R122" s="381" t="s">
        <v>485</v>
      </c>
      <c r="S122" s="443">
        <v>32120000</v>
      </c>
      <c r="T122" s="518">
        <v>88</v>
      </c>
      <c r="U122" s="3083"/>
      <c r="V122" s="3125"/>
      <c r="W122" s="2995"/>
      <c r="X122" s="2995"/>
      <c r="Y122" s="2995"/>
      <c r="Z122" s="2995"/>
      <c r="AA122" s="2995"/>
      <c r="AB122" s="2223"/>
      <c r="AC122" s="2995"/>
      <c r="AD122" s="2995"/>
      <c r="AE122" s="3040"/>
      <c r="AF122" s="2995"/>
      <c r="AG122" s="2995"/>
      <c r="AH122" s="2995"/>
      <c r="AI122" s="2995"/>
      <c r="AJ122" s="2995"/>
      <c r="AK122" s="2229"/>
      <c r="AL122" s="2229"/>
      <c r="AM122" s="2184"/>
    </row>
    <row r="123" spans="1:254" ht="72" customHeight="1" x14ac:dyDescent="0.2">
      <c r="A123" s="424"/>
      <c r="B123" s="425"/>
      <c r="C123" s="253"/>
      <c r="D123" s="450"/>
      <c r="E123" s="462"/>
      <c r="F123" s="474"/>
      <c r="G123" s="3128"/>
      <c r="H123" s="2357"/>
      <c r="I123" s="3091"/>
      <c r="J123" s="2950"/>
      <c r="K123" s="467" t="s">
        <v>486</v>
      </c>
      <c r="L123" s="3130"/>
      <c r="M123" s="3096"/>
      <c r="N123" s="2734"/>
      <c r="O123" s="2715"/>
      <c r="P123" s="3096"/>
      <c r="Q123" s="2302"/>
      <c r="R123" s="519" t="s">
        <v>487</v>
      </c>
      <c r="S123" s="443">
        <f>2500000+12300000</f>
        <v>14800000</v>
      </c>
      <c r="T123" s="516"/>
      <c r="U123" s="3083"/>
      <c r="V123" s="3125"/>
      <c r="W123" s="2995"/>
      <c r="X123" s="2995"/>
      <c r="Y123" s="2995"/>
      <c r="Z123" s="2995"/>
      <c r="AA123" s="2995"/>
      <c r="AB123" s="2223"/>
      <c r="AC123" s="2995"/>
      <c r="AD123" s="2995"/>
      <c r="AE123" s="3040"/>
      <c r="AF123" s="2995"/>
      <c r="AG123" s="2995"/>
      <c r="AH123" s="2995"/>
      <c r="AI123" s="2995"/>
      <c r="AJ123" s="2995"/>
      <c r="AK123" s="2229"/>
      <c r="AL123" s="2229"/>
      <c r="AM123" s="2184"/>
    </row>
    <row r="124" spans="1:254" ht="72" customHeight="1" x14ac:dyDescent="0.2">
      <c r="A124" s="424"/>
      <c r="B124" s="425"/>
      <c r="C124" s="498"/>
      <c r="D124" s="520"/>
      <c r="E124" s="521"/>
      <c r="F124" s="522"/>
      <c r="G124" s="3129"/>
      <c r="H124" s="2393"/>
      <c r="I124" s="3106"/>
      <c r="J124" s="2950"/>
      <c r="K124" s="476"/>
      <c r="L124" s="3131"/>
      <c r="M124" s="3097"/>
      <c r="N124" s="3077"/>
      <c r="O124" s="2715"/>
      <c r="P124" s="3097"/>
      <c r="Q124" s="2297"/>
      <c r="R124" s="519" t="s">
        <v>488</v>
      </c>
      <c r="S124" s="443">
        <f>2500000+12000000</f>
        <v>14500000</v>
      </c>
      <c r="T124" s="523"/>
      <c r="U124" s="3105"/>
      <c r="V124" s="3126"/>
      <c r="W124" s="2955"/>
      <c r="X124" s="2955"/>
      <c r="Y124" s="2955"/>
      <c r="Z124" s="2955"/>
      <c r="AA124" s="2955"/>
      <c r="AB124" s="2224"/>
      <c r="AC124" s="2955"/>
      <c r="AD124" s="2955"/>
      <c r="AE124" s="3078"/>
      <c r="AF124" s="2955"/>
      <c r="AG124" s="2955"/>
      <c r="AH124" s="2955"/>
      <c r="AI124" s="2955"/>
      <c r="AJ124" s="2955"/>
      <c r="AK124" s="2229"/>
      <c r="AL124" s="2229"/>
      <c r="AM124" s="2184"/>
    </row>
    <row r="125" spans="1:254" ht="15.75" x14ac:dyDescent="0.2">
      <c r="A125" s="424"/>
      <c r="B125" s="425"/>
      <c r="C125" s="524">
        <v>19</v>
      </c>
      <c r="D125" s="427" t="s">
        <v>489</v>
      </c>
      <c r="E125" s="276"/>
      <c r="F125" s="276"/>
      <c r="G125" s="276"/>
      <c r="H125" s="445"/>
      <c r="I125" s="445"/>
      <c r="J125" s="276"/>
      <c r="K125" s="276"/>
      <c r="L125" s="276"/>
      <c r="M125" s="445"/>
      <c r="N125" s="276"/>
      <c r="O125" s="488"/>
      <c r="P125" s="445"/>
      <c r="Q125" s="445"/>
      <c r="R125" s="445"/>
      <c r="S125" s="447"/>
      <c r="T125" s="448"/>
      <c r="U125" s="445"/>
      <c r="V125" s="276"/>
      <c r="W125" s="276"/>
      <c r="X125" s="276"/>
      <c r="Y125" s="276"/>
      <c r="Z125" s="276"/>
      <c r="AA125" s="276"/>
      <c r="AB125" s="276"/>
      <c r="AC125" s="276"/>
      <c r="AD125" s="276"/>
      <c r="AE125" s="276"/>
      <c r="AF125" s="276"/>
      <c r="AG125" s="276"/>
      <c r="AH125" s="276"/>
      <c r="AI125" s="276"/>
      <c r="AJ125" s="276"/>
      <c r="AK125" s="276"/>
      <c r="AL125" s="276"/>
      <c r="AM125" s="449"/>
    </row>
    <row r="126" spans="1:254" ht="15.75" x14ac:dyDescent="0.2">
      <c r="A126" s="424"/>
      <c r="B126" s="425"/>
      <c r="C126" s="3103"/>
      <c r="D126" s="3055"/>
      <c r="E126" s="151">
        <v>67</v>
      </c>
      <c r="F126" s="511" t="s">
        <v>490</v>
      </c>
      <c r="G126" s="512"/>
      <c r="H126" s="502"/>
      <c r="I126" s="502"/>
      <c r="J126" s="512"/>
      <c r="K126" s="525"/>
      <c r="L126" s="512"/>
      <c r="M126" s="502"/>
      <c r="N126" s="512"/>
      <c r="O126" s="513"/>
      <c r="P126" s="502"/>
      <c r="Q126" s="502"/>
      <c r="R126" s="502"/>
      <c r="S126" s="504"/>
      <c r="T126" s="526"/>
      <c r="U126" s="527"/>
      <c r="V126" s="512"/>
      <c r="W126" s="512"/>
      <c r="X126" s="512"/>
      <c r="Y126" s="512"/>
      <c r="Z126" s="512"/>
      <c r="AA126" s="512"/>
      <c r="AB126" s="512"/>
      <c r="AC126" s="512"/>
      <c r="AD126" s="512"/>
      <c r="AE126" s="512"/>
      <c r="AF126" s="512"/>
      <c r="AG126" s="512"/>
      <c r="AH126" s="512"/>
      <c r="AI126" s="512"/>
      <c r="AJ126" s="512"/>
      <c r="AK126" s="512"/>
      <c r="AL126" s="512"/>
      <c r="AM126" s="506"/>
    </row>
    <row r="127" spans="1:254" ht="72.75" customHeight="1" x14ac:dyDescent="0.2">
      <c r="A127" s="424"/>
      <c r="B127" s="425"/>
      <c r="C127" s="3103"/>
      <c r="D127" s="3055"/>
      <c r="E127" s="239"/>
      <c r="F127" s="454"/>
      <c r="G127" s="3104">
        <v>198</v>
      </c>
      <c r="H127" s="2284" t="s">
        <v>491</v>
      </c>
      <c r="I127" s="2296" t="s">
        <v>492</v>
      </c>
      <c r="J127" s="3107">
        <v>1</v>
      </c>
      <c r="K127" s="528"/>
      <c r="L127" s="3110" t="s">
        <v>493</v>
      </c>
      <c r="M127" s="3091" t="s">
        <v>494</v>
      </c>
      <c r="N127" s="3092">
        <f>SUM(S127:S134)/O127</f>
        <v>1.1025549842930292E-2</v>
      </c>
      <c r="O127" s="2682">
        <f>SUM(S127:S137)</f>
        <v>3990730678</v>
      </c>
      <c r="P127" s="3091" t="s">
        <v>495</v>
      </c>
      <c r="Q127" s="2302" t="s">
        <v>496</v>
      </c>
      <c r="R127" s="381" t="s">
        <v>497</v>
      </c>
      <c r="S127" s="529">
        <v>2400000</v>
      </c>
      <c r="T127" s="515"/>
      <c r="U127" s="515"/>
      <c r="V127" s="2222">
        <v>43498</v>
      </c>
      <c r="W127" s="2222">
        <f>38184+200</f>
        <v>38384</v>
      </c>
      <c r="X127" s="530"/>
      <c r="Y127" s="3084"/>
      <c r="Z127" s="3084"/>
      <c r="AA127" s="2222">
        <v>81882</v>
      </c>
      <c r="AB127" s="3089"/>
      <c r="AC127" s="3084"/>
      <c r="AD127" s="3084"/>
      <c r="AE127" s="3086"/>
      <c r="AF127" s="3086"/>
      <c r="AG127" s="3086"/>
      <c r="AH127" s="3086"/>
      <c r="AI127" s="3086"/>
      <c r="AJ127" s="3086"/>
      <c r="AK127" s="3081">
        <v>43102</v>
      </c>
      <c r="AL127" s="3081">
        <v>43465</v>
      </c>
      <c r="AM127" s="2275" t="s">
        <v>273</v>
      </c>
      <c r="AN127" s="423"/>
      <c r="AO127" s="423"/>
      <c r="AP127" s="423"/>
      <c r="AQ127" s="423"/>
      <c r="AR127" s="170"/>
      <c r="AS127" s="170"/>
      <c r="AT127" s="170"/>
      <c r="AU127" s="170"/>
      <c r="AV127" s="170"/>
      <c r="AW127" s="170"/>
      <c r="AX127" s="170"/>
      <c r="AY127" s="170"/>
      <c r="AZ127" s="170"/>
      <c r="BA127" s="170"/>
      <c r="BB127" s="170"/>
      <c r="BC127" s="170"/>
      <c r="BD127" s="170"/>
      <c r="BE127" s="170"/>
      <c r="BF127" s="170"/>
      <c r="BG127" s="170"/>
      <c r="BH127" s="170"/>
      <c r="BI127" s="170"/>
      <c r="BJ127" s="170"/>
      <c r="BK127" s="170"/>
      <c r="BL127" s="170"/>
      <c r="BM127" s="170"/>
      <c r="BN127" s="170"/>
      <c r="BO127" s="170"/>
      <c r="BP127" s="170"/>
      <c r="BQ127" s="170"/>
      <c r="BR127" s="170"/>
      <c r="BS127" s="170"/>
      <c r="BT127" s="170"/>
      <c r="BU127" s="170"/>
      <c r="BV127" s="170"/>
      <c r="BW127" s="170"/>
      <c r="BX127" s="170"/>
      <c r="BY127" s="170"/>
      <c r="BZ127" s="170"/>
      <c r="CA127" s="170"/>
      <c r="CB127" s="170"/>
      <c r="CC127" s="170"/>
      <c r="CD127" s="170"/>
      <c r="CE127" s="170"/>
      <c r="CF127" s="170"/>
      <c r="CG127" s="170"/>
      <c r="CH127" s="170"/>
      <c r="CI127" s="170"/>
      <c r="CJ127" s="170"/>
      <c r="CK127" s="170"/>
      <c r="CL127" s="170"/>
      <c r="CM127" s="170"/>
      <c r="CN127" s="170"/>
      <c r="CO127" s="170"/>
      <c r="CP127" s="170"/>
      <c r="CQ127" s="170"/>
      <c r="CR127" s="170"/>
      <c r="CS127" s="170"/>
      <c r="CT127" s="170"/>
      <c r="CU127" s="170"/>
      <c r="CV127" s="170"/>
      <c r="CW127" s="170"/>
      <c r="CX127" s="170"/>
      <c r="CY127" s="170"/>
      <c r="CZ127" s="170"/>
      <c r="DA127" s="170"/>
      <c r="DB127" s="170"/>
      <c r="DC127" s="170"/>
      <c r="DD127" s="170"/>
      <c r="DE127" s="170"/>
      <c r="DF127" s="170"/>
      <c r="DG127" s="170"/>
      <c r="DH127" s="170"/>
      <c r="DI127" s="170"/>
      <c r="DJ127" s="170"/>
      <c r="DK127" s="170"/>
      <c r="DL127" s="170"/>
      <c r="DM127" s="170"/>
      <c r="DN127" s="170"/>
      <c r="DO127" s="170"/>
      <c r="DP127" s="170"/>
      <c r="DQ127" s="170"/>
      <c r="DR127" s="170"/>
      <c r="DS127" s="170"/>
      <c r="DT127" s="170"/>
      <c r="DU127" s="170"/>
      <c r="DV127" s="170"/>
      <c r="DW127" s="170"/>
      <c r="DX127" s="170"/>
      <c r="DY127" s="170"/>
      <c r="DZ127" s="170"/>
      <c r="EA127" s="170"/>
      <c r="EB127" s="170"/>
      <c r="EC127" s="170"/>
      <c r="ED127" s="170"/>
      <c r="EE127" s="170"/>
      <c r="EF127" s="170"/>
      <c r="EG127" s="170"/>
      <c r="EH127" s="170"/>
      <c r="EI127" s="170"/>
      <c r="EJ127" s="170"/>
      <c r="EK127" s="170"/>
      <c r="EL127" s="170"/>
      <c r="EM127" s="170"/>
      <c r="EN127" s="170"/>
      <c r="EO127" s="170"/>
      <c r="EP127" s="170"/>
      <c r="EQ127" s="170"/>
      <c r="ER127" s="170"/>
      <c r="ES127" s="170"/>
      <c r="ET127" s="170"/>
      <c r="EU127" s="170"/>
      <c r="EV127" s="170"/>
      <c r="EW127" s="170"/>
      <c r="EX127" s="170"/>
      <c r="EY127" s="170"/>
      <c r="EZ127" s="170"/>
      <c r="FA127" s="170"/>
      <c r="FB127" s="170"/>
      <c r="FC127" s="170"/>
      <c r="FD127" s="170"/>
      <c r="FE127" s="170"/>
      <c r="FF127" s="170"/>
      <c r="FG127" s="170"/>
      <c r="FH127" s="170"/>
      <c r="FI127" s="170"/>
      <c r="FJ127" s="170"/>
      <c r="FK127" s="170"/>
      <c r="FL127" s="170"/>
      <c r="FM127" s="170"/>
      <c r="FN127" s="170"/>
      <c r="FO127" s="170"/>
      <c r="FP127" s="170"/>
      <c r="FQ127" s="170"/>
      <c r="FR127" s="170"/>
      <c r="FS127" s="170"/>
      <c r="FT127" s="170"/>
      <c r="FU127" s="170"/>
      <c r="FV127" s="170"/>
      <c r="FW127" s="170"/>
      <c r="FX127" s="170"/>
      <c r="FY127" s="170"/>
      <c r="FZ127" s="170"/>
      <c r="GA127" s="170"/>
      <c r="GB127" s="170"/>
      <c r="GC127" s="170"/>
      <c r="GD127" s="170"/>
      <c r="GE127" s="170"/>
      <c r="GF127" s="170"/>
      <c r="GG127" s="170"/>
      <c r="GH127" s="170"/>
      <c r="GI127" s="170"/>
      <c r="GJ127" s="170"/>
      <c r="GK127" s="170"/>
      <c r="GL127" s="170"/>
      <c r="GM127" s="170"/>
      <c r="GN127" s="170"/>
      <c r="GO127" s="170"/>
      <c r="GP127" s="170"/>
      <c r="GQ127" s="170"/>
      <c r="GR127" s="170"/>
      <c r="GS127" s="170"/>
      <c r="GT127" s="170"/>
      <c r="GU127" s="170"/>
      <c r="GV127" s="170"/>
      <c r="GW127" s="170"/>
      <c r="GX127" s="170"/>
      <c r="GY127" s="170"/>
      <c r="GZ127" s="170"/>
      <c r="HA127" s="170"/>
      <c r="HB127" s="170"/>
      <c r="HC127" s="170"/>
      <c r="HD127" s="170"/>
      <c r="HE127" s="170"/>
      <c r="HF127" s="170"/>
      <c r="HG127" s="170"/>
      <c r="HH127" s="170"/>
      <c r="HI127" s="170"/>
      <c r="HJ127" s="170"/>
      <c r="HK127" s="170"/>
      <c r="HL127" s="170"/>
      <c r="HM127" s="170"/>
      <c r="HN127" s="170"/>
      <c r="HO127" s="170"/>
      <c r="HP127" s="170"/>
      <c r="HQ127" s="170"/>
      <c r="HR127" s="170"/>
      <c r="HS127" s="170"/>
      <c r="HT127" s="170"/>
      <c r="HU127" s="170"/>
      <c r="HV127" s="170"/>
      <c r="HW127" s="170"/>
      <c r="HX127" s="170"/>
      <c r="HY127" s="170"/>
      <c r="HZ127" s="170"/>
      <c r="IA127" s="170"/>
      <c r="IB127" s="170"/>
      <c r="IC127" s="170"/>
      <c r="ID127" s="170"/>
      <c r="IE127" s="170"/>
      <c r="IF127" s="170"/>
      <c r="IG127" s="170"/>
      <c r="IH127" s="170"/>
      <c r="II127" s="170"/>
      <c r="IJ127" s="170"/>
      <c r="IK127" s="170"/>
      <c r="IL127" s="170"/>
      <c r="IM127" s="170"/>
      <c r="IN127" s="170"/>
      <c r="IO127" s="170"/>
      <c r="IP127" s="170"/>
      <c r="IQ127" s="170"/>
      <c r="IR127" s="170"/>
      <c r="IS127" s="170"/>
      <c r="IT127" s="170"/>
    </row>
    <row r="128" spans="1:254" ht="66.75" customHeight="1" x14ac:dyDescent="0.2">
      <c r="A128" s="424"/>
      <c r="B128" s="425"/>
      <c r="C128" s="3103"/>
      <c r="D128" s="3055"/>
      <c r="E128" s="253"/>
      <c r="F128" s="450"/>
      <c r="G128" s="3083"/>
      <c r="H128" s="3091"/>
      <c r="I128" s="2302"/>
      <c r="J128" s="3108"/>
      <c r="K128" s="531"/>
      <c r="L128" s="3110"/>
      <c r="M128" s="3091"/>
      <c r="N128" s="3093"/>
      <c r="O128" s="2683"/>
      <c r="P128" s="3091"/>
      <c r="Q128" s="2302"/>
      <c r="R128" s="381" t="s">
        <v>498</v>
      </c>
      <c r="S128" s="529">
        <v>7920000</v>
      </c>
      <c r="T128" s="516"/>
      <c r="U128" s="516"/>
      <c r="V128" s="2223"/>
      <c r="W128" s="2223"/>
      <c r="X128" s="532"/>
      <c r="Y128" s="3085"/>
      <c r="Z128" s="3085"/>
      <c r="AA128" s="2223"/>
      <c r="AB128" s="3090"/>
      <c r="AC128" s="3085"/>
      <c r="AD128" s="3085"/>
      <c r="AE128" s="3087"/>
      <c r="AF128" s="3087"/>
      <c r="AG128" s="3087"/>
      <c r="AH128" s="3087"/>
      <c r="AI128" s="3087"/>
      <c r="AJ128" s="3087"/>
      <c r="AK128" s="3082"/>
      <c r="AL128" s="3082"/>
      <c r="AM128" s="2275"/>
      <c r="AN128" s="423"/>
      <c r="AO128" s="423"/>
      <c r="AP128" s="423"/>
      <c r="AQ128" s="423"/>
      <c r="AR128" s="170"/>
      <c r="AS128" s="170"/>
      <c r="AT128" s="170"/>
      <c r="AU128" s="170"/>
      <c r="AV128" s="170"/>
      <c r="AW128" s="170"/>
      <c r="AX128" s="170"/>
      <c r="AY128" s="170"/>
      <c r="AZ128" s="170"/>
      <c r="BA128" s="170"/>
      <c r="BB128" s="170"/>
      <c r="BC128" s="170"/>
      <c r="BD128" s="170"/>
      <c r="BE128" s="170"/>
      <c r="BF128" s="170"/>
      <c r="BG128" s="170"/>
      <c r="BH128" s="170"/>
      <c r="BI128" s="170"/>
      <c r="BJ128" s="170"/>
      <c r="BK128" s="170"/>
      <c r="BL128" s="170"/>
      <c r="BM128" s="170"/>
      <c r="BN128" s="170"/>
      <c r="BO128" s="170"/>
      <c r="BP128" s="170"/>
      <c r="BQ128" s="170"/>
      <c r="BR128" s="170"/>
      <c r="BS128" s="170"/>
      <c r="BT128" s="170"/>
      <c r="BU128" s="170"/>
      <c r="BV128" s="170"/>
      <c r="BW128" s="170"/>
      <c r="BX128" s="170"/>
      <c r="BY128" s="170"/>
      <c r="BZ128" s="170"/>
      <c r="CA128" s="170"/>
      <c r="CB128" s="170"/>
      <c r="CC128" s="170"/>
      <c r="CD128" s="170"/>
      <c r="CE128" s="170"/>
      <c r="CF128" s="170"/>
      <c r="CG128" s="170"/>
      <c r="CH128" s="170"/>
      <c r="CI128" s="170"/>
      <c r="CJ128" s="170"/>
      <c r="CK128" s="170"/>
      <c r="CL128" s="170"/>
      <c r="CM128" s="170"/>
      <c r="CN128" s="170"/>
      <c r="CO128" s="170"/>
      <c r="CP128" s="170"/>
      <c r="CQ128" s="170"/>
      <c r="CR128" s="170"/>
      <c r="CS128" s="170"/>
      <c r="CT128" s="170"/>
      <c r="CU128" s="170"/>
      <c r="CV128" s="170"/>
      <c r="CW128" s="170"/>
      <c r="CX128" s="170"/>
      <c r="CY128" s="170"/>
      <c r="CZ128" s="170"/>
      <c r="DA128" s="170"/>
      <c r="DB128" s="170"/>
      <c r="DC128" s="170"/>
      <c r="DD128" s="170"/>
      <c r="DE128" s="170"/>
      <c r="DF128" s="170"/>
      <c r="DG128" s="170"/>
      <c r="DH128" s="170"/>
      <c r="DI128" s="170"/>
      <c r="DJ128" s="170"/>
      <c r="DK128" s="170"/>
      <c r="DL128" s="170"/>
      <c r="DM128" s="170"/>
      <c r="DN128" s="170"/>
      <c r="DO128" s="170"/>
      <c r="DP128" s="170"/>
      <c r="DQ128" s="170"/>
      <c r="DR128" s="170"/>
      <c r="DS128" s="170"/>
      <c r="DT128" s="170"/>
      <c r="DU128" s="170"/>
      <c r="DV128" s="170"/>
      <c r="DW128" s="170"/>
      <c r="DX128" s="170"/>
      <c r="DY128" s="170"/>
      <c r="DZ128" s="170"/>
      <c r="EA128" s="170"/>
      <c r="EB128" s="170"/>
      <c r="EC128" s="170"/>
      <c r="ED128" s="170"/>
      <c r="EE128" s="170"/>
      <c r="EF128" s="170"/>
      <c r="EG128" s="170"/>
      <c r="EH128" s="170"/>
      <c r="EI128" s="170"/>
      <c r="EJ128" s="170"/>
      <c r="EK128" s="170"/>
      <c r="EL128" s="170"/>
      <c r="EM128" s="170"/>
      <c r="EN128" s="170"/>
      <c r="EO128" s="170"/>
      <c r="EP128" s="170"/>
      <c r="EQ128" s="170"/>
      <c r="ER128" s="170"/>
      <c r="ES128" s="170"/>
      <c r="ET128" s="170"/>
      <c r="EU128" s="170"/>
      <c r="EV128" s="170"/>
      <c r="EW128" s="170"/>
      <c r="EX128" s="170"/>
      <c r="EY128" s="170"/>
      <c r="EZ128" s="170"/>
      <c r="FA128" s="170"/>
      <c r="FB128" s="170"/>
      <c r="FC128" s="170"/>
      <c r="FD128" s="170"/>
      <c r="FE128" s="170"/>
      <c r="FF128" s="170"/>
      <c r="FG128" s="170"/>
      <c r="FH128" s="170"/>
      <c r="FI128" s="170"/>
      <c r="FJ128" s="170"/>
      <c r="FK128" s="170"/>
      <c r="FL128" s="170"/>
      <c r="FM128" s="170"/>
      <c r="FN128" s="170"/>
      <c r="FO128" s="170"/>
      <c r="FP128" s="170"/>
      <c r="FQ128" s="170"/>
      <c r="FR128" s="170"/>
      <c r="FS128" s="170"/>
      <c r="FT128" s="170"/>
      <c r="FU128" s="170"/>
      <c r="FV128" s="170"/>
      <c r="FW128" s="170"/>
      <c r="FX128" s="170"/>
      <c r="FY128" s="170"/>
      <c r="FZ128" s="170"/>
      <c r="GA128" s="170"/>
      <c r="GB128" s="170"/>
      <c r="GC128" s="170"/>
      <c r="GD128" s="170"/>
      <c r="GE128" s="170"/>
      <c r="GF128" s="170"/>
      <c r="GG128" s="170"/>
      <c r="GH128" s="170"/>
      <c r="GI128" s="170"/>
      <c r="GJ128" s="170"/>
      <c r="GK128" s="170"/>
      <c r="GL128" s="170"/>
      <c r="GM128" s="170"/>
      <c r="GN128" s="170"/>
      <c r="GO128" s="170"/>
      <c r="GP128" s="170"/>
      <c r="GQ128" s="170"/>
      <c r="GR128" s="170"/>
      <c r="GS128" s="170"/>
      <c r="GT128" s="170"/>
      <c r="GU128" s="170"/>
      <c r="GV128" s="170"/>
      <c r="GW128" s="170"/>
      <c r="GX128" s="170"/>
      <c r="GY128" s="170"/>
      <c r="GZ128" s="170"/>
      <c r="HA128" s="170"/>
      <c r="HB128" s="170"/>
      <c r="HC128" s="170"/>
      <c r="HD128" s="170"/>
      <c r="HE128" s="170"/>
      <c r="HF128" s="170"/>
      <c r="HG128" s="170"/>
      <c r="HH128" s="170"/>
      <c r="HI128" s="170"/>
      <c r="HJ128" s="170"/>
      <c r="HK128" s="170"/>
      <c r="HL128" s="170"/>
      <c r="HM128" s="170"/>
      <c r="HN128" s="170"/>
      <c r="HO128" s="170"/>
      <c r="HP128" s="170"/>
      <c r="HQ128" s="170"/>
      <c r="HR128" s="170"/>
      <c r="HS128" s="170"/>
      <c r="HT128" s="170"/>
      <c r="HU128" s="170"/>
      <c r="HV128" s="170"/>
      <c r="HW128" s="170"/>
      <c r="HX128" s="170"/>
      <c r="HY128" s="170"/>
      <c r="HZ128" s="170"/>
      <c r="IA128" s="170"/>
      <c r="IB128" s="170"/>
      <c r="IC128" s="170"/>
      <c r="ID128" s="170"/>
      <c r="IE128" s="170"/>
      <c r="IF128" s="170"/>
      <c r="IG128" s="170"/>
      <c r="IH128" s="170"/>
      <c r="II128" s="170"/>
      <c r="IJ128" s="170"/>
      <c r="IK128" s="170"/>
      <c r="IL128" s="170"/>
      <c r="IM128" s="170"/>
      <c r="IN128" s="170"/>
      <c r="IO128" s="170"/>
      <c r="IP128" s="170"/>
      <c r="IQ128" s="170"/>
      <c r="IR128" s="170"/>
      <c r="IS128" s="170"/>
      <c r="IT128" s="170"/>
    </row>
    <row r="129" spans="1:496" ht="85.5" customHeight="1" x14ac:dyDescent="0.2">
      <c r="A129" s="424"/>
      <c r="B129" s="425"/>
      <c r="C129" s="3103"/>
      <c r="D129" s="3055"/>
      <c r="E129" s="253"/>
      <c r="F129" s="450"/>
      <c r="G129" s="3083"/>
      <c r="H129" s="3091"/>
      <c r="I129" s="2302"/>
      <c r="J129" s="3108"/>
      <c r="K129" s="531"/>
      <c r="L129" s="3110"/>
      <c r="M129" s="3091"/>
      <c r="N129" s="3093"/>
      <c r="O129" s="2683"/>
      <c r="P129" s="3091"/>
      <c r="Q129" s="2302"/>
      <c r="R129" s="381" t="s">
        <v>499</v>
      </c>
      <c r="S129" s="533">
        <v>4600000</v>
      </c>
      <c r="T129" s="516"/>
      <c r="U129" s="516"/>
      <c r="V129" s="2223"/>
      <c r="W129" s="2223"/>
      <c r="X129" s="532"/>
      <c r="Y129" s="3085"/>
      <c r="Z129" s="3085"/>
      <c r="AA129" s="2223"/>
      <c r="AB129" s="3090"/>
      <c r="AC129" s="3085"/>
      <c r="AD129" s="3085"/>
      <c r="AE129" s="3087"/>
      <c r="AF129" s="3087"/>
      <c r="AG129" s="3087"/>
      <c r="AH129" s="3087"/>
      <c r="AI129" s="3087"/>
      <c r="AJ129" s="3087"/>
      <c r="AK129" s="3082"/>
      <c r="AL129" s="3082"/>
      <c r="AM129" s="2275"/>
      <c r="AN129" s="423"/>
      <c r="AO129" s="423"/>
      <c r="AP129" s="423"/>
      <c r="AQ129" s="423"/>
      <c r="AR129" s="170"/>
      <c r="AS129" s="170"/>
      <c r="AT129" s="170"/>
      <c r="AU129" s="170"/>
      <c r="AV129" s="170"/>
      <c r="AW129" s="170"/>
      <c r="AX129" s="170"/>
      <c r="AY129" s="170"/>
      <c r="AZ129" s="170"/>
      <c r="BA129" s="170"/>
      <c r="BB129" s="170"/>
      <c r="BC129" s="170"/>
      <c r="BD129" s="170"/>
      <c r="BE129" s="170"/>
      <c r="BF129" s="170"/>
      <c r="BG129" s="170"/>
      <c r="BH129" s="170"/>
      <c r="BI129" s="170"/>
      <c r="BJ129" s="170"/>
      <c r="BK129" s="170"/>
      <c r="BL129" s="170"/>
      <c r="BM129" s="170"/>
      <c r="BN129" s="170"/>
      <c r="BO129" s="170"/>
      <c r="BP129" s="170"/>
      <c r="BQ129" s="170"/>
      <c r="BR129" s="170"/>
      <c r="BS129" s="170"/>
      <c r="BT129" s="170"/>
      <c r="BU129" s="170"/>
      <c r="BV129" s="170"/>
      <c r="BW129" s="170"/>
      <c r="BX129" s="170"/>
      <c r="BY129" s="170"/>
      <c r="BZ129" s="170"/>
      <c r="CA129" s="170"/>
      <c r="CB129" s="170"/>
      <c r="CC129" s="170"/>
      <c r="CD129" s="170"/>
      <c r="CE129" s="170"/>
      <c r="CF129" s="170"/>
      <c r="CG129" s="170"/>
      <c r="CH129" s="170"/>
      <c r="CI129" s="170"/>
      <c r="CJ129" s="170"/>
      <c r="CK129" s="170"/>
      <c r="CL129" s="170"/>
      <c r="CM129" s="170"/>
      <c r="CN129" s="170"/>
      <c r="CO129" s="170"/>
      <c r="CP129" s="170"/>
      <c r="CQ129" s="170"/>
      <c r="CR129" s="170"/>
      <c r="CS129" s="170"/>
      <c r="CT129" s="170"/>
      <c r="CU129" s="170"/>
      <c r="CV129" s="170"/>
      <c r="CW129" s="170"/>
      <c r="CX129" s="170"/>
      <c r="CY129" s="170"/>
      <c r="CZ129" s="170"/>
      <c r="DA129" s="170"/>
      <c r="DB129" s="170"/>
      <c r="DC129" s="170"/>
      <c r="DD129" s="170"/>
      <c r="DE129" s="170"/>
      <c r="DF129" s="170"/>
      <c r="DG129" s="170"/>
      <c r="DH129" s="170"/>
      <c r="DI129" s="170"/>
      <c r="DJ129" s="170"/>
      <c r="DK129" s="170"/>
      <c r="DL129" s="170"/>
      <c r="DM129" s="170"/>
      <c r="DN129" s="170"/>
      <c r="DO129" s="170"/>
      <c r="DP129" s="170"/>
      <c r="DQ129" s="170"/>
      <c r="DR129" s="170"/>
      <c r="DS129" s="170"/>
      <c r="DT129" s="170"/>
      <c r="DU129" s="170"/>
      <c r="DV129" s="170"/>
      <c r="DW129" s="170"/>
      <c r="DX129" s="170"/>
      <c r="DY129" s="170"/>
      <c r="DZ129" s="170"/>
      <c r="EA129" s="170"/>
      <c r="EB129" s="170"/>
      <c r="EC129" s="170"/>
      <c r="ED129" s="170"/>
      <c r="EE129" s="170"/>
      <c r="EF129" s="170"/>
      <c r="EG129" s="170"/>
      <c r="EH129" s="170"/>
      <c r="EI129" s="170"/>
      <c r="EJ129" s="170"/>
      <c r="EK129" s="170"/>
      <c r="EL129" s="170"/>
      <c r="EM129" s="170"/>
      <c r="EN129" s="170"/>
      <c r="EO129" s="170"/>
      <c r="EP129" s="170"/>
      <c r="EQ129" s="170"/>
      <c r="ER129" s="170"/>
      <c r="ES129" s="170"/>
      <c r="ET129" s="170"/>
      <c r="EU129" s="170"/>
      <c r="EV129" s="170"/>
      <c r="EW129" s="170"/>
      <c r="EX129" s="170"/>
      <c r="EY129" s="170"/>
      <c r="EZ129" s="170"/>
      <c r="FA129" s="170"/>
      <c r="FB129" s="170"/>
      <c r="FC129" s="170"/>
      <c r="FD129" s="170"/>
      <c r="FE129" s="170"/>
      <c r="FF129" s="170"/>
      <c r="FG129" s="170"/>
      <c r="FH129" s="170"/>
      <c r="FI129" s="170"/>
      <c r="FJ129" s="170"/>
      <c r="FK129" s="170"/>
      <c r="FL129" s="170"/>
      <c r="FM129" s="170"/>
      <c r="FN129" s="170"/>
      <c r="FO129" s="170"/>
      <c r="FP129" s="170"/>
      <c r="FQ129" s="170"/>
      <c r="FR129" s="170"/>
      <c r="FS129" s="170"/>
      <c r="FT129" s="170"/>
      <c r="FU129" s="170"/>
      <c r="FV129" s="170"/>
      <c r="FW129" s="170"/>
      <c r="FX129" s="170"/>
      <c r="FY129" s="170"/>
      <c r="FZ129" s="170"/>
      <c r="GA129" s="170"/>
      <c r="GB129" s="170"/>
      <c r="GC129" s="170"/>
      <c r="GD129" s="170"/>
      <c r="GE129" s="170"/>
      <c r="GF129" s="170"/>
      <c r="GG129" s="170"/>
      <c r="GH129" s="170"/>
      <c r="GI129" s="170"/>
      <c r="GJ129" s="170"/>
      <c r="GK129" s="170"/>
      <c r="GL129" s="170"/>
      <c r="GM129" s="170"/>
      <c r="GN129" s="170"/>
      <c r="GO129" s="170"/>
      <c r="GP129" s="170"/>
      <c r="GQ129" s="170"/>
      <c r="GR129" s="170"/>
      <c r="GS129" s="170"/>
      <c r="GT129" s="170"/>
      <c r="GU129" s="170"/>
      <c r="GV129" s="170"/>
      <c r="GW129" s="170"/>
      <c r="GX129" s="170"/>
      <c r="GY129" s="170"/>
      <c r="GZ129" s="170"/>
      <c r="HA129" s="170"/>
      <c r="HB129" s="170"/>
      <c r="HC129" s="170"/>
      <c r="HD129" s="170"/>
      <c r="HE129" s="170"/>
      <c r="HF129" s="170"/>
      <c r="HG129" s="170"/>
      <c r="HH129" s="170"/>
      <c r="HI129" s="170"/>
      <c r="HJ129" s="170"/>
      <c r="HK129" s="170"/>
      <c r="HL129" s="170"/>
      <c r="HM129" s="170"/>
      <c r="HN129" s="170"/>
      <c r="HO129" s="170"/>
      <c r="HP129" s="170"/>
      <c r="HQ129" s="170"/>
      <c r="HR129" s="170"/>
      <c r="HS129" s="170"/>
      <c r="HT129" s="170"/>
      <c r="HU129" s="170"/>
      <c r="HV129" s="170"/>
      <c r="HW129" s="170"/>
      <c r="HX129" s="170"/>
      <c r="HY129" s="170"/>
      <c r="HZ129" s="170"/>
      <c r="IA129" s="170"/>
      <c r="IB129" s="170"/>
      <c r="IC129" s="170"/>
      <c r="ID129" s="170"/>
      <c r="IE129" s="170"/>
      <c r="IF129" s="170"/>
      <c r="IG129" s="170"/>
      <c r="IH129" s="170"/>
      <c r="II129" s="170"/>
      <c r="IJ129" s="170"/>
      <c r="IK129" s="170"/>
      <c r="IL129" s="170"/>
      <c r="IM129" s="170"/>
      <c r="IN129" s="170"/>
      <c r="IO129" s="170"/>
      <c r="IP129" s="170"/>
      <c r="IQ129" s="170"/>
      <c r="IR129" s="170"/>
      <c r="IS129" s="170"/>
      <c r="IT129" s="170"/>
    </row>
    <row r="130" spans="1:496" ht="75" customHeight="1" x14ac:dyDescent="0.2">
      <c r="A130" s="424"/>
      <c r="B130" s="425"/>
      <c r="C130" s="3103"/>
      <c r="D130" s="3055"/>
      <c r="E130" s="253"/>
      <c r="F130" s="450"/>
      <c r="G130" s="3083"/>
      <c r="H130" s="3091"/>
      <c r="I130" s="2302"/>
      <c r="J130" s="3108"/>
      <c r="K130" s="534" t="s">
        <v>500</v>
      </c>
      <c r="L130" s="3110"/>
      <c r="M130" s="3091"/>
      <c r="N130" s="3093"/>
      <c r="O130" s="2683"/>
      <c r="P130" s="3091"/>
      <c r="Q130" s="2302"/>
      <c r="R130" s="381" t="s">
        <v>501</v>
      </c>
      <c r="S130" s="533">
        <v>6000000</v>
      </c>
      <c r="T130" s="518">
        <v>20</v>
      </c>
      <c r="U130" s="518" t="s">
        <v>72</v>
      </c>
      <c r="V130" s="2223"/>
      <c r="W130" s="2223"/>
      <c r="X130" s="532"/>
      <c r="Y130" s="3085"/>
      <c r="Z130" s="3085"/>
      <c r="AA130" s="2223"/>
      <c r="AB130" s="3090"/>
      <c r="AC130" s="3085"/>
      <c r="AD130" s="3085"/>
      <c r="AE130" s="3087"/>
      <c r="AF130" s="3087"/>
      <c r="AG130" s="3087"/>
      <c r="AH130" s="3087"/>
      <c r="AI130" s="3087"/>
      <c r="AJ130" s="3087"/>
      <c r="AK130" s="3082"/>
      <c r="AL130" s="3082"/>
      <c r="AM130" s="2275"/>
      <c r="AN130" s="423"/>
      <c r="AO130" s="423"/>
      <c r="AP130" s="423"/>
      <c r="AQ130" s="423"/>
      <c r="AR130" s="170"/>
      <c r="AS130" s="170"/>
      <c r="AT130" s="170"/>
      <c r="AU130" s="170"/>
      <c r="AV130" s="170"/>
      <c r="AW130" s="170"/>
      <c r="AX130" s="170"/>
      <c r="AY130" s="170"/>
      <c r="AZ130" s="170"/>
      <c r="BA130" s="170"/>
      <c r="BB130" s="170"/>
      <c r="BC130" s="170"/>
      <c r="BD130" s="170"/>
      <c r="BE130" s="170"/>
      <c r="BF130" s="170"/>
      <c r="BG130" s="170"/>
      <c r="BH130" s="170"/>
      <c r="BI130" s="170"/>
      <c r="BJ130" s="170"/>
      <c r="BK130" s="170"/>
      <c r="BL130" s="170"/>
      <c r="BM130" s="170"/>
      <c r="BN130" s="170"/>
      <c r="BO130" s="170"/>
      <c r="BP130" s="170"/>
      <c r="BQ130" s="170"/>
      <c r="BR130" s="170"/>
      <c r="BS130" s="170"/>
      <c r="BT130" s="170"/>
      <c r="BU130" s="170"/>
      <c r="BV130" s="170"/>
      <c r="BW130" s="170"/>
      <c r="BX130" s="170"/>
      <c r="BY130" s="170"/>
      <c r="BZ130" s="170"/>
      <c r="CA130" s="170"/>
      <c r="CB130" s="170"/>
      <c r="CC130" s="170"/>
      <c r="CD130" s="170"/>
      <c r="CE130" s="170"/>
      <c r="CF130" s="170"/>
      <c r="CG130" s="170"/>
      <c r="CH130" s="170"/>
      <c r="CI130" s="170"/>
      <c r="CJ130" s="170"/>
      <c r="CK130" s="170"/>
      <c r="CL130" s="170"/>
      <c r="CM130" s="170"/>
      <c r="CN130" s="170"/>
      <c r="CO130" s="170"/>
      <c r="CP130" s="170"/>
      <c r="CQ130" s="170"/>
      <c r="CR130" s="170"/>
      <c r="CS130" s="170"/>
      <c r="CT130" s="170"/>
      <c r="CU130" s="170"/>
      <c r="CV130" s="170"/>
      <c r="CW130" s="170"/>
      <c r="CX130" s="170"/>
      <c r="CY130" s="170"/>
      <c r="CZ130" s="170"/>
      <c r="DA130" s="170"/>
      <c r="DB130" s="170"/>
      <c r="DC130" s="170"/>
      <c r="DD130" s="170"/>
      <c r="DE130" s="170"/>
      <c r="DF130" s="170"/>
      <c r="DG130" s="170"/>
      <c r="DH130" s="170"/>
      <c r="DI130" s="170"/>
      <c r="DJ130" s="170"/>
      <c r="DK130" s="170"/>
      <c r="DL130" s="170"/>
      <c r="DM130" s="170"/>
      <c r="DN130" s="170"/>
      <c r="DO130" s="170"/>
      <c r="DP130" s="170"/>
      <c r="DQ130" s="170"/>
      <c r="DR130" s="170"/>
      <c r="DS130" s="170"/>
      <c r="DT130" s="170"/>
      <c r="DU130" s="170"/>
      <c r="DV130" s="170"/>
      <c r="DW130" s="170"/>
      <c r="DX130" s="170"/>
      <c r="DY130" s="170"/>
      <c r="DZ130" s="170"/>
      <c r="EA130" s="170"/>
      <c r="EB130" s="170"/>
      <c r="EC130" s="170"/>
      <c r="ED130" s="170"/>
      <c r="EE130" s="170"/>
      <c r="EF130" s="170"/>
      <c r="EG130" s="170"/>
      <c r="EH130" s="170"/>
      <c r="EI130" s="170"/>
      <c r="EJ130" s="170"/>
      <c r="EK130" s="170"/>
      <c r="EL130" s="170"/>
      <c r="EM130" s="170"/>
      <c r="EN130" s="170"/>
      <c r="EO130" s="170"/>
      <c r="EP130" s="170"/>
      <c r="EQ130" s="170"/>
      <c r="ER130" s="170"/>
      <c r="ES130" s="170"/>
      <c r="ET130" s="170"/>
      <c r="EU130" s="170"/>
      <c r="EV130" s="170"/>
      <c r="EW130" s="170"/>
      <c r="EX130" s="170"/>
      <c r="EY130" s="170"/>
      <c r="EZ130" s="170"/>
      <c r="FA130" s="170"/>
      <c r="FB130" s="170"/>
      <c r="FC130" s="170"/>
      <c r="FD130" s="170"/>
      <c r="FE130" s="170"/>
      <c r="FF130" s="170"/>
      <c r="FG130" s="170"/>
      <c r="FH130" s="170"/>
      <c r="FI130" s="170"/>
      <c r="FJ130" s="170"/>
      <c r="FK130" s="170"/>
      <c r="FL130" s="170"/>
      <c r="FM130" s="170"/>
      <c r="FN130" s="170"/>
      <c r="FO130" s="170"/>
      <c r="FP130" s="170"/>
      <c r="FQ130" s="170"/>
      <c r="FR130" s="170"/>
      <c r="FS130" s="170"/>
      <c r="FT130" s="170"/>
      <c r="FU130" s="170"/>
      <c r="FV130" s="170"/>
      <c r="FW130" s="170"/>
      <c r="FX130" s="170"/>
      <c r="FY130" s="170"/>
      <c r="FZ130" s="170"/>
      <c r="GA130" s="170"/>
      <c r="GB130" s="170"/>
      <c r="GC130" s="170"/>
      <c r="GD130" s="170"/>
      <c r="GE130" s="170"/>
      <c r="GF130" s="170"/>
      <c r="GG130" s="170"/>
      <c r="GH130" s="170"/>
      <c r="GI130" s="170"/>
      <c r="GJ130" s="170"/>
      <c r="GK130" s="170"/>
      <c r="GL130" s="170"/>
      <c r="GM130" s="170"/>
      <c r="GN130" s="170"/>
      <c r="GO130" s="170"/>
      <c r="GP130" s="170"/>
      <c r="GQ130" s="170"/>
      <c r="GR130" s="170"/>
      <c r="GS130" s="170"/>
      <c r="GT130" s="170"/>
      <c r="GU130" s="170"/>
      <c r="GV130" s="170"/>
      <c r="GW130" s="170"/>
      <c r="GX130" s="170"/>
      <c r="GY130" s="170"/>
      <c r="GZ130" s="170"/>
      <c r="HA130" s="170"/>
      <c r="HB130" s="170"/>
      <c r="HC130" s="170"/>
      <c r="HD130" s="170"/>
      <c r="HE130" s="170"/>
      <c r="HF130" s="170"/>
      <c r="HG130" s="170"/>
      <c r="HH130" s="170"/>
      <c r="HI130" s="170"/>
      <c r="HJ130" s="170"/>
      <c r="HK130" s="170"/>
      <c r="HL130" s="170"/>
      <c r="HM130" s="170"/>
      <c r="HN130" s="170"/>
      <c r="HO130" s="170"/>
      <c r="HP130" s="170"/>
      <c r="HQ130" s="170"/>
      <c r="HR130" s="170"/>
      <c r="HS130" s="170"/>
      <c r="HT130" s="170"/>
      <c r="HU130" s="170"/>
      <c r="HV130" s="170"/>
      <c r="HW130" s="170"/>
      <c r="HX130" s="170"/>
      <c r="HY130" s="170"/>
      <c r="HZ130" s="170"/>
      <c r="IA130" s="170"/>
      <c r="IB130" s="170"/>
      <c r="IC130" s="170"/>
      <c r="ID130" s="170"/>
      <c r="IE130" s="170"/>
      <c r="IF130" s="170"/>
      <c r="IG130" s="170"/>
      <c r="IH130" s="170"/>
      <c r="II130" s="170"/>
      <c r="IJ130" s="170"/>
      <c r="IK130" s="170"/>
      <c r="IL130" s="170"/>
      <c r="IM130" s="170"/>
      <c r="IN130" s="170"/>
      <c r="IO130" s="170"/>
      <c r="IP130" s="170"/>
      <c r="IQ130" s="170"/>
      <c r="IR130" s="170"/>
      <c r="IS130" s="170"/>
      <c r="IT130" s="170"/>
    </row>
    <row r="131" spans="1:496" ht="58.5" customHeight="1" x14ac:dyDescent="0.2">
      <c r="A131" s="424"/>
      <c r="B131" s="425"/>
      <c r="C131" s="3103"/>
      <c r="D131" s="3055"/>
      <c r="E131" s="253"/>
      <c r="F131" s="450"/>
      <c r="G131" s="3083"/>
      <c r="H131" s="3091"/>
      <c r="I131" s="2302"/>
      <c r="J131" s="3108"/>
      <c r="K131" s="534"/>
      <c r="L131" s="3110"/>
      <c r="M131" s="3091"/>
      <c r="N131" s="3093"/>
      <c r="O131" s="2683"/>
      <c r="P131" s="3091"/>
      <c r="Q131" s="2302"/>
      <c r="R131" s="381" t="s">
        <v>502</v>
      </c>
      <c r="S131" s="533">
        <v>7920000</v>
      </c>
      <c r="T131" s="518">
        <v>88</v>
      </c>
      <c r="U131" s="518" t="s">
        <v>503</v>
      </c>
      <c r="V131" s="2223"/>
      <c r="W131" s="2223"/>
      <c r="X131" s="532"/>
      <c r="Y131" s="3085"/>
      <c r="Z131" s="3085"/>
      <c r="AA131" s="2223"/>
      <c r="AB131" s="3090"/>
      <c r="AC131" s="3085"/>
      <c r="AD131" s="3085"/>
      <c r="AE131" s="3087"/>
      <c r="AF131" s="3087"/>
      <c r="AG131" s="3087"/>
      <c r="AH131" s="3087"/>
      <c r="AI131" s="3087"/>
      <c r="AJ131" s="3087"/>
      <c r="AK131" s="3082"/>
      <c r="AL131" s="3082"/>
      <c r="AM131" s="2275"/>
      <c r="AN131" s="423"/>
      <c r="AO131" s="423"/>
      <c r="AP131" s="423"/>
      <c r="AQ131" s="423"/>
      <c r="AR131" s="170"/>
      <c r="AS131" s="170"/>
      <c r="AT131" s="170"/>
      <c r="AU131" s="170"/>
      <c r="AV131" s="170"/>
      <c r="AW131" s="170"/>
      <c r="AX131" s="170"/>
      <c r="AY131" s="170"/>
      <c r="AZ131" s="170"/>
      <c r="BA131" s="170"/>
      <c r="BB131" s="170"/>
      <c r="BC131" s="170"/>
      <c r="BD131" s="170"/>
      <c r="BE131" s="170"/>
      <c r="BF131" s="170"/>
      <c r="BG131" s="170"/>
      <c r="BH131" s="170"/>
      <c r="BI131" s="170"/>
      <c r="BJ131" s="170"/>
      <c r="BK131" s="170"/>
      <c r="BL131" s="170"/>
      <c r="BM131" s="170"/>
      <c r="BN131" s="170"/>
      <c r="BO131" s="170"/>
      <c r="BP131" s="170"/>
      <c r="BQ131" s="170"/>
      <c r="BR131" s="170"/>
      <c r="BS131" s="170"/>
      <c r="BT131" s="170"/>
      <c r="BU131" s="170"/>
      <c r="BV131" s="170"/>
      <c r="BW131" s="170"/>
      <c r="BX131" s="170"/>
      <c r="BY131" s="170"/>
      <c r="BZ131" s="170"/>
      <c r="CA131" s="170"/>
      <c r="CB131" s="170"/>
      <c r="CC131" s="170"/>
      <c r="CD131" s="170"/>
      <c r="CE131" s="170"/>
      <c r="CF131" s="170"/>
      <c r="CG131" s="170"/>
      <c r="CH131" s="170"/>
      <c r="CI131" s="170"/>
      <c r="CJ131" s="170"/>
      <c r="CK131" s="170"/>
      <c r="CL131" s="170"/>
      <c r="CM131" s="170"/>
      <c r="CN131" s="170"/>
      <c r="CO131" s="170"/>
      <c r="CP131" s="170"/>
      <c r="CQ131" s="170"/>
      <c r="CR131" s="170"/>
      <c r="CS131" s="170"/>
      <c r="CT131" s="170"/>
      <c r="CU131" s="170"/>
      <c r="CV131" s="170"/>
      <c r="CW131" s="170"/>
      <c r="CX131" s="170"/>
      <c r="CY131" s="170"/>
      <c r="CZ131" s="170"/>
      <c r="DA131" s="170"/>
      <c r="DB131" s="170"/>
      <c r="DC131" s="170"/>
      <c r="DD131" s="170"/>
      <c r="DE131" s="170"/>
      <c r="DF131" s="170"/>
      <c r="DG131" s="170"/>
      <c r="DH131" s="170"/>
      <c r="DI131" s="170"/>
      <c r="DJ131" s="170"/>
      <c r="DK131" s="170"/>
      <c r="DL131" s="170"/>
      <c r="DM131" s="170"/>
      <c r="DN131" s="170"/>
      <c r="DO131" s="170"/>
      <c r="DP131" s="170"/>
      <c r="DQ131" s="170"/>
      <c r="DR131" s="170"/>
      <c r="DS131" s="170"/>
      <c r="DT131" s="170"/>
      <c r="DU131" s="170"/>
      <c r="DV131" s="170"/>
      <c r="DW131" s="170"/>
      <c r="DX131" s="170"/>
      <c r="DY131" s="170"/>
      <c r="DZ131" s="170"/>
      <c r="EA131" s="170"/>
      <c r="EB131" s="170"/>
      <c r="EC131" s="170"/>
      <c r="ED131" s="170"/>
      <c r="EE131" s="170"/>
      <c r="EF131" s="170"/>
      <c r="EG131" s="170"/>
      <c r="EH131" s="170"/>
      <c r="EI131" s="170"/>
      <c r="EJ131" s="170"/>
      <c r="EK131" s="170"/>
      <c r="EL131" s="170"/>
      <c r="EM131" s="170"/>
      <c r="EN131" s="170"/>
      <c r="EO131" s="170"/>
      <c r="EP131" s="170"/>
      <c r="EQ131" s="170"/>
      <c r="ER131" s="170"/>
      <c r="ES131" s="170"/>
      <c r="ET131" s="170"/>
      <c r="EU131" s="170"/>
      <c r="EV131" s="170"/>
      <c r="EW131" s="170"/>
      <c r="EX131" s="170"/>
      <c r="EY131" s="170"/>
      <c r="EZ131" s="170"/>
      <c r="FA131" s="170"/>
      <c r="FB131" s="170"/>
      <c r="FC131" s="170"/>
      <c r="FD131" s="170"/>
      <c r="FE131" s="170"/>
      <c r="FF131" s="170"/>
      <c r="FG131" s="170"/>
      <c r="FH131" s="170"/>
      <c r="FI131" s="170"/>
      <c r="FJ131" s="170"/>
      <c r="FK131" s="170"/>
      <c r="FL131" s="170"/>
      <c r="FM131" s="170"/>
      <c r="FN131" s="170"/>
      <c r="FO131" s="170"/>
      <c r="FP131" s="170"/>
      <c r="FQ131" s="170"/>
      <c r="FR131" s="170"/>
      <c r="FS131" s="170"/>
      <c r="FT131" s="170"/>
      <c r="FU131" s="170"/>
      <c r="FV131" s="170"/>
      <c r="FW131" s="170"/>
      <c r="FX131" s="170"/>
      <c r="FY131" s="170"/>
      <c r="FZ131" s="170"/>
      <c r="GA131" s="170"/>
      <c r="GB131" s="170"/>
      <c r="GC131" s="170"/>
      <c r="GD131" s="170"/>
      <c r="GE131" s="170"/>
      <c r="GF131" s="170"/>
      <c r="GG131" s="170"/>
      <c r="GH131" s="170"/>
      <c r="GI131" s="170"/>
      <c r="GJ131" s="170"/>
      <c r="GK131" s="170"/>
      <c r="GL131" s="170"/>
      <c r="GM131" s="170"/>
      <c r="GN131" s="170"/>
      <c r="GO131" s="170"/>
      <c r="GP131" s="170"/>
      <c r="GQ131" s="170"/>
      <c r="GR131" s="170"/>
      <c r="GS131" s="170"/>
      <c r="GT131" s="170"/>
      <c r="GU131" s="170"/>
      <c r="GV131" s="170"/>
      <c r="GW131" s="170"/>
      <c r="GX131" s="170"/>
      <c r="GY131" s="170"/>
      <c r="GZ131" s="170"/>
      <c r="HA131" s="170"/>
      <c r="HB131" s="170"/>
      <c r="HC131" s="170"/>
      <c r="HD131" s="170"/>
      <c r="HE131" s="170"/>
      <c r="HF131" s="170"/>
      <c r="HG131" s="170"/>
      <c r="HH131" s="170"/>
      <c r="HI131" s="170"/>
      <c r="HJ131" s="170"/>
      <c r="HK131" s="170"/>
      <c r="HL131" s="170"/>
      <c r="HM131" s="170"/>
      <c r="HN131" s="170"/>
      <c r="HO131" s="170"/>
      <c r="HP131" s="170"/>
      <c r="HQ131" s="170"/>
      <c r="HR131" s="170"/>
      <c r="HS131" s="170"/>
      <c r="HT131" s="170"/>
      <c r="HU131" s="170"/>
      <c r="HV131" s="170"/>
      <c r="HW131" s="170"/>
      <c r="HX131" s="170"/>
      <c r="HY131" s="170"/>
      <c r="HZ131" s="170"/>
      <c r="IA131" s="170"/>
      <c r="IB131" s="170"/>
      <c r="IC131" s="170"/>
      <c r="ID131" s="170"/>
      <c r="IE131" s="170"/>
      <c r="IF131" s="170"/>
      <c r="IG131" s="170"/>
      <c r="IH131" s="170"/>
      <c r="II131" s="170"/>
      <c r="IJ131" s="170"/>
      <c r="IK131" s="170"/>
      <c r="IL131" s="170"/>
      <c r="IM131" s="170"/>
      <c r="IN131" s="170"/>
      <c r="IO131" s="170"/>
      <c r="IP131" s="170"/>
      <c r="IQ131" s="170"/>
      <c r="IR131" s="170"/>
      <c r="IS131" s="170"/>
      <c r="IT131" s="170"/>
    </row>
    <row r="132" spans="1:496" ht="60" customHeight="1" x14ac:dyDescent="0.2">
      <c r="A132" s="424"/>
      <c r="B132" s="425"/>
      <c r="C132" s="3103"/>
      <c r="D132" s="3055"/>
      <c r="E132" s="253"/>
      <c r="F132" s="450"/>
      <c r="G132" s="3083"/>
      <c r="H132" s="3091"/>
      <c r="I132" s="2302"/>
      <c r="J132" s="3108"/>
      <c r="K132" s="534" t="s">
        <v>504</v>
      </c>
      <c r="L132" s="3110"/>
      <c r="M132" s="3091"/>
      <c r="N132" s="3093"/>
      <c r="O132" s="2683"/>
      <c r="P132" s="3091"/>
      <c r="Q132" s="2302"/>
      <c r="R132" s="519" t="s">
        <v>505</v>
      </c>
      <c r="S132" s="533">
        <v>7200000</v>
      </c>
      <c r="T132" s="518">
        <v>6</v>
      </c>
      <c r="U132" s="518" t="s">
        <v>506</v>
      </c>
      <c r="V132" s="2223"/>
      <c r="W132" s="2223"/>
      <c r="X132" s="532"/>
      <c r="Y132" s="3085"/>
      <c r="Z132" s="3085"/>
      <c r="AA132" s="2223"/>
      <c r="AB132" s="3090"/>
      <c r="AC132" s="3085"/>
      <c r="AD132" s="3085"/>
      <c r="AE132" s="3087"/>
      <c r="AF132" s="3087"/>
      <c r="AG132" s="3087"/>
      <c r="AH132" s="3087"/>
      <c r="AI132" s="3087"/>
      <c r="AJ132" s="3087"/>
      <c r="AK132" s="3082"/>
      <c r="AL132" s="3082"/>
      <c r="AM132" s="2275"/>
      <c r="AN132" s="423"/>
      <c r="AO132" s="423"/>
      <c r="AP132" s="423"/>
      <c r="AQ132" s="423"/>
      <c r="AR132" s="170"/>
      <c r="AS132" s="170"/>
      <c r="AT132" s="170"/>
      <c r="AU132" s="170"/>
      <c r="AV132" s="170"/>
      <c r="AW132" s="170"/>
      <c r="AX132" s="170"/>
      <c r="AY132" s="170"/>
      <c r="AZ132" s="170"/>
      <c r="BA132" s="170"/>
      <c r="BB132" s="170"/>
      <c r="BC132" s="170"/>
      <c r="BD132" s="170"/>
      <c r="BE132" s="170"/>
      <c r="BF132" s="170"/>
      <c r="BG132" s="170"/>
      <c r="BH132" s="170"/>
      <c r="BI132" s="170"/>
      <c r="BJ132" s="170"/>
      <c r="BK132" s="170"/>
      <c r="BL132" s="170"/>
      <c r="BM132" s="170"/>
      <c r="BN132" s="170"/>
      <c r="BO132" s="170"/>
      <c r="BP132" s="170"/>
      <c r="BQ132" s="170"/>
      <c r="BR132" s="170"/>
      <c r="BS132" s="170"/>
      <c r="BT132" s="170"/>
      <c r="BU132" s="170"/>
      <c r="BV132" s="170"/>
      <c r="BW132" s="170"/>
      <c r="BX132" s="170"/>
      <c r="BY132" s="170"/>
      <c r="BZ132" s="170"/>
      <c r="CA132" s="170"/>
      <c r="CB132" s="170"/>
      <c r="CC132" s="170"/>
      <c r="CD132" s="170"/>
      <c r="CE132" s="170"/>
      <c r="CF132" s="170"/>
      <c r="CG132" s="170"/>
      <c r="CH132" s="170"/>
      <c r="CI132" s="170"/>
      <c r="CJ132" s="170"/>
      <c r="CK132" s="170"/>
      <c r="CL132" s="170"/>
      <c r="CM132" s="170"/>
      <c r="CN132" s="170"/>
      <c r="CO132" s="170"/>
      <c r="CP132" s="170"/>
      <c r="CQ132" s="170"/>
      <c r="CR132" s="170"/>
      <c r="CS132" s="170"/>
      <c r="CT132" s="170"/>
      <c r="CU132" s="170"/>
      <c r="CV132" s="170"/>
      <c r="CW132" s="170"/>
      <c r="CX132" s="170"/>
      <c r="CY132" s="170"/>
      <c r="CZ132" s="170"/>
      <c r="DA132" s="170"/>
      <c r="DB132" s="170"/>
      <c r="DC132" s="170"/>
      <c r="DD132" s="170"/>
      <c r="DE132" s="170"/>
      <c r="DF132" s="170"/>
      <c r="DG132" s="170"/>
      <c r="DH132" s="170"/>
      <c r="DI132" s="170"/>
      <c r="DJ132" s="170"/>
      <c r="DK132" s="170"/>
      <c r="DL132" s="170"/>
      <c r="DM132" s="170"/>
      <c r="DN132" s="170"/>
      <c r="DO132" s="170"/>
      <c r="DP132" s="170"/>
      <c r="DQ132" s="170"/>
      <c r="DR132" s="170"/>
      <c r="DS132" s="170"/>
      <c r="DT132" s="170"/>
      <c r="DU132" s="170"/>
      <c r="DV132" s="170"/>
      <c r="DW132" s="170"/>
      <c r="DX132" s="170"/>
      <c r="DY132" s="170"/>
      <c r="DZ132" s="170"/>
      <c r="EA132" s="170"/>
      <c r="EB132" s="170"/>
      <c r="EC132" s="170"/>
      <c r="ED132" s="170"/>
      <c r="EE132" s="170"/>
      <c r="EF132" s="170"/>
      <c r="EG132" s="170"/>
      <c r="EH132" s="170"/>
      <c r="EI132" s="170"/>
      <c r="EJ132" s="170"/>
      <c r="EK132" s="170"/>
      <c r="EL132" s="170"/>
      <c r="EM132" s="170"/>
      <c r="EN132" s="170"/>
      <c r="EO132" s="170"/>
      <c r="EP132" s="170"/>
      <c r="EQ132" s="170"/>
      <c r="ER132" s="170"/>
      <c r="ES132" s="170"/>
      <c r="ET132" s="170"/>
      <c r="EU132" s="170"/>
      <c r="EV132" s="170"/>
      <c r="EW132" s="170"/>
      <c r="EX132" s="170"/>
      <c r="EY132" s="170"/>
      <c r="EZ132" s="170"/>
      <c r="FA132" s="170"/>
      <c r="FB132" s="170"/>
      <c r="FC132" s="170"/>
      <c r="FD132" s="170"/>
      <c r="FE132" s="170"/>
      <c r="FF132" s="170"/>
      <c r="FG132" s="170"/>
      <c r="FH132" s="170"/>
      <c r="FI132" s="170"/>
      <c r="FJ132" s="170"/>
      <c r="FK132" s="170"/>
      <c r="FL132" s="170"/>
      <c r="FM132" s="170"/>
      <c r="FN132" s="170"/>
      <c r="FO132" s="170"/>
      <c r="FP132" s="170"/>
      <c r="FQ132" s="170"/>
      <c r="FR132" s="170"/>
      <c r="FS132" s="170"/>
      <c r="FT132" s="170"/>
      <c r="FU132" s="170"/>
      <c r="FV132" s="170"/>
      <c r="FW132" s="170"/>
      <c r="FX132" s="170"/>
      <c r="FY132" s="170"/>
      <c r="FZ132" s="170"/>
      <c r="GA132" s="170"/>
      <c r="GB132" s="170"/>
      <c r="GC132" s="170"/>
      <c r="GD132" s="170"/>
      <c r="GE132" s="170"/>
      <c r="GF132" s="170"/>
      <c r="GG132" s="170"/>
      <c r="GH132" s="170"/>
      <c r="GI132" s="170"/>
      <c r="GJ132" s="170"/>
      <c r="GK132" s="170"/>
      <c r="GL132" s="170"/>
      <c r="GM132" s="170"/>
      <c r="GN132" s="170"/>
      <c r="GO132" s="170"/>
      <c r="GP132" s="170"/>
      <c r="GQ132" s="170"/>
      <c r="GR132" s="170"/>
      <c r="GS132" s="170"/>
      <c r="GT132" s="170"/>
      <c r="GU132" s="170"/>
      <c r="GV132" s="170"/>
      <c r="GW132" s="170"/>
      <c r="GX132" s="170"/>
      <c r="GY132" s="170"/>
      <c r="GZ132" s="170"/>
      <c r="HA132" s="170"/>
      <c r="HB132" s="170"/>
      <c r="HC132" s="170"/>
      <c r="HD132" s="170"/>
      <c r="HE132" s="170"/>
      <c r="HF132" s="170"/>
      <c r="HG132" s="170"/>
      <c r="HH132" s="170"/>
      <c r="HI132" s="170"/>
      <c r="HJ132" s="170"/>
      <c r="HK132" s="170"/>
      <c r="HL132" s="170"/>
      <c r="HM132" s="170"/>
      <c r="HN132" s="170"/>
      <c r="HO132" s="170"/>
      <c r="HP132" s="170"/>
      <c r="HQ132" s="170"/>
      <c r="HR132" s="170"/>
      <c r="HS132" s="170"/>
      <c r="HT132" s="170"/>
      <c r="HU132" s="170"/>
      <c r="HV132" s="170"/>
      <c r="HW132" s="170"/>
      <c r="HX132" s="170"/>
      <c r="HY132" s="170"/>
      <c r="HZ132" s="170"/>
      <c r="IA132" s="170"/>
      <c r="IB132" s="170"/>
      <c r="IC132" s="170"/>
      <c r="ID132" s="170"/>
      <c r="IE132" s="170"/>
      <c r="IF132" s="170"/>
      <c r="IG132" s="170"/>
      <c r="IH132" s="170"/>
      <c r="II132" s="170"/>
      <c r="IJ132" s="170"/>
      <c r="IK132" s="170"/>
      <c r="IL132" s="170"/>
      <c r="IM132" s="170"/>
      <c r="IN132" s="170"/>
      <c r="IO132" s="170"/>
      <c r="IP132" s="170"/>
      <c r="IQ132" s="170"/>
      <c r="IR132" s="170"/>
      <c r="IS132" s="170"/>
      <c r="IT132" s="170"/>
    </row>
    <row r="133" spans="1:496" ht="66.75" customHeight="1" x14ac:dyDescent="0.2">
      <c r="A133" s="424"/>
      <c r="B133" s="425"/>
      <c r="C133" s="3103"/>
      <c r="D133" s="3055"/>
      <c r="E133" s="253"/>
      <c r="F133" s="450"/>
      <c r="G133" s="3083"/>
      <c r="H133" s="3091"/>
      <c r="I133" s="2302"/>
      <c r="J133" s="3108"/>
      <c r="K133" s="534"/>
      <c r="L133" s="3110"/>
      <c r="M133" s="3091"/>
      <c r="N133" s="3093"/>
      <c r="O133" s="2683"/>
      <c r="P133" s="3091"/>
      <c r="Q133" s="2302"/>
      <c r="R133" s="485" t="s">
        <v>507</v>
      </c>
      <c r="S133" s="533">
        <v>2000000</v>
      </c>
      <c r="T133" s="518">
        <v>84</v>
      </c>
      <c r="U133" s="518" t="s">
        <v>508</v>
      </c>
      <c r="V133" s="2223"/>
      <c r="W133" s="2223"/>
      <c r="X133" s="532"/>
      <c r="Y133" s="3085"/>
      <c r="Z133" s="3085"/>
      <c r="AA133" s="2223"/>
      <c r="AB133" s="3090"/>
      <c r="AC133" s="3085"/>
      <c r="AD133" s="3085"/>
      <c r="AE133" s="3087"/>
      <c r="AF133" s="3087"/>
      <c r="AG133" s="3087"/>
      <c r="AH133" s="3087"/>
      <c r="AI133" s="3087"/>
      <c r="AJ133" s="3087"/>
      <c r="AK133" s="3082"/>
      <c r="AL133" s="3082"/>
      <c r="AM133" s="2275"/>
      <c r="AN133" s="423"/>
      <c r="AO133" s="423"/>
      <c r="AP133" s="423"/>
      <c r="AQ133" s="423"/>
      <c r="AR133" s="170"/>
      <c r="AS133" s="170"/>
      <c r="AT133" s="170"/>
      <c r="AU133" s="170"/>
      <c r="AV133" s="170"/>
      <c r="AW133" s="170"/>
      <c r="AX133" s="170"/>
      <c r="AY133" s="170"/>
      <c r="AZ133" s="170"/>
      <c r="BA133" s="170"/>
      <c r="BB133" s="170"/>
      <c r="BC133" s="170"/>
      <c r="BD133" s="170"/>
      <c r="BE133" s="170"/>
      <c r="BF133" s="170"/>
      <c r="BG133" s="170"/>
      <c r="BH133" s="170"/>
      <c r="BI133" s="170"/>
      <c r="BJ133" s="170"/>
      <c r="BK133" s="170"/>
      <c r="BL133" s="170"/>
      <c r="BM133" s="170"/>
      <c r="BN133" s="170"/>
      <c r="BO133" s="170"/>
      <c r="BP133" s="170"/>
      <c r="BQ133" s="170"/>
      <c r="BR133" s="170"/>
      <c r="BS133" s="170"/>
      <c r="BT133" s="170"/>
      <c r="BU133" s="170"/>
      <c r="BV133" s="170"/>
      <c r="BW133" s="170"/>
      <c r="BX133" s="170"/>
      <c r="BY133" s="170"/>
      <c r="BZ133" s="170"/>
      <c r="CA133" s="170"/>
      <c r="CB133" s="170"/>
      <c r="CC133" s="170"/>
      <c r="CD133" s="170"/>
      <c r="CE133" s="170"/>
      <c r="CF133" s="170"/>
      <c r="CG133" s="170"/>
      <c r="CH133" s="170"/>
      <c r="CI133" s="170"/>
      <c r="CJ133" s="170"/>
      <c r="CK133" s="170"/>
      <c r="CL133" s="170"/>
      <c r="CM133" s="170"/>
      <c r="CN133" s="170"/>
      <c r="CO133" s="170"/>
      <c r="CP133" s="170"/>
      <c r="CQ133" s="170"/>
      <c r="CR133" s="170"/>
      <c r="CS133" s="170"/>
      <c r="CT133" s="170"/>
      <c r="CU133" s="170"/>
      <c r="CV133" s="170"/>
      <c r="CW133" s="170"/>
      <c r="CX133" s="170"/>
      <c r="CY133" s="170"/>
      <c r="CZ133" s="170"/>
      <c r="DA133" s="170"/>
      <c r="DB133" s="170"/>
      <c r="DC133" s="170"/>
      <c r="DD133" s="170"/>
      <c r="DE133" s="170"/>
      <c r="DF133" s="170"/>
      <c r="DG133" s="170"/>
      <c r="DH133" s="170"/>
      <c r="DI133" s="170"/>
      <c r="DJ133" s="170"/>
      <c r="DK133" s="170"/>
      <c r="DL133" s="170"/>
      <c r="DM133" s="170"/>
      <c r="DN133" s="170"/>
      <c r="DO133" s="170"/>
      <c r="DP133" s="170"/>
      <c r="DQ133" s="170"/>
      <c r="DR133" s="170"/>
      <c r="DS133" s="170"/>
      <c r="DT133" s="170"/>
      <c r="DU133" s="170"/>
      <c r="DV133" s="170"/>
      <c r="DW133" s="170"/>
      <c r="DX133" s="170"/>
      <c r="DY133" s="170"/>
      <c r="DZ133" s="170"/>
      <c r="EA133" s="170"/>
      <c r="EB133" s="170"/>
      <c r="EC133" s="170"/>
      <c r="ED133" s="170"/>
      <c r="EE133" s="170"/>
      <c r="EF133" s="170"/>
      <c r="EG133" s="170"/>
      <c r="EH133" s="170"/>
      <c r="EI133" s="170"/>
      <c r="EJ133" s="170"/>
      <c r="EK133" s="170"/>
      <c r="EL133" s="170"/>
      <c r="EM133" s="170"/>
      <c r="EN133" s="170"/>
      <c r="EO133" s="170"/>
      <c r="EP133" s="170"/>
      <c r="EQ133" s="170"/>
      <c r="ER133" s="170"/>
      <c r="ES133" s="170"/>
      <c r="ET133" s="170"/>
      <c r="EU133" s="170"/>
      <c r="EV133" s="170"/>
      <c r="EW133" s="170"/>
      <c r="EX133" s="170"/>
      <c r="EY133" s="170"/>
      <c r="EZ133" s="170"/>
      <c r="FA133" s="170"/>
      <c r="FB133" s="170"/>
      <c r="FC133" s="170"/>
      <c r="FD133" s="170"/>
      <c r="FE133" s="170"/>
      <c r="FF133" s="170"/>
      <c r="FG133" s="170"/>
      <c r="FH133" s="170"/>
      <c r="FI133" s="170"/>
      <c r="FJ133" s="170"/>
      <c r="FK133" s="170"/>
      <c r="FL133" s="170"/>
      <c r="FM133" s="170"/>
      <c r="FN133" s="170"/>
      <c r="FO133" s="170"/>
      <c r="FP133" s="170"/>
      <c r="FQ133" s="170"/>
      <c r="FR133" s="170"/>
      <c r="FS133" s="170"/>
      <c r="FT133" s="170"/>
      <c r="FU133" s="170"/>
      <c r="FV133" s="170"/>
      <c r="FW133" s="170"/>
      <c r="FX133" s="170"/>
      <c r="FY133" s="170"/>
      <c r="FZ133" s="170"/>
      <c r="GA133" s="170"/>
      <c r="GB133" s="170"/>
      <c r="GC133" s="170"/>
      <c r="GD133" s="170"/>
      <c r="GE133" s="170"/>
      <c r="GF133" s="170"/>
      <c r="GG133" s="170"/>
      <c r="GH133" s="170"/>
      <c r="GI133" s="170"/>
      <c r="GJ133" s="170"/>
      <c r="GK133" s="170"/>
      <c r="GL133" s="170"/>
      <c r="GM133" s="170"/>
      <c r="GN133" s="170"/>
      <c r="GO133" s="170"/>
      <c r="GP133" s="170"/>
      <c r="GQ133" s="170"/>
      <c r="GR133" s="170"/>
      <c r="GS133" s="170"/>
      <c r="GT133" s="170"/>
      <c r="GU133" s="170"/>
      <c r="GV133" s="170"/>
      <c r="GW133" s="170"/>
      <c r="GX133" s="170"/>
      <c r="GY133" s="170"/>
      <c r="GZ133" s="170"/>
      <c r="HA133" s="170"/>
      <c r="HB133" s="170"/>
      <c r="HC133" s="170"/>
      <c r="HD133" s="170"/>
      <c r="HE133" s="170"/>
      <c r="HF133" s="170"/>
      <c r="HG133" s="170"/>
      <c r="HH133" s="170"/>
      <c r="HI133" s="170"/>
      <c r="HJ133" s="170"/>
      <c r="HK133" s="170"/>
      <c r="HL133" s="170"/>
      <c r="HM133" s="170"/>
      <c r="HN133" s="170"/>
      <c r="HO133" s="170"/>
      <c r="HP133" s="170"/>
      <c r="HQ133" s="170"/>
      <c r="HR133" s="170"/>
      <c r="HS133" s="170"/>
      <c r="HT133" s="170"/>
      <c r="HU133" s="170"/>
      <c r="HV133" s="170"/>
      <c r="HW133" s="170"/>
      <c r="HX133" s="170"/>
      <c r="HY133" s="170"/>
      <c r="HZ133" s="170"/>
      <c r="IA133" s="170"/>
      <c r="IB133" s="170"/>
      <c r="IC133" s="170"/>
      <c r="ID133" s="170"/>
      <c r="IE133" s="170"/>
      <c r="IF133" s="170"/>
      <c r="IG133" s="170"/>
      <c r="IH133" s="170"/>
      <c r="II133" s="170"/>
      <c r="IJ133" s="170"/>
      <c r="IK133" s="170"/>
      <c r="IL133" s="170"/>
      <c r="IM133" s="170"/>
      <c r="IN133" s="170"/>
      <c r="IO133" s="170"/>
      <c r="IP133" s="170"/>
      <c r="IQ133" s="170"/>
      <c r="IR133" s="170"/>
      <c r="IS133" s="170"/>
      <c r="IT133" s="170"/>
    </row>
    <row r="134" spans="1:496" ht="63.75" customHeight="1" x14ac:dyDescent="0.2">
      <c r="A134" s="424"/>
      <c r="B134" s="425"/>
      <c r="C134" s="3103"/>
      <c r="D134" s="3055"/>
      <c r="E134" s="253"/>
      <c r="F134" s="450"/>
      <c r="G134" s="3105"/>
      <c r="H134" s="3106"/>
      <c r="I134" s="2297"/>
      <c r="J134" s="3109"/>
      <c r="K134" s="534" t="s">
        <v>509</v>
      </c>
      <c r="L134" s="3110"/>
      <c r="M134" s="3091"/>
      <c r="N134" s="3094"/>
      <c r="O134" s="2683"/>
      <c r="P134" s="3091"/>
      <c r="Q134" s="2302"/>
      <c r="R134" s="485" t="s">
        <v>510</v>
      </c>
      <c r="S134" s="535">
        <v>5960000</v>
      </c>
      <c r="T134" s="516"/>
      <c r="U134" s="516"/>
      <c r="V134" s="2223"/>
      <c r="W134" s="2223"/>
      <c r="X134" s="532"/>
      <c r="Y134" s="3085"/>
      <c r="Z134" s="3085"/>
      <c r="AA134" s="2223"/>
      <c r="AB134" s="3090"/>
      <c r="AC134" s="3085"/>
      <c r="AD134" s="3085"/>
      <c r="AE134" s="3087"/>
      <c r="AF134" s="3087"/>
      <c r="AG134" s="3087"/>
      <c r="AH134" s="3087"/>
      <c r="AI134" s="3087"/>
      <c r="AJ134" s="3087"/>
      <c r="AK134" s="3082"/>
      <c r="AL134" s="3082"/>
      <c r="AM134" s="2275"/>
      <c r="AN134" s="423"/>
      <c r="AO134" s="423"/>
      <c r="AP134" s="423"/>
      <c r="AQ134" s="423"/>
      <c r="AR134" s="170"/>
      <c r="AS134" s="170"/>
      <c r="AT134" s="170"/>
      <c r="AU134" s="170"/>
      <c r="AV134" s="170"/>
      <c r="AW134" s="170"/>
      <c r="AX134" s="170"/>
      <c r="AY134" s="170"/>
      <c r="AZ134" s="170"/>
      <c r="BA134" s="170"/>
      <c r="BB134" s="170"/>
      <c r="BC134" s="170"/>
      <c r="BD134" s="170"/>
      <c r="BE134" s="170"/>
      <c r="BF134" s="170"/>
      <c r="BG134" s="170"/>
      <c r="BH134" s="170"/>
      <c r="BI134" s="170"/>
      <c r="BJ134" s="170"/>
      <c r="BK134" s="170"/>
      <c r="BL134" s="170"/>
      <c r="BM134" s="170"/>
      <c r="BN134" s="170"/>
      <c r="BO134" s="170"/>
      <c r="BP134" s="170"/>
      <c r="BQ134" s="170"/>
      <c r="BR134" s="170"/>
      <c r="BS134" s="170"/>
      <c r="BT134" s="170"/>
      <c r="BU134" s="170"/>
      <c r="BV134" s="170"/>
      <c r="BW134" s="170"/>
      <c r="BX134" s="170"/>
      <c r="BY134" s="170"/>
      <c r="BZ134" s="170"/>
      <c r="CA134" s="170"/>
      <c r="CB134" s="170"/>
      <c r="CC134" s="170"/>
      <c r="CD134" s="170"/>
      <c r="CE134" s="170"/>
      <c r="CF134" s="170"/>
      <c r="CG134" s="170"/>
      <c r="CH134" s="170"/>
      <c r="CI134" s="170"/>
      <c r="CJ134" s="170"/>
      <c r="CK134" s="170"/>
      <c r="CL134" s="170"/>
      <c r="CM134" s="170"/>
      <c r="CN134" s="170"/>
      <c r="CO134" s="170"/>
      <c r="CP134" s="170"/>
      <c r="CQ134" s="170"/>
      <c r="CR134" s="170"/>
      <c r="CS134" s="170"/>
      <c r="CT134" s="170"/>
      <c r="CU134" s="170"/>
      <c r="CV134" s="170"/>
      <c r="CW134" s="170"/>
      <c r="CX134" s="170"/>
      <c r="CY134" s="170"/>
      <c r="CZ134" s="170"/>
      <c r="DA134" s="170"/>
      <c r="DB134" s="170"/>
      <c r="DC134" s="170"/>
      <c r="DD134" s="170"/>
      <c r="DE134" s="170"/>
      <c r="DF134" s="170"/>
      <c r="DG134" s="170"/>
      <c r="DH134" s="170"/>
      <c r="DI134" s="170"/>
      <c r="DJ134" s="170"/>
      <c r="DK134" s="170"/>
      <c r="DL134" s="170"/>
      <c r="DM134" s="170"/>
      <c r="DN134" s="170"/>
      <c r="DO134" s="170"/>
      <c r="DP134" s="170"/>
      <c r="DQ134" s="170"/>
      <c r="DR134" s="170"/>
      <c r="DS134" s="170"/>
      <c r="DT134" s="170"/>
      <c r="DU134" s="170"/>
      <c r="DV134" s="170"/>
      <c r="DW134" s="170"/>
      <c r="DX134" s="170"/>
      <c r="DY134" s="170"/>
      <c r="DZ134" s="170"/>
      <c r="EA134" s="170"/>
      <c r="EB134" s="170"/>
      <c r="EC134" s="170"/>
      <c r="ED134" s="170"/>
      <c r="EE134" s="170"/>
      <c r="EF134" s="170"/>
      <c r="EG134" s="170"/>
      <c r="EH134" s="170"/>
      <c r="EI134" s="170"/>
      <c r="EJ134" s="170"/>
      <c r="EK134" s="170"/>
      <c r="EL134" s="170"/>
      <c r="EM134" s="170"/>
      <c r="EN134" s="170"/>
      <c r="EO134" s="170"/>
      <c r="EP134" s="170"/>
      <c r="EQ134" s="170"/>
      <c r="ER134" s="170"/>
      <c r="ES134" s="170"/>
      <c r="ET134" s="170"/>
      <c r="EU134" s="170"/>
      <c r="EV134" s="170"/>
      <c r="EW134" s="170"/>
      <c r="EX134" s="170"/>
      <c r="EY134" s="170"/>
      <c r="EZ134" s="170"/>
      <c r="FA134" s="170"/>
      <c r="FB134" s="170"/>
      <c r="FC134" s="170"/>
      <c r="FD134" s="170"/>
      <c r="FE134" s="170"/>
      <c r="FF134" s="170"/>
      <c r="FG134" s="170"/>
      <c r="FH134" s="170"/>
      <c r="FI134" s="170"/>
      <c r="FJ134" s="170"/>
      <c r="FK134" s="170"/>
      <c r="FL134" s="170"/>
      <c r="FM134" s="170"/>
      <c r="FN134" s="170"/>
      <c r="FO134" s="170"/>
      <c r="FP134" s="170"/>
      <c r="FQ134" s="170"/>
      <c r="FR134" s="170"/>
      <c r="FS134" s="170"/>
      <c r="FT134" s="170"/>
      <c r="FU134" s="170"/>
      <c r="FV134" s="170"/>
      <c r="FW134" s="170"/>
      <c r="FX134" s="170"/>
      <c r="FY134" s="170"/>
      <c r="FZ134" s="170"/>
      <c r="GA134" s="170"/>
      <c r="GB134" s="170"/>
      <c r="GC134" s="170"/>
      <c r="GD134" s="170"/>
      <c r="GE134" s="170"/>
      <c r="GF134" s="170"/>
      <c r="GG134" s="170"/>
      <c r="GH134" s="170"/>
      <c r="GI134" s="170"/>
      <c r="GJ134" s="170"/>
      <c r="GK134" s="170"/>
      <c r="GL134" s="170"/>
      <c r="GM134" s="170"/>
      <c r="GN134" s="170"/>
      <c r="GO134" s="170"/>
      <c r="GP134" s="170"/>
      <c r="GQ134" s="170"/>
      <c r="GR134" s="170"/>
      <c r="GS134" s="170"/>
      <c r="GT134" s="170"/>
      <c r="GU134" s="170"/>
      <c r="GV134" s="170"/>
      <c r="GW134" s="170"/>
      <c r="GX134" s="170"/>
      <c r="GY134" s="170"/>
      <c r="GZ134" s="170"/>
      <c r="HA134" s="170"/>
      <c r="HB134" s="170"/>
      <c r="HC134" s="170"/>
      <c r="HD134" s="170"/>
      <c r="HE134" s="170"/>
      <c r="HF134" s="170"/>
      <c r="HG134" s="170"/>
      <c r="HH134" s="170"/>
      <c r="HI134" s="170"/>
      <c r="HJ134" s="170"/>
      <c r="HK134" s="170"/>
      <c r="HL134" s="170"/>
      <c r="HM134" s="170"/>
      <c r="HN134" s="170"/>
      <c r="HO134" s="170"/>
      <c r="HP134" s="170"/>
      <c r="HQ134" s="170"/>
      <c r="HR134" s="170"/>
      <c r="HS134" s="170"/>
      <c r="HT134" s="170"/>
      <c r="HU134" s="170"/>
      <c r="HV134" s="170"/>
      <c r="HW134" s="170"/>
      <c r="HX134" s="170"/>
      <c r="HY134" s="170"/>
      <c r="HZ134" s="170"/>
      <c r="IA134" s="170"/>
      <c r="IB134" s="170"/>
      <c r="IC134" s="170"/>
      <c r="ID134" s="170"/>
      <c r="IE134" s="170"/>
      <c r="IF134" s="170"/>
      <c r="IG134" s="170"/>
      <c r="IH134" s="170"/>
      <c r="II134" s="170"/>
      <c r="IJ134" s="170"/>
      <c r="IK134" s="170"/>
      <c r="IL134" s="170"/>
      <c r="IM134" s="170"/>
      <c r="IN134" s="170"/>
      <c r="IO134" s="170"/>
      <c r="IP134" s="170"/>
      <c r="IQ134" s="170"/>
      <c r="IR134" s="170"/>
      <c r="IS134" s="170"/>
      <c r="IT134" s="170"/>
    </row>
    <row r="135" spans="1:496" ht="86.25" customHeight="1" x14ac:dyDescent="0.2">
      <c r="A135" s="424"/>
      <c r="B135" s="425"/>
      <c r="C135" s="3103"/>
      <c r="D135" s="3055"/>
      <c r="E135" s="253"/>
      <c r="F135" s="450"/>
      <c r="G135" s="536">
        <v>199</v>
      </c>
      <c r="H135" s="385" t="s">
        <v>511</v>
      </c>
      <c r="I135" s="382" t="s">
        <v>512</v>
      </c>
      <c r="J135" s="537">
        <v>4</v>
      </c>
      <c r="K135" s="531" t="s">
        <v>513</v>
      </c>
      <c r="L135" s="3110"/>
      <c r="M135" s="3091"/>
      <c r="N135" s="538">
        <f>+S135/O127</f>
        <v>1.5360595576627886E-2</v>
      </c>
      <c r="O135" s="2683"/>
      <c r="P135" s="3091"/>
      <c r="Q135" s="2302"/>
      <c r="R135" s="481" t="s">
        <v>514</v>
      </c>
      <c r="S135" s="535">
        <f>37000000+24300000</f>
        <v>61300000</v>
      </c>
      <c r="T135" s="518"/>
      <c r="U135" s="539"/>
      <c r="V135" s="2223"/>
      <c r="W135" s="2223"/>
      <c r="X135" s="532"/>
      <c r="Y135" s="3085"/>
      <c r="Z135" s="3085"/>
      <c r="AA135" s="2223"/>
      <c r="AB135" s="3090"/>
      <c r="AC135" s="3085"/>
      <c r="AD135" s="3085"/>
      <c r="AE135" s="3087"/>
      <c r="AF135" s="3087"/>
      <c r="AG135" s="3087"/>
      <c r="AH135" s="3087"/>
      <c r="AI135" s="3087"/>
      <c r="AJ135" s="3087"/>
      <c r="AK135" s="3082"/>
      <c r="AL135" s="3082"/>
      <c r="AM135" s="2275"/>
      <c r="AN135" s="540"/>
      <c r="AO135" s="540"/>
      <c r="AP135" s="540"/>
      <c r="AQ135" s="540"/>
      <c r="AR135" s="541"/>
      <c r="AS135" s="541"/>
      <c r="AT135" s="541"/>
      <c r="AU135" s="541"/>
      <c r="AV135" s="541"/>
      <c r="AW135" s="541"/>
      <c r="AX135" s="541"/>
      <c r="AY135" s="541"/>
      <c r="AZ135" s="541"/>
      <c r="BA135" s="541"/>
      <c r="BB135" s="541"/>
      <c r="BC135" s="541"/>
      <c r="BD135" s="541"/>
      <c r="BE135" s="541"/>
      <c r="BF135" s="541"/>
      <c r="BG135" s="541"/>
      <c r="BH135" s="541"/>
      <c r="BI135" s="541"/>
      <c r="BJ135" s="541"/>
      <c r="BK135" s="541"/>
      <c r="BL135" s="541"/>
      <c r="BM135" s="541"/>
      <c r="BN135" s="541"/>
      <c r="BO135" s="541"/>
      <c r="BP135" s="541"/>
      <c r="BQ135" s="541"/>
      <c r="BR135" s="541"/>
      <c r="BS135" s="541"/>
      <c r="BT135" s="541"/>
      <c r="BU135" s="541"/>
      <c r="BV135" s="541"/>
      <c r="BW135" s="541"/>
      <c r="BX135" s="541"/>
      <c r="BY135" s="541"/>
      <c r="BZ135" s="541"/>
      <c r="CA135" s="541"/>
      <c r="CB135" s="541"/>
      <c r="CC135" s="541"/>
      <c r="CD135" s="541"/>
      <c r="CE135" s="541"/>
      <c r="CF135" s="541"/>
      <c r="CG135" s="541"/>
      <c r="CH135" s="541"/>
      <c r="CI135" s="541"/>
      <c r="CJ135" s="541"/>
      <c r="CK135" s="541"/>
      <c r="CL135" s="541"/>
      <c r="CM135" s="541"/>
      <c r="CN135" s="541"/>
      <c r="CO135" s="541"/>
      <c r="CP135" s="541"/>
      <c r="CQ135" s="541"/>
      <c r="CR135" s="541"/>
      <c r="CS135" s="541"/>
      <c r="CT135" s="541"/>
      <c r="CU135" s="541"/>
      <c r="CV135" s="541"/>
      <c r="CW135" s="541"/>
      <c r="CX135" s="541"/>
      <c r="CY135" s="541"/>
      <c r="CZ135" s="541"/>
      <c r="DA135" s="541"/>
      <c r="DB135" s="541"/>
      <c r="DC135" s="541"/>
      <c r="DD135" s="541"/>
      <c r="DE135" s="541"/>
      <c r="DF135" s="541"/>
      <c r="DG135" s="541"/>
      <c r="DH135" s="541"/>
      <c r="DI135" s="541"/>
      <c r="DJ135" s="541"/>
      <c r="DK135" s="541"/>
      <c r="DL135" s="541"/>
      <c r="DM135" s="541"/>
      <c r="DN135" s="541"/>
      <c r="DO135" s="541"/>
      <c r="DP135" s="541"/>
      <c r="DQ135" s="541"/>
      <c r="DR135" s="541"/>
      <c r="DS135" s="541"/>
      <c r="DT135" s="541"/>
      <c r="DU135" s="541"/>
      <c r="DV135" s="541"/>
      <c r="DW135" s="541"/>
      <c r="DX135" s="541"/>
      <c r="DY135" s="541"/>
      <c r="DZ135" s="541"/>
      <c r="EA135" s="541"/>
      <c r="EB135" s="541"/>
      <c r="EC135" s="541"/>
      <c r="ED135" s="541"/>
      <c r="EE135" s="541"/>
      <c r="EF135" s="541"/>
      <c r="EG135" s="541"/>
      <c r="EH135" s="541"/>
      <c r="EI135" s="541"/>
      <c r="EJ135" s="541"/>
      <c r="EK135" s="541"/>
      <c r="EL135" s="541"/>
      <c r="EM135" s="541"/>
      <c r="EN135" s="541"/>
      <c r="EO135" s="541"/>
      <c r="EP135" s="541"/>
      <c r="EQ135" s="541"/>
      <c r="ER135" s="541"/>
      <c r="ES135" s="541"/>
      <c r="ET135" s="541"/>
      <c r="EU135" s="541"/>
      <c r="EV135" s="541"/>
      <c r="EW135" s="541"/>
      <c r="EX135" s="541"/>
      <c r="EY135" s="541"/>
      <c r="EZ135" s="541"/>
      <c r="FA135" s="541"/>
      <c r="FB135" s="541"/>
      <c r="FC135" s="541"/>
      <c r="FD135" s="541"/>
      <c r="FE135" s="541"/>
      <c r="FF135" s="541"/>
      <c r="FG135" s="541"/>
      <c r="FH135" s="541"/>
      <c r="FI135" s="541"/>
      <c r="FJ135" s="541"/>
      <c r="FK135" s="541"/>
      <c r="FL135" s="541"/>
      <c r="FM135" s="541"/>
      <c r="FN135" s="541"/>
      <c r="FO135" s="541"/>
      <c r="FP135" s="541"/>
      <c r="FQ135" s="541"/>
      <c r="FR135" s="541"/>
      <c r="FS135" s="541"/>
      <c r="FT135" s="541"/>
      <c r="FU135" s="541"/>
      <c r="FV135" s="541"/>
      <c r="FW135" s="541"/>
      <c r="FX135" s="541"/>
      <c r="FY135" s="541"/>
      <c r="FZ135" s="541"/>
      <c r="GA135" s="541"/>
      <c r="GB135" s="541"/>
      <c r="GC135" s="541"/>
      <c r="GD135" s="541"/>
      <c r="GE135" s="541"/>
      <c r="GF135" s="541"/>
      <c r="GG135" s="541"/>
      <c r="GH135" s="541"/>
      <c r="GI135" s="541"/>
      <c r="GJ135" s="541"/>
      <c r="GK135" s="541"/>
      <c r="GL135" s="541"/>
      <c r="GM135" s="541"/>
      <c r="GN135" s="541"/>
      <c r="GO135" s="541"/>
      <c r="GP135" s="541"/>
      <c r="GQ135" s="541"/>
      <c r="GR135" s="541"/>
      <c r="GS135" s="541"/>
      <c r="GT135" s="541"/>
      <c r="GU135" s="541"/>
      <c r="GV135" s="541"/>
      <c r="GW135" s="541"/>
      <c r="GX135" s="541"/>
      <c r="GY135" s="541"/>
      <c r="GZ135" s="541"/>
      <c r="HA135" s="541"/>
      <c r="HB135" s="541"/>
      <c r="HC135" s="541"/>
      <c r="HD135" s="541"/>
      <c r="HE135" s="541"/>
      <c r="HF135" s="541"/>
      <c r="HG135" s="541"/>
      <c r="HH135" s="541"/>
      <c r="HI135" s="541"/>
      <c r="HJ135" s="541"/>
      <c r="HK135" s="541"/>
      <c r="HL135" s="541"/>
      <c r="HM135" s="541"/>
      <c r="HN135" s="541"/>
      <c r="HO135" s="541"/>
      <c r="HP135" s="541"/>
      <c r="HQ135" s="541"/>
      <c r="HR135" s="541"/>
      <c r="HS135" s="541"/>
      <c r="HT135" s="541"/>
      <c r="HU135" s="541"/>
      <c r="HV135" s="541"/>
      <c r="HW135" s="541"/>
      <c r="HX135" s="541"/>
      <c r="HY135" s="541"/>
      <c r="HZ135" s="541"/>
      <c r="IA135" s="541"/>
      <c r="IB135" s="541"/>
      <c r="IC135" s="541"/>
      <c r="ID135" s="541"/>
      <c r="IE135" s="541"/>
      <c r="IF135" s="541"/>
      <c r="IG135" s="541"/>
      <c r="IH135" s="541"/>
      <c r="II135" s="541"/>
      <c r="IJ135" s="541"/>
      <c r="IK135" s="541"/>
      <c r="IL135" s="541"/>
      <c r="IM135" s="541"/>
      <c r="IN135" s="541"/>
      <c r="IO135" s="541"/>
      <c r="IP135" s="541"/>
      <c r="IQ135" s="541"/>
      <c r="IR135" s="541"/>
      <c r="IS135" s="541"/>
      <c r="IT135" s="541"/>
      <c r="IU135" s="542"/>
      <c r="IV135" s="542"/>
      <c r="IW135" s="542"/>
      <c r="IX135" s="542"/>
      <c r="IY135" s="542"/>
      <c r="IZ135" s="542"/>
      <c r="JA135" s="542"/>
      <c r="JB135" s="542"/>
      <c r="JC135" s="542"/>
      <c r="JD135" s="542"/>
      <c r="JE135" s="542"/>
      <c r="JF135" s="542"/>
      <c r="JG135" s="542"/>
      <c r="JH135" s="542"/>
      <c r="JI135" s="542"/>
      <c r="JJ135" s="542"/>
      <c r="JK135" s="542"/>
      <c r="JL135" s="542"/>
      <c r="JM135" s="542"/>
      <c r="JN135" s="542"/>
      <c r="JO135" s="542"/>
      <c r="JP135" s="542"/>
      <c r="JQ135" s="542"/>
      <c r="JR135" s="542"/>
      <c r="JS135" s="542"/>
      <c r="JT135" s="542"/>
      <c r="JU135" s="542"/>
      <c r="JV135" s="542"/>
      <c r="JW135" s="542"/>
      <c r="JX135" s="542"/>
      <c r="JY135" s="542"/>
      <c r="JZ135" s="542"/>
      <c r="KA135" s="542"/>
      <c r="KB135" s="542"/>
      <c r="KC135" s="542"/>
      <c r="KD135" s="542"/>
      <c r="KE135" s="542"/>
      <c r="KF135" s="542"/>
      <c r="KG135" s="542"/>
      <c r="KH135" s="542"/>
      <c r="KI135" s="542"/>
      <c r="KJ135" s="542"/>
      <c r="KK135" s="542"/>
      <c r="KL135" s="542"/>
      <c r="KM135" s="542"/>
      <c r="KN135" s="542"/>
      <c r="KO135" s="542"/>
      <c r="KP135" s="542"/>
      <c r="KQ135" s="542"/>
      <c r="KR135" s="542"/>
      <c r="KS135" s="542"/>
      <c r="KT135" s="542"/>
      <c r="KU135" s="542"/>
      <c r="KV135" s="542"/>
      <c r="KW135" s="542"/>
      <c r="KX135" s="542"/>
      <c r="KY135" s="542"/>
      <c r="KZ135" s="542"/>
      <c r="LA135" s="542"/>
      <c r="LB135" s="542"/>
      <c r="LC135" s="542"/>
      <c r="LD135" s="542"/>
      <c r="LE135" s="542"/>
      <c r="LF135" s="542"/>
      <c r="LG135" s="542"/>
      <c r="LH135" s="542"/>
      <c r="LI135" s="542"/>
      <c r="LJ135" s="542"/>
      <c r="LK135" s="542"/>
      <c r="LL135" s="542"/>
      <c r="LM135" s="542"/>
      <c r="LN135" s="542"/>
      <c r="LO135" s="542"/>
      <c r="LP135" s="542"/>
      <c r="LQ135" s="542"/>
      <c r="LR135" s="542"/>
      <c r="LS135" s="542"/>
      <c r="LT135" s="542"/>
      <c r="LU135" s="542"/>
      <c r="LV135" s="542"/>
      <c r="LW135" s="542"/>
      <c r="LX135" s="542"/>
      <c r="LY135" s="542"/>
      <c r="LZ135" s="542"/>
      <c r="MA135" s="542"/>
      <c r="MB135" s="542"/>
      <c r="MC135" s="542"/>
      <c r="MD135" s="542"/>
      <c r="ME135" s="542"/>
      <c r="MF135" s="542"/>
      <c r="MG135" s="542"/>
      <c r="MH135" s="542"/>
      <c r="MI135" s="542"/>
      <c r="MJ135" s="542"/>
      <c r="MK135" s="542"/>
      <c r="ML135" s="542"/>
      <c r="MM135" s="542"/>
      <c r="MN135" s="542"/>
      <c r="MO135" s="542"/>
      <c r="MP135" s="542"/>
      <c r="MQ135" s="542"/>
      <c r="MR135" s="542"/>
      <c r="MS135" s="542"/>
      <c r="MT135" s="542"/>
      <c r="MU135" s="542"/>
      <c r="MV135" s="542"/>
      <c r="MW135" s="542"/>
      <c r="MX135" s="542"/>
      <c r="MY135" s="542"/>
      <c r="MZ135" s="542"/>
      <c r="NA135" s="542"/>
      <c r="NB135" s="542"/>
      <c r="NC135" s="542"/>
      <c r="ND135" s="542"/>
      <c r="NE135" s="542"/>
      <c r="NF135" s="542"/>
      <c r="NG135" s="542"/>
      <c r="NH135" s="542"/>
      <c r="NI135" s="542"/>
      <c r="NJ135" s="542"/>
      <c r="NK135" s="542"/>
      <c r="NL135" s="542"/>
      <c r="NM135" s="542"/>
      <c r="NN135" s="542"/>
      <c r="NO135" s="542"/>
      <c r="NP135" s="542"/>
      <c r="NQ135" s="542"/>
      <c r="NR135" s="542"/>
      <c r="NS135" s="542"/>
      <c r="NT135" s="542"/>
      <c r="NU135" s="542"/>
      <c r="NV135" s="542"/>
      <c r="NW135" s="542"/>
      <c r="NX135" s="542"/>
      <c r="NY135" s="542"/>
      <c r="NZ135" s="542"/>
      <c r="OA135" s="542"/>
      <c r="OB135" s="542"/>
      <c r="OC135" s="542"/>
      <c r="OD135" s="542"/>
      <c r="OE135" s="542"/>
      <c r="OF135" s="542"/>
      <c r="OG135" s="542"/>
      <c r="OH135" s="542"/>
      <c r="OI135" s="542"/>
      <c r="OJ135" s="542"/>
      <c r="OK135" s="542"/>
      <c r="OL135" s="542"/>
      <c r="OM135" s="542"/>
      <c r="ON135" s="542"/>
      <c r="OO135" s="542"/>
      <c r="OP135" s="542"/>
      <c r="OQ135" s="542"/>
      <c r="OR135" s="542"/>
      <c r="OS135" s="542"/>
      <c r="OT135" s="542"/>
      <c r="OU135" s="542"/>
      <c r="OV135" s="542"/>
      <c r="OW135" s="542"/>
      <c r="OX135" s="542"/>
      <c r="OY135" s="542"/>
      <c r="OZ135" s="542"/>
      <c r="PA135" s="542"/>
      <c r="PB135" s="542"/>
      <c r="PC135" s="542"/>
      <c r="PD135" s="542"/>
      <c r="PE135" s="542"/>
      <c r="PF135" s="542"/>
      <c r="PG135" s="542"/>
      <c r="PH135" s="542"/>
      <c r="PI135" s="542"/>
      <c r="PJ135" s="542"/>
      <c r="PK135" s="542"/>
      <c r="PL135" s="542"/>
      <c r="PM135" s="542"/>
      <c r="PN135" s="542"/>
      <c r="PO135" s="542"/>
      <c r="PP135" s="542"/>
      <c r="PQ135" s="542"/>
      <c r="PR135" s="542"/>
      <c r="PS135" s="542"/>
      <c r="PT135" s="542"/>
      <c r="PU135" s="542"/>
      <c r="PV135" s="542"/>
      <c r="PW135" s="542"/>
      <c r="PX135" s="542"/>
      <c r="PY135" s="542"/>
      <c r="PZ135" s="542"/>
      <c r="QA135" s="542"/>
      <c r="QB135" s="542"/>
      <c r="QC135" s="542"/>
      <c r="QD135" s="542"/>
      <c r="QE135" s="542"/>
      <c r="QF135" s="542"/>
      <c r="QG135" s="542"/>
      <c r="QH135" s="542"/>
      <c r="QI135" s="542"/>
      <c r="QJ135" s="542"/>
      <c r="QK135" s="542"/>
      <c r="QL135" s="542"/>
      <c r="QM135" s="542"/>
      <c r="QN135" s="542"/>
      <c r="QO135" s="542"/>
      <c r="QP135" s="542"/>
      <c r="QQ135" s="542"/>
      <c r="QR135" s="542"/>
      <c r="QS135" s="542"/>
      <c r="QT135" s="542"/>
      <c r="QU135" s="542"/>
      <c r="QV135" s="542"/>
      <c r="QW135" s="542"/>
      <c r="QX135" s="542"/>
      <c r="QY135" s="542"/>
      <c r="QZ135" s="542"/>
      <c r="RA135" s="542"/>
      <c r="RB135" s="542"/>
      <c r="RC135" s="542"/>
      <c r="RD135" s="542"/>
      <c r="RE135" s="542"/>
      <c r="RF135" s="542"/>
      <c r="RG135" s="542"/>
      <c r="RH135" s="542"/>
      <c r="RI135" s="542"/>
      <c r="RJ135" s="542"/>
      <c r="RK135" s="542"/>
      <c r="RL135" s="542"/>
      <c r="RM135" s="542"/>
      <c r="RN135" s="542"/>
      <c r="RO135" s="542"/>
      <c r="RP135" s="542"/>
      <c r="RQ135" s="542"/>
      <c r="RR135" s="542"/>
      <c r="RS135" s="542"/>
      <c r="RT135" s="542"/>
      <c r="RU135" s="542"/>
      <c r="RV135" s="542"/>
      <c r="RW135" s="542"/>
      <c r="RX135" s="542"/>
      <c r="RY135" s="542"/>
      <c r="RZ135" s="542"/>
      <c r="SA135" s="542"/>
    </row>
    <row r="136" spans="1:496" ht="55.5" customHeight="1" x14ac:dyDescent="0.2">
      <c r="A136" s="424"/>
      <c r="B136" s="425"/>
      <c r="C136" s="3103"/>
      <c r="D136" s="3055"/>
      <c r="E136" s="253"/>
      <c r="F136" s="450"/>
      <c r="G136" s="543">
        <v>200</v>
      </c>
      <c r="H136" s="385" t="s">
        <v>515</v>
      </c>
      <c r="I136" s="382" t="s">
        <v>516</v>
      </c>
      <c r="J136" s="383">
        <v>12</v>
      </c>
      <c r="K136" s="3083"/>
      <c r="L136" s="3110"/>
      <c r="M136" s="3091"/>
      <c r="N136" s="538">
        <f>+S136/O127</f>
        <v>0.312170994466693</v>
      </c>
      <c r="O136" s="2683"/>
      <c r="P136" s="3091"/>
      <c r="Q136" s="2302"/>
      <c r="R136" s="483" t="s">
        <v>517</v>
      </c>
      <c r="S136" s="508">
        <v>1245790364.4000001</v>
      </c>
      <c r="T136" s="544"/>
      <c r="U136" s="518"/>
      <c r="V136" s="2223"/>
      <c r="W136" s="2223"/>
      <c r="X136" s="532"/>
      <c r="Y136" s="3085"/>
      <c r="Z136" s="3085"/>
      <c r="AA136" s="2223"/>
      <c r="AB136" s="3090"/>
      <c r="AC136" s="3085"/>
      <c r="AD136" s="3085"/>
      <c r="AE136" s="3087"/>
      <c r="AF136" s="3087"/>
      <c r="AG136" s="3087"/>
      <c r="AH136" s="3087"/>
      <c r="AI136" s="3087"/>
      <c r="AJ136" s="3087"/>
      <c r="AK136" s="3082"/>
      <c r="AL136" s="3082"/>
      <c r="AM136" s="2275"/>
      <c r="AN136" s="540"/>
      <c r="AO136" s="540"/>
      <c r="AP136" s="540"/>
      <c r="AQ136" s="540"/>
      <c r="AR136" s="541"/>
      <c r="AS136" s="541"/>
      <c r="AT136" s="541"/>
      <c r="AU136" s="541"/>
      <c r="AV136" s="541"/>
      <c r="AW136" s="541"/>
      <c r="AX136" s="541"/>
      <c r="AY136" s="541"/>
      <c r="AZ136" s="541"/>
      <c r="BA136" s="541"/>
      <c r="BB136" s="541"/>
      <c r="BC136" s="541"/>
      <c r="BD136" s="541"/>
      <c r="BE136" s="541"/>
      <c r="BF136" s="541"/>
      <c r="BG136" s="541"/>
      <c r="BH136" s="541"/>
      <c r="BI136" s="541"/>
      <c r="BJ136" s="541"/>
      <c r="BK136" s="541"/>
      <c r="BL136" s="541"/>
      <c r="BM136" s="541"/>
      <c r="BN136" s="541"/>
      <c r="BO136" s="541"/>
      <c r="BP136" s="541"/>
      <c r="BQ136" s="541"/>
      <c r="BR136" s="541"/>
      <c r="BS136" s="541"/>
      <c r="BT136" s="541"/>
      <c r="BU136" s="541"/>
      <c r="BV136" s="541"/>
      <c r="BW136" s="541"/>
      <c r="BX136" s="541"/>
      <c r="BY136" s="541"/>
      <c r="BZ136" s="541"/>
      <c r="CA136" s="541"/>
      <c r="CB136" s="541"/>
      <c r="CC136" s="541"/>
      <c r="CD136" s="541"/>
      <c r="CE136" s="541"/>
      <c r="CF136" s="541"/>
      <c r="CG136" s="541"/>
      <c r="CH136" s="541"/>
      <c r="CI136" s="541"/>
      <c r="CJ136" s="541"/>
      <c r="CK136" s="541"/>
      <c r="CL136" s="541"/>
      <c r="CM136" s="541"/>
      <c r="CN136" s="541"/>
      <c r="CO136" s="541"/>
      <c r="CP136" s="541"/>
      <c r="CQ136" s="541"/>
      <c r="CR136" s="541"/>
      <c r="CS136" s="541"/>
      <c r="CT136" s="541"/>
      <c r="CU136" s="541"/>
      <c r="CV136" s="541"/>
      <c r="CW136" s="541"/>
      <c r="CX136" s="541"/>
      <c r="CY136" s="541"/>
      <c r="CZ136" s="541"/>
      <c r="DA136" s="541"/>
      <c r="DB136" s="541"/>
      <c r="DC136" s="541"/>
      <c r="DD136" s="541"/>
      <c r="DE136" s="541"/>
      <c r="DF136" s="541"/>
      <c r="DG136" s="541"/>
      <c r="DH136" s="541"/>
      <c r="DI136" s="541"/>
      <c r="DJ136" s="541"/>
      <c r="DK136" s="541"/>
      <c r="DL136" s="541"/>
      <c r="DM136" s="541"/>
      <c r="DN136" s="541"/>
      <c r="DO136" s="541"/>
      <c r="DP136" s="541"/>
      <c r="DQ136" s="541"/>
      <c r="DR136" s="541"/>
      <c r="DS136" s="541"/>
      <c r="DT136" s="541"/>
      <c r="DU136" s="541"/>
      <c r="DV136" s="541"/>
      <c r="DW136" s="541"/>
      <c r="DX136" s="541"/>
      <c r="DY136" s="541"/>
      <c r="DZ136" s="541"/>
      <c r="EA136" s="541"/>
      <c r="EB136" s="541"/>
      <c r="EC136" s="541"/>
      <c r="ED136" s="541"/>
      <c r="EE136" s="541"/>
      <c r="EF136" s="541"/>
      <c r="EG136" s="541"/>
      <c r="EH136" s="541"/>
      <c r="EI136" s="541"/>
      <c r="EJ136" s="541"/>
      <c r="EK136" s="541"/>
      <c r="EL136" s="541"/>
      <c r="EM136" s="541"/>
      <c r="EN136" s="541"/>
      <c r="EO136" s="541"/>
      <c r="EP136" s="541"/>
      <c r="EQ136" s="541"/>
      <c r="ER136" s="541"/>
      <c r="ES136" s="541"/>
      <c r="ET136" s="541"/>
      <c r="EU136" s="541"/>
      <c r="EV136" s="541"/>
      <c r="EW136" s="541"/>
      <c r="EX136" s="541"/>
      <c r="EY136" s="541"/>
      <c r="EZ136" s="541"/>
      <c r="FA136" s="541"/>
      <c r="FB136" s="541"/>
      <c r="FC136" s="541"/>
      <c r="FD136" s="541"/>
      <c r="FE136" s="541"/>
      <c r="FF136" s="541"/>
      <c r="FG136" s="541"/>
      <c r="FH136" s="541"/>
      <c r="FI136" s="541"/>
      <c r="FJ136" s="541"/>
      <c r="FK136" s="541"/>
      <c r="FL136" s="541"/>
      <c r="FM136" s="541"/>
      <c r="FN136" s="541"/>
      <c r="FO136" s="541"/>
      <c r="FP136" s="541"/>
      <c r="FQ136" s="541"/>
      <c r="FR136" s="541"/>
      <c r="FS136" s="541"/>
      <c r="FT136" s="541"/>
      <c r="FU136" s="541"/>
      <c r="FV136" s="541"/>
      <c r="FW136" s="541"/>
      <c r="FX136" s="541"/>
      <c r="FY136" s="541"/>
      <c r="FZ136" s="541"/>
      <c r="GA136" s="541"/>
      <c r="GB136" s="541"/>
      <c r="GC136" s="541"/>
      <c r="GD136" s="541"/>
      <c r="GE136" s="541"/>
      <c r="GF136" s="541"/>
      <c r="GG136" s="541"/>
      <c r="GH136" s="541"/>
      <c r="GI136" s="541"/>
      <c r="GJ136" s="541"/>
      <c r="GK136" s="541"/>
      <c r="GL136" s="541"/>
      <c r="GM136" s="541"/>
      <c r="GN136" s="541"/>
      <c r="GO136" s="541"/>
      <c r="GP136" s="541"/>
      <c r="GQ136" s="541"/>
      <c r="GR136" s="541"/>
      <c r="GS136" s="541"/>
      <c r="GT136" s="541"/>
      <c r="GU136" s="541"/>
      <c r="GV136" s="541"/>
      <c r="GW136" s="541"/>
      <c r="GX136" s="541"/>
      <c r="GY136" s="541"/>
      <c r="GZ136" s="541"/>
      <c r="HA136" s="541"/>
      <c r="HB136" s="541"/>
      <c r="HC136" s="541"/>
      <c r="HD136" s="541"/>
      <c r="HE136" s="541"/>
      <c r="HF136" s="541"/>
      <c r="HG136" s="541"/>
      <c r="HH136" s="541"/>
      <c r="HI136" s="541"/>
      <c r="HJ136" s="541"/>
      <c r="HK136" s="541"/>
      <c r="HL136" s="541"/>
      <c r="HM136" s="541"/>
      <c r="HN136" s="541"/>
      <c r="HO136" s="541"/>
      <c r="HP136" s="541"/>
      <c r="HQ136" s="541"/>
      <c r="HR136" s="541"/>
      <c r="HS136" s="541"/>
      <c r="HT136" s="541"/>
      <c r="HU136" s="541"/>
      <c r="HV136" s="541"/>
      <c r="HW136" s="541"/>
      <c r="HX136" s="541"/>
      <c r="HY136" s="541"/>
      <c r="HZ136" s="541"/>
      <c r="IA136" s="541"/>
      <c r="IB136" s="541"/>
      <c r="IC136" s="541"/>
      <c r="ID136" s="541"/>
      <c r="IE136" s="541"/>
      <c r="IF136" s="541"/>
      <c r="IG136" s="541"/>
      <c r="IH136" s="541"/>
      <c r="II136" s="541"/>
      <c r="IJ136" s="541"/>
      <c r="IK136" s="541"/>
      <c r="IL136" s="541"/>
      <c r="IM136" s="541"/>
      <c r="IN136" s="541"/>
      <c r="IO136" s="541"/>
      <c r="IP136" s="541"/>
      <c r="IQ136" s="541"/>
      <c r="IR136" s="541"/>
      <c r="IS136" s="541"/>
      <c r="IT136" s="541"/>
      <c r="IU136" s="542"/>
      <c r="IV136" s="542"/>
      <c r="IW136" s="542"/>
      <c r="IX136" s="542"/>
      <c r="IY136" s="542"/>
      <c r="IZ136" s="542"/>
      <c r="JA136" s="542"/>
      <c r="JB136" s="542"/>
      <c r="JC136" s="542"/>
      <c r="JD136" s="542"/>
      <c r="JE136" s="542"/>
      <c r="JF136" s="542"/>
      <c r="JG136" s="542"/>
      <c r="JH136" s="542"/>
      <c r="JI136" s="542"/>
      <c r="JJ136" s="542"/>
      <c r="JK136" s="542"/>
      <c r="JL136" s="542"/>
      <c r="JM136" s="542"/>
      <c r="JN136" s="542"/>
      <c r="JO136" s="542"/>
      <c r="JP136" s="542"/>
      <c r="JQ136" s="542"/>
      <c r="JR136" s="542"/>
      <c r="JS136" s="542"/>
      <c r="JT136" s="542"/>
      <c r="JU136" s="542"/>
      <c r="JV136" s="542"/>
      <c r="JW136" s="542"/>
      <c r="JX136" s="542"/>
      <c r="JY136" s="542"/>
      <c r="JZ136" s="542"/>
      <c r="KA136" s="542"/>
      <c r="KB136" s="542"/>
      <c r="KC136" s="542"/>
      <c r="KD136" s="542"/>
      <c r="KE136" s="542"/>
      <c r="KF136" s="542"/>
      <c r="KG136" s="542"/>
      <c r="KH136" s="542"/>
      <c r="KI136" s="542"/>
      <c r="KJ136" s="542"/>
      <c r="KK136" s="542"/>
      <c r="KL136" s="542"/>
      <c r="KM136" s="542"/>
      <c r="KN136" s="542"/>
      <c r="KO136" s="542"/>
      <c r="KP136" s="542"/>
      <c r="KQ136" s="542"/>
      <c r="KR136" s="542"/>
      <c r="KS136" s="542"/>
      <c r="KT136" s="542"/>
      <c r="KU136" s="542"/>
      <c r="KV136" s="542"/>
      <c r="KW136" s="542"/>
      <c r="KX136" s="542"/>
      <c r="KY136" s="542"/>
      <c r="KZ136" s="542"/>
      <c r="LA136" s="542"/>
      <c r="LB136" s="542"/>
      <c r="LC136" s="542"/>
      <c r="LD136" s="542"/>
      <c r="LE136" s="542"/>
      <c r="LF136" s="542"/>
      <c r="LG136" s="542"/>
      <c r="LH136" s="542"/>
      <c r="LI136" s="542"/>
      <c r="LJ136" s="542"/>
      <c r="LK136" s="542"/>
      <c r="LL136" s="542"/>
      <c r="LM136" s="542"/>
      <c r="LN136" s="542"/>
      <c r="LO136" s="542"/>
      <c r="LP136" s="542"/>
      <c r="LQ136" s="542"/>
      <c r="LR136" s="542"/>
      <c r="LS136" s="542"/>
      <c r="LT136" s="542"/>
      <c r="LU136" s="542"/>
      <c r="LV136" s="542"/>
      <c r="LW136" s="542"/>
      <c r="LX136" s="542"/>
      <c r="LY136" s="542"/>
      <c r="LZ136" s="542"/>
      <c r="MA136" s="542"/>
      <c r="MB136" s="542"/>
      <c r="MC136" s="542"/>
      <c r="MD136" s="542"/>
      <c r="ME136" s="542"/>
      <c r="MF136" s="542"/>
      <c r="MG136" s="542"/>
      <c r="MH136" s="542"/>
      <c r="MI136" s="542"/>
      <c r="MJ136" s="542"/>
      <c r="MK136" s="542"/>
      <c r="ML136" s="542"/>
      <c r="MM136" s="542"/>
      <c r="MN136" s="542"/>
      <c r="MO136" s="542"/>
      <c r="MP136" s="542"/>
      <c r="MQ136" s="542"/>
      <c r="MR136" s="542"/>
      <c r="MS136" s="542"/>
      <c r="MT136" s="542"/>
      <c r="MU136" s="542"/>
      <c r="MV136" s="542"/>
      <c r="MW136" s="542"/>
      <c r="MX136" s="542"/>
      <c r="MY136" s="542"/>
      <c r="MZ136" s="542"/>
      <c r="NA136" s="542"/>
      <c r="NB136" s="542"/>
      <c r="NC136" s="542"/>
      <c r="ND136" s="542"/>
      <c r="NE136" s="542"/>
      <c r="NF136" s="542"/>
      <c r="NG136" s="542"/>
      <c r="NH136" s="542"/>
      <c r="NI136" s="542"/>
      <c r="NJ136" s="542"/>
      <c r="NK136" s="542"/>
      <c r="NL136" s="542"/>
      <c r="NM136" s="542"/>
      <c r="NN136" s="542"/>
      <c r="NO136" s="542"/>
      <c r="NP136" s="542"/>
      <c r="NQ136" s="542"/>
      <c r="NR136" s="542"/>
      <c r="NS136" s="542"/>
      <c r="NT136" s="542"/>
      <c r="NU136" s="542"/>
      <c r="NV136" s="542"/>
      <c r="NW136" s="542"/>
      <c r="NX136" s="542"/>
      <c r="NY136" s="542"/>
      <c r="NZ136" s="542"/>
      <c r="OA136" s="542"/>
      <c r="OB136" s="542"/>
      <c r="OC136" s="542"/>
      <c r="OD136" s="542"/>
      <c r="OE136" s="542"/>
      <c r="OF136" s="542"/>
      <c r="OG136" s="542"/>
      <c r="OH136" s="542"/>
      <c r="OI136" s="542"/>
      <c r="OJ136" s="542"/>
      <c r="OK136" s="542"/>
      <c r="OL136" s="542"/>
      <c r="OM136" s="542"/>
      <c r="ON136" s="542"/>
      <c r="OO136" s="542"/>
      <c r="OP136" s="542"/>
      <c r="OQ136" s="542"/>
      <c r="OR136" s="542"/>
      <c r="OS136" s="542"/>
      <c r="OT136" s="542"/>
      <c r="OU136" s="542"/>
      <c r="OV136" s="542"/>
      <c r="OW136" s="542"/>
      <c r="OX136" s="542"/>
      <c r="OY136" s="542"/>
      <c r="OZ136" s="542"/>
      <c r="PA136" s="542"/>
      <c r="PB136" s="542"/>
      <c r="PC136" s="542"/>
      <c r="PD136" s="542"/>
      <c r="PE136" s="542"/>
      <c r="PF136" s="542"/>
      <c r="PG136" s="542"/>
      <c r="PH136" s="542"/>
      <c r="PI136" s="542"/>
      <c r="PJ136" s="542"/>
      <c r="PK136" s="542"/>
      <c r="PL136" s="542"/>
      <c r="PM136" s="542"/>
      <c r="PN136" s="542"/>
      <c r="PO136" s="542"/>
      <c r="PP136" s="542"/>
      <c r="PQ136" s="542"/>
      <c r="PR136" s="542"/>
      <c r="PS136" s="542"/>
      <c r="PT136" s="542"/>
      <c r="PU136" s="542"/>
      <c r="PV136" s="542"/>
      <c r="PW136" s="542"/>
      <c r="PX136" s="542"/>
      <c r="PY136" s="542"/>
      <c r="PZ136" s="542"/>
      <c r="QA136" s="542"/>
      <c r="QB136" s="542"/>
      <c r="QC136" s="542"/>
      <c r="QD136" s="542"/>
      <c r="QE136" s="542"/>
      <c r="QF136" s="542"/>
      <c r="QG136" s="542"/>
      <c r="QH136" s="542"/>
      <c r="QI136" s="542"/>
      <c r="QJ136" s="542"/>
      <c r="QK136" s="542"/>
      <c r="QL136" s="542"/>
      <c r="QM136" s="542"/>
      <c r="QN136" s="542"/>
      <c r="QO136" s="542"/>
      <c r="QP136" s="542"/>
      <c r="QQ136" s="542"/>
      <c r="QR136" s="542"/>
      <c r="QS136" s="542"/>
      <c r="QT136" s="542"/>
      <c r="QU136" s="542"/>
      <c r="QV136" s="542"/>
      <c r="QW136" s="542"/>
      <c r="QX136" s="542"/>
      <c r="QY136" s="542"/>
      <c r="QZ136" s="542"/>
      <c r="RA136" s="542"/>
      <c r="RB136" s="542"/>
      <c r="RC136" s="542"/>
      <c r="RD136" s="542"/>
      <c r="RE136" s="542"/>
      <c r="RF136" s="542"/>
      <c r="RG136" s="542"/>
      <c r="RH136" s="542"/>
      <c r="RI136" s="542"/>
      <c r="RJ136" s="542"/>
      <c r="RK136" s="542"/>
      <c r="RL136" s="542"/>
      <c r="RM136" s="542"/>
      <c r="RN136" s="542"/>
      <c r="RO136" s="542"/>
      <c r="RP136" s="542"/>
      <c r="RQ136" s="542"/>
      <c r="RR136" s="542"/>
      <c r="RS136" s="542"/>
      <c r="RT136" s="542"/>
      <c r="RU136" s="542"/>
      <c r="RV136" s="542"/>
      <c r="RW136" s="542"/>
      <c r="RX136" s="542"/>
      <c r="RY136" s="542"/>
      <c r="RZ136" s="542"/>
      <c r="SA136" s="542"/>
    </row>
    <row r="137" spans="1:496" ht="60.75" customHeight="1" thickBot="1" x14ac:dyDescent="0.25">
      <c r="A137" s="424"/>
      <c r="B137" s="425"/>
      <c r="C137" s="3103"/>
      <c r="D137" s="3055"/>
      <c r="E137" s="253"/>
      <c r="F137" s="450"/>
      <c r="G137" s="545">
        <v>201</v>
      </c>
      <c r="H137" s="546" t="s">
        <v>518</v>
      </c>
      <c r="I137" s="546" t="s">
        <v>519</v>
      </c>
      <c r="J137" s="547">
        <v>14</v>
      </c>
      <c r="K137" s="3083"/>
      <c r="L137" s="3110"/>
      <c r="M137" s="3091"/>
      <c r="N137" s="548">
        <f>+S137/O127</f>
        <v>0.66144286011374875</v>
      </c>
      <c r="O137" s="2683"/>
      <c r="P137" s="3091"/>
      <c r="Q137" s="2302"/>
      <c r="R137" s="486" t="s">
        <v>520</v>
      </c>
      <c r="S137" s="549">
        <v>2639640313.5999999</v>
      </c>
      <c r="T137" s="544"/>
      <c r="U137" s="518"/>
      <c r="V137" s="3088"/>
      <c r="W137" s="3088"/>
      <c r="X137" s="532"/>
      <c r="Y137" s="3085"/>
      <c r="Z137" s="3085"/>
      <c r="AA137" s="2223"/>
      <c r="AB137" s="3090"/>
      <c r="AC137" s="3085"/>
      <c r="AD137" s="3085"/>
      <c r="AE137" s="3087"/>
      <c r="AF137" s="3087"/>
      <c r="AG137" s="3087"/>
      <c r="AH137" s="3087"/>
      <c r="AI137" s="3087"/>
      <c r="AJ137" s="3087"/>
      <c r="AK137" s="3082"/>
      <c r="AL137" s="3082"/>
      <c r="AM137" s="2276"/>
      <c r="AN137" s="540"/>
      <c r="AO137" s="540"/>
      <c r="AP137" s="540"/>
      <c r="AQ137" s="540"/>
      <c r="AR137" s="541"/>
      <c r="AS137" s="541"/>
      <c r="AT137" s="541"/>
      <c r="AU137" s="541"/>
      <c r="AV137" s="541"/>
      <c r="AW137" s="541"/>
      <c r="AX137" s="541"/>
      <c r="AY137" s="541"/>
      <c r="AZ137" s="541"/>
      <c r="BA137" s="541"/>
      <c r="BB137" s="541"/>
      <c r="BC137" s="541"/>
      <c r="BD137" s="541"/>
      <c r="BE137" s="541"/>
      <c r="BF137" s="541"/>
      <c r="BG137" s="541"/>
      <c r="BH137" s="541"/>
      <c r="BI137" s="541"/>
      <c r="BJ137" s="541"/>
      <c r="BK137" s="541"/>
      <c r="BL137" s="541"/>
      <c r="BM137" s="541"/>
      <c r="BN137" s="541"/>
      <c r="BO137" s="541"/>
      <c r="BP137" s="541"/>
      <c r="BQ137" s="541"/>
      <c r="BR137" s="541"/>
      <c r="BS137" s="541"/>
      <c r="BT137" s="541"/>
      <c r="BU137" s="541"/>
      <c r="BV137" s="541"/>
      <c r="BW137" s="541"/>
      <c r="BX137" s="541"/>
      <c r="BY137" s="541"/>
      <c r="BZ137" s="541"/>
      <c r="CA137" s="541"/>
      <c r="CB137" s="541"/>
      <c r="CC137" s="541"/>
      <c r="CD137" s="541"/>
      <c r="CE137" s="541"/>
      <c r="CF137" s="541"/>
      <c r="CG137" s="541"/>
      <c r="CH137" s="541"/>
      <c r="CI137" s="541"/>
      <c r="CJ137" s="541"/>
      <c r="CK137" s="541"/>
      <c r="CL137" s="541"/>
      <c r="CM137" s="541"/>
      <c r="CN137" s="541"/>
      <c r="CO137" s="541"/>
      <c r="CP137" s="541"/>
      <c r="CQ137" s="541"/>
      <c r="CR137" s="541"/>
      <c r="CS137" s="541"/>
      <c r="CT137" s="541"/>
      <c r="CU137" s="541"/>
      <c r="CV137" s="541"/>
      <c r="CW137" s="541"/>
      <c r="CX137" s="541"/>
      <c r="CY137" s="541"/>
      <c r="CZ137" s="541"/>
      <c r="DA137" s="541"/>
      <c r="DB137" s="541"/>
      <c r="DC137" s="541"/>
      <c r="DD137" s="541"/>
      <c r="DE137" s="541"/>
      <c r="DF137" s="541"/>
      <c r="DG137" s="541"/>
      <c r="DH137" s="541"/>
      <c r="DI137" s="541"/>
      <c r="DJ137" s="541"/>
      <c r="DK137" s="541"/>
      <c r="DL137" s="541"/>
      <c r="DM137" s="541"/>
      <c r="DN137" s="541"/>
      <c r="DO137" s="541"/>
      <c r="DP137" s="541"/>
      <c r="DQ137" s="541"/>
      <c r="DR137" s="541"/>
      <c r="DS137" s="541"/>
      <c r="DT137" s="541"/>
      <c r="DU137" s="541"/>
      <c r="DV137" s="541"/>
      <c r="DW137" s="541"/>
      <c r="DX137" s="541"/>
      <c r="DY137" s="541"/>
      <c r="DZ137" s="541"/>
      <c r="EA137" s="541"/>
      <c r="EB137" s="541"/>
      <c r="EC137" s="541"/>
      <c r="ED137" s="541"/>
      <c r="EE137" s="541"/>
      <c r="EF137" s="541"/>
      <c r="EG137" s="541"/>
      <c r="EH137" s="541"/>
      <c r="EI137" s="541"/>
      <c r="EJ137" s="541"/>
      <c r="EK137" s="541"/>
      <c r="EL137" s="541"/>
      <c r="EM137" s="541"/>
      <c r="EN137" s="541"/>
      <c r="EO137" s="541"/>
      <c r="EP137" s="541"/>
      <c r="EQ137" s="541"/>
      <c r="ER137" s="541"/>
      <c r="ES137" s="541"/>
      <c r="ET137" s="541"/>
      <c r="EU137" s="541"/>
      <c r="EV137" s="541"/>
      <c r="EW137" s="541"/>
      <c r="EX137" s="541"/>
      <c r="EY137" s="541"/>
      <c r="EZ137" s="541"/>
      <c r="FA137" s="541"/>
      <c r="FB137" s="541"/>
      <c r="FC137" s="541"/>
      <c r="FD137" s="541"/>
      <c r="FE137" s="541"/>
      <c r="FF137" s="541"/>
      <c r="FG137" s="541"/>
      <c r="FH137" s="541"/>
      <c r="FI137" s="541"/>
      <c r="FJ137" s="541"/>
      <c r="FK137" s="541"/>
      <c r="FL137" s="541"/>
      <c r="FM137" s="541"/>
      <c r="FN137" s="541"/>
      <c r="FO137" s="541"/>
      <c r="FP137" s="541"/>
      <c r="FQ137" s="541"/>
      <c r="FR137" s="541"/>
      <c r="FS137" s="541"/>
      <c r="FT137" s="541"/>
      <c r="FU137" s="541"/>
      <c r="FV137" s="541"/>
      <c r="FW137" s="541"/>
      <c r="FX137" s="541"/>
      <c r="FY137" s="541"/>
      <c r="FZ137" s="541"/>
      <c r="GA137" s="541"/>
      <c r="GB137" s="541"/>
      <c r="GC137" s="541"/>
      <c r="GD137" s="541"/>
      <c r="GE137" s="541"/>
      <c r="GF137" s="541"/>
      <c r="GG137" s="541"/>
      <c r="GH137" s="541"/>
      <c r="GI137" s="541"/>
      <c r="GJ137" s="541"/>
      <c r="GK137" s="541"/>
      <c r="GL137" s="541"/>
      <c r="GM137" s="541"/>
      <c r="GN137" s="541"/>
      <c r="GO137" s="541"/>
      <c r="GP137" s="541"/>
      <c r="GQ137" s="541"/>
      <c r="GR137" s="541"/>
      <c r="GS137" s="541"/>
      <c r="GT137" s="541"/>
      <c r="GU137" s="541"/>
      <c r="GV137" s="541"/>
      <c r="GW137" s="541"/>
      <c r="GX137" s="541"/>
      <c r="GY137" s="541"/>
      <c r="GZ137" s="541"/>
      <c r="HA137" s="541"/>
      <c r="HB137" s="541"/>
      <c r="HC137" s="541"/>
      <c r="HD137" s="541"/>
      <c r="HE137" s="541"/>
      <c r="HF137" s="541"/>
      <c r="HG137" s="541"/>
      <c r="HH137" s="541"/>
      <c r="HI137" s="541"/>
      <c r="HJ137" s="541"/>
      <c r="HK137" s="541"/>
      <c r="HL137" s="541"/>
      <c r="HM137" s="541"/>
      <c r="HN137" s="541"/>
      <c r="HO137" s="541"/>
      <c r="HP137" s="541"/>
      <c r="HQ137" s="541"/>
      <c r="HR137" s="541"/>
      <c r="HS137" s="541"/>
      <c r="HT137" s="541"/>
      <c r="HU137" s="541"/>
      <c r="HV137" s="541"/>
      <c r="HW137" s="541"/>
      <c r="HX137" s="541"/>
      <c r="HY137" s="541"/>
      <c r="HZ137" s="541"/>
      <c r="IA137" s="541"/>
      <c r="IB137" s="541"/>
      <c r="IC137" s="541"/>
      <c r="ID137" s="541"/>
      <c r="IE137" s="541"/>
      <c r="IF137" s="541"/>
      <c r="IG137" s="541"/>
      <c r="IH137" s="541"/>
      <c r="II137" s="541"/>
      <c r="IJ137" s="541"/>
      <c r="IK137" s="541"/>
      <c r="IL137" s="541"/>
      <c r="IM137" s="541"/>
      <c r="IN137" s="541"/>
      <c r="IO137" s="541"/>
      <c r="IP137" s="541"/>
      <c r="IQ137" s="541"/>
      <c r="IR137" s="541"/>
      <c r="IS137" s="541"/>
      <c r="IT137" s="541"/>
      <c r="IU137" s="542"/>
      <c r="IV137" s="542"/>
      <c r="IW137" s="542"/>
      <c r="IX137" s="542"/>
      <c r="IY137" s="542"/>
      <c r="IZ137" s="542"/>
      <c r="JA137" s="542"/>
      <c r="JB137" s="542"/>
      <c r="JC137" s="542"/>
      <c r="JD137" s="542"/>
      <c r="JE137" s="542"/>
      <c r="JF137" s="542"/>
      <c r="JG137" s="542"/>
      <c r="JH137" s="542"/>
      <c r="JI137" s="542"/>
      <c r="JJ137" s="542"/>
      <c r="JK137" s="542"/>
      <c r="JL137" s="542"/>
      <c r="JM137" s="542"/>
      <c r="JN137" s="542"/>
      <c r="JO137" s="542"/>
      <c r="JP137" s="542"/>
      <c r="JQ137" s="542"/>
      <c r="JR137" s="542"/>
      <c r="JS137" s="542"/>
      <c r="JT137" s="542"/>
      <c r="JU137" s="542"/>
      <c r="JV137" s="542"/>
      <c r="JW137" s="542"/>
      <c r="JX137" s="542"/>
      <c r="JY137" s="542"/>
      <c r="JZ137" s="542"/>
      <c r="KA137" s="542"/>
      <c r="KB137" s="542"/>
      <c r="KC137" s="542"/>
      <c r="KD137" s="542"/>
      <c r="KE137" s="542"/>
      <c r="KF137" s="542"/>
      <c r="KG137" s="542"/>
      <c r="KH137" s="542"/>
      <c r="KI137" s="542"/>
      <c r="KJ137" s="542"/>
      <c r="KK137" s="542"/>
      <c r="KL137" s="542"/>
      <c r="KM137" s="542"/>
      <c r="KN137" s="542"/>
      <c r="KO137" s="542"/>
      <c r="KP137" s="542"/>
      <c r="KQ137" s="542"/>
      <c r="KR137" s="542"/>
      <c r="KS137" s="542"/>
      <c r="KT137" s="542"/>
      <c r="KU137" s="542"/>
      <c r="KV137" s="542"/>
      <c r="KW137" s="542"/>
      <c r="KX137" s="542"/>
      <c r="KY137" s="542"/>
      <c r="KZ137" s="542"/>
      <c r="LA137" s="542"/>
      <c r="LB137" s="542"/>
      <c r="LC137" s="542"/>
      <c r="LD137" s="542"/>
      <c r="LE137" s="542"/>
      <c r="LF137" s="542"/>
      <c r="LG137" s="542"/>
      <c r="LH137" s="542"/>
      <c r="LI137" s="542"/>
      <c r="LJ137" s="542"/>
      <c r="LK137" s="542"/>
      <c r="LL137" s="542"/>
      <c r="LM137" s="542"/>
      <c r="LN137" s="542"/>
      <c r="LO137" s="542"/>
      <c r="LP137" s="542"/>
      <c r="LQ137" s="542"/>
      <c r="LR137" s="542"/>
      <c r="LS137" s="542"/>
      <c r="LT137" s="542"/>
      <c r="LU137" s="542"/>
      <c r="LV137" s="542"/>
      <c r="LW137" s="542"/>
      <c r="LX137" s="542"/>
      <c r="LY137" s="542"/>
      <c r="LZ137" s="542"/>
      <c r="MA137" s="542"/>
      <c r="MB137" s="542"/>
      <c r="MC137" s="542"/>
      <c r="MD137" s="542"/>
      <c r="ME137" s="542"/>
      <c r="MF137" s="542"/>
      <c r="MG137" s="542"/>
      <c r="MH137" s="542"/>
      <c r="MI137" s="542"/>
      <c r="MJ137" s="542"/>
      <c r="MK137" s="542"/>
      <c r="ML137" s="542"/>
      <c r="MM137" s="542"/>
      <c r="MN137" s="542"/>
      <c r="MO137" s="542"/>
      <c r="MP137" s="542"/>
      <c r="MQ137" s="542"/>
      <c r="MR137" s="542"/>
      <c r="MS137" s="542"/>
      <c r="MT137" s="542"/>
      <c r="MU137" s="542"/>
      <c r="MV137" s="542"/>
      <c r="MW137" s="542"/>
      <c r="MX137" s="542"/>
      <c r="MY137" s="542"/>
      <c r="MZ137" s="542"/>
      <c r="NA137" s="542"/>
      <c r="NB137" s="542"/>
      <c r="NC137" s="542"/>
      <c r="ND137" s="542"/>
      <c r="NE137" s="542"/>
      <c r="NF137" s="542"/>
      <c r="NG137" s="542"/>
      <c r="NH137" s="542"/>
      <c r="NI137" s="542"/>
      <c r="NJ137" s="542"/>
      <c r="NK137" s="542"/>
      <c r="NL137" s="542"/>
      <c r="NM137" s="542"/>
      <c r="NN137" s="542"/>
      <c r="NO137" s="542"/>
      <c r="NP137" s="542"/>
      <c r="NQ137" s="542"/>
      <c r="NR137" s="542"/>
      <c r="NS137" s="542"/>
      <c r="NT137" s="542"/>
      <c r="NU137" s="542"/>
      <c r="NV137" s="542"/>
      <c r="NW137" s="542"/>
      <c r="NX137" s="542"/>
      <c r="NY137" s="542"/>
      <c r="NZ137" s="542"/>
      <c r="OA137" s="542"/>
      <c r="OB137" s="542"/>
      <c r="OC137" s="542"/>
      <c r="OD137" s="542"/>
      <c r="OE137" s="542"/>
      <c r="OF137" s="542"/>
      <c r="OG137" s="542"/>
      <c r="OH137" s="542"/>
      <c r="OI137" s="542"/>
      <c r="OJ137" s="542"/>
      <c r="OK137" s="542"/>
      <c r="OL137" s="542"/>
      <c r="OM137" s="542"/>
      <c r="ON137" s="542"/>
      <c r="OO137" s="542"/>
      <c r="OP137" s="542"/>
      <c r="OQ137" s="542"/>
      <c r="OR137" s="542"/>
      <c r="OS137" s="542"/>
      <c r="OT137" s="542"/>
      <c r="OU137" s="542"/>
      <c r="OV137" s="542"/>
      <c r="OW137" s="542"/>
      <c r="OX137" s="542"/>
      <c r="OY137" s="542"/>
      <c r="OZ137" s="542"/>
      <c r="PA137" s="542"/>
      <c r="PB137" s="542"/>
      <c r="PC137" s="542"/>
      <c r="PD137" s="542"/>
      <c r="PE137" s="542"/>
      <c r="PF137" s="542"/>
      <c r="PG137" s="542"/>
      <c r="PH137" s="542"/>
      <c r="PI137" s="542"/>
      <c r="PJ137" s="542"/>
      <c r="PK137" s="542"/>
      <c r="PL137" s="542"/>
      <c r="PM137" s="542"/>
      <c r="PN137" s="542"/>
      <c r="PO137" s="542"/>
      <c r="PP137" s="542"/>
      <c r="PQ137" s="542"/>
      <c r="PR137" s="542"/>
      <c r="PS137" s="542"/>
      <c r="PT137" s="542"/>
      <c r="PU137" s="542"/>
      <c r="PV137" s="542"/>
      <c r="PW137" s="542"/>
      <c r="PX137" s="542"/>
      <c r="PY137" s="542"/>
      <c r="PZ137" s="542"/>
      <c r="QA137" s="542"/>
      <c r="QB137" s="542"/>
      <c r="QC137" s="542"/>
      <c r="QD137" s="542"/>
      <c r="QE137" s="542"/>
      <c r="QF137" s="542"/>
      <c r="QG137" s="542"/>
      <c r="QH137" s="542"/>
      <c r="QI137" s="542"/>
      <c r="QJ137" s="542"/>
      <c r="QK137" s="542"/>
      <c r="QL137" s="542"/>
      <c r="QM137" s="542"/>
      <c r="QN137" s="542"/>
      <c r="QO137" s="542"/>
      <c r="QP137" s="542"/>
      <c r="QQ137" s="542"/>
      <c r="QR137" s="542"/>
      <c r="QS137" s="542"/>
      <c r="QT137" s="542"/>
      <c r="QU137" s="542"/>
      <c r="QV137" s="542"/>
      <c r="QW137" s="542"/>
      <c r="QX137" s="542"/>
      <c r="QY137" s="542"/>
      <c r="QZ137" s="542"/>
      <c r="RA137" s="542"/>
      <c r="RB137" s="542"/>
      <c r="RC137" s="542"/>
      <c r="RD137" s="542"/>
      <c r="RE137" s="542"/>
      <c r="RF137" s="542"/>
      <c r="RG137" s="542"/>
      <c r="RH137" s="542"/>
      <c r="RI137" s="542"/>
      <c r="RJ137" s="542"/>
      <c r="RK137" s="542"/>
      <c r="RL137" s="542"/>
      <c r="RM137" s="542"/>
      <c r="RN137" s="542"/>
      <c r="RO137" s="542"/>
      <c r="RP137" s="542"/>
      <c r="RQ137" s="542"/>
      <c r="RR137" s="542"/>
      <c r="RS137" s="542"/>
      <c r="RT137" s="542"/>
      <c r="RU137" s="542"/>
      <c r="RV137" s="542"/>
      <c r="RW137" s="542"/>
      <c r="RX137" s="542"/>
      <c r="RY137" s="542"/>
      <c r="RZ137" s="542"/>
      <c r="SA137" s="542"/>
    </row>
    <row r="138" spans="1:496" s="558" customFormat="1" ht="35.25" customHeight="1" thickBot="1" x14ac:dyDescent="0.25">
      <c r="A138" s="3098"/>
      <c r="B138" s="3099"/>
      <c r="C138" s="3099"/>
      <c r="D138" s="3099"/>
      <c r="E138" s="3099"/>
      <c r="F138" s="3099"/>
      <c r="G138" s="3099"/>
      <c r="H138" s="3099"/>
      <c r="I138" s="3099"/>
      <c r="J138" s="3099"/>
      <c r="K138" s="3099"/>
      <c r="L138" s="3099"/>
      <c r="M138" s="3099"/>
      <c r="N138" s="3100"/>
      <c r="O138" s="550">
        <f>SUM(O12:O137)</f>
        <v>6622430678</v>
      </c>
      <c r="P138" s="551"/>
      <c r="Q138" s="552"/>
      <c r="R138" s="553"/>
      <c r="S138" s="550">
        <f>SUM(S12:S137)</f>
        <v>6622430678</v>
      </c>
      <c r="T138" s="554"/>
      <c r="U138" s="552"/>
      <c r="V138" s="555"/>
      <c r="W138" s="555"/>
      <c r="X138" s="555"/>
      <c r="Y138" s="555"/>
      <c r="Z138" s="555"/>
      <c r="AA138" s="555"/>
      <c r="AB138" s="555"/>
      <c r="AC138" s="555"/>
      <c r="AD138" s="555"/>
      <c r="AE138" s="555"/>
      <c r="AF138" s="555"/>
      <c r="AG138" s="555"/>
      <c r="AH138" s="555"/>
      <c r="AI138" s="555"/>
      <c r="AJ138" s="555"/>
      <c r="AK138" s="555"/>
      <c r="AL138" s="555"/>
      <c r="AM138" s="556"/>
      <c r="AN138" s="557"/>
      <c r="AO138" s="557"/>
      <c r="AP138" s="557"/>
      <c r="AQ138" s="557"/>
      <c r="AR138" s="557"/>
      <c r="AS138" s="542"/>
      <c r="AT138" s="542"/>
      <c r="AU138" s="542"/>
      <c r="AV138" s="542"/>
      <c r="AW138" s="542"/>
      <c r="AX138" s="542"/>
      <c r="AY138" s="542"/>
      <c r="AZ138" s="542"/>
      <c r="BA138" s="542"/>
      <c r="BB138" s="542"/>
      <c r="BC138" s="542"/>
      <c r="BD138" s="542"/>
      <c r="BE138" s="542"/>
      <c r="BF138" s="542"/>
      <c r="BG138" s="542"/>
      <c r="BH138" s="542"/>
      <c r="BI138" s="542"/>
      <c r="BJ138" s="542"/>
      <c r="BK138" s="542"/>
      <c r="BL138" s="542"/>
      <c r="BM138" s="542"/>
      <c r="BN138" s="542"/>
      <c r="BO138" s="542"/>
      <c r="BP138" s="542"/>
      <c r="BQ138" s="542"/>
      <c r="BR138" s="542"/>
      <c r="BS138" s="542"/>
      <c r="BT138" s="542"/>
      <c r="BU138" s="542"/>
      <c r="BV138" s="542"/>
      <c r="BW138" s="542"/>
      <c r="BX138" s="542"/>
      <c r="BY138" s="542"/>
      <c r="BZ138" s="542"/>
      <c r="CA138" s="542"/>
      <c r="CB138" s="542"/>
      <c r="CC138" s="542"/>
      <c r="CD138" s="542"/>
      <c r="CE138" s="542"/>
      <c r="CF138" s="542"/>
      <c r="CG138" s="542"/>
      <c r="CH138" s="542"/>
      <c r="CI138" s="542"/>
      <c r="CJ138" s="542"/>
      <c r="CK138" s="542"/>
      <c r="CL138" s="542"/>
      <c r="CM138" s="542"/>
      <c r="CN138" s="542"/>
      <c r="CO138" s="542"/>
      <c r="CP138" s="542"/>
      <c r="CQ138" s="542"/>
      <c r="CR138" s="542"/>
      <c r="CS138" s="542"/>
      <c r="CT138" s="542"/>
      <c r="CU138" s="542"/>
      <c r="CV138" s="542"/>
      <c r="CW138" s="542"/>
      <c r="CX138" s="542"/>
      <c r="CY138" s="542"/>
      <c r="CZ138" s="542"/>
      <c r="DA138" s="542"/>
      <c r="DB138" s="542"/>
      <c r="DC138" s="542"/>
      <c r="DD138" s="542"/>
      <c r="DE138" s="542"/>
      <c r="DF138" s="542"/>
      <c r="DG138" s="542"/>
      <c r="DH138" s="542"/>
      <c r="DI138" s="542"/>
      <c r="DJ138" s="542"/>
      <c r="DK138" s="542"/>
      <c r="DL138" s="542"/>
      <c r="DM138" s="542"/>
      <c r="DN138" s="542"/>
      <c r="DO138" s="542"/>
      <c r="DP138" s="542"/>
      <c r="DQ138" s="542"/>
      <c r="DR138" s="542"/>
      <c r="DS138" s="542"/>
      <c r="DT138" s="542"/>
      <c r="DU138" s="542"/>
      <c r="DV138" s="542"/>
      <c r="DW138" s="542"/>
      <c r="DX138" s="542"/>
      <c r="DY138" s="542"/>
      <c r="DZ138" s="542"/>
      <c r="EA138" s="542"/>
      <c r="EB138" s="542"/>
      <c r="EC138" s="542"/>
      <c r="ED138" s="542"/>
      <c r="EE138" s="542"/>
      <c r="EF138" s="542"/>
      <c r="EG138" s="542"/>
      <c r="EH138" s="542"/>
      <c r="EI138" s="542"/>
      <c r="EJ138" s="542"/>
      <c r="EK138" s="542"/>
      <c r="EL138" s="542"/>
      <c r="EM138" s="542"/>
      <c r="EN138" s="542"/>
      <c r="EO138" s="542"/>
      <c r="EP138" s="542"/>
      <c r="EQ138" s="542"/>
      <c r="ER138" s="542"/>
      <c r="ES138" s="542"/>
      <c r="ET138" s="542"/>
      <c r="EU138" s="542"/>
      <c r="EV138" s="542"/>
      <c r="EW138" s="542"/>
      <c r="EX138" s="542"/>
      <c r="EY138" s="542"/>
      <c r="EZ138" s="542"/>
      <c r="FA138" s="542"/>
      <c r="FB138" s="542"/>
      <c r="FC138" s="542"/>
      <c r="FD138" s="542"/>
      <c r="FE138" s="542"/>
      <c r="FF138" s="542"/>
      <c r="FG138" s="542"/>
      <c r="FH138" s="542"/>
      <c r="FI138" s="542"/>
      <c r="FJ138" s="542"/>
      <c r="FK138" s="542"/>
      <c r="FL138" s="542"/>
      <c r="FM138" s="542"/>
      <c r="FN138" s="542"/>
      <c r="FO138" s="542"/>
      <c r="FP138" s="542"/>
      <c r="FQ138" s="542"/>
      <c r="FR138" s="542"/>
      <c r="FS138" s="542"/>
      <c r="FT138" s="542"/>
      <c r="FU138" s="542"/>
      <c r="FV138" s="542"/>
      <c r="FW138" s="542"/>
      <c r="FX138" s="542"/>
      <c r="FY138" s="542"/>
      <c r="FZ138" s="542"/>
      <c r="GA138" s="542"/>
      <c r="GB138" s="542"/>
      <c r="GC138" s="542"/>
      <c r="GD138" s="542"/>
      <c r="GE138" s="542"/>
      <c r="GF138" s="542"/>
      <c r="GG138" s="542"/>
      <c r="GH138" s="542"/>
      <c r="GI138" s="542"/>
      <c r="GJ138" s="542"/>
      <c r="GK138" s="542"/>
      <c r="GL138" s="542"/>
      <c r="GM138" s="542"/>
      <c r="GN138" s="542"/>
      <c r="GO138" s="542"/>
      <c r="GP138" s="542"/>
      <c r="GQ138" s="542"/>
      <c r="GR138" s="542"/>
      <c r="GS138" s="542"/>
      <c r="GT138" s="542"/>
      <c r="GU138" s="542"/>
      <c r="GV138" s="542"/>
      <c r="GW138" s="542"/>
      <c r="GX138" s="542"/>
      <c r="GY138" s="542"/>
      <c r="GZ138" s="542"/>
      <c r="HA138" s="542"/>
      <c r="HB138" s="542"/>
      <c r="HC138" s="542"/>
      <c r="HD138" s="542"/>
      <c r="HE138" s="542"/>
      <c r="HF138" s="542"/>
      <c r="HG138" s="542"/>
      <c r="HH138" s="542"/>
      <c r="HI138" s="542"/>
      <c r="HJ138" s="542"/>
      <c r="HK138" s="542"/>
      <c r="HL138" s="542"/>
      <c r="HM138" s="542"/>
      <c r="HN138" s="542"/>
      <c r="HO138" s="542"/>
      <c r="HP138" s="542"/>
      <c r="HQ138" s="542"/>
      <c r="HR138" s="542"/>
      <c r="HS138" s="542"/>
      <c r="HT138" s="542"/>
      <c r="HU138" s="542"/>
      <c r="HV138" s="542"/>
      <c r="HW138" s="542"/>
      <c r="HX138" s="542"/>
      <c r="HY138" s="542"/>
      <c r="HZ138" s="542"/>
      <c r="IA138" s="542"/>
      <c r="IB138" s="542"/>
      <c r="IC138" s="542"/>
      <c r="ID138" s="542"/>
      <c r="IE138" s="542"/>
      <c r="IF138" s="542"/>
      <c r="IG138" s="542"/>
      <c r="IH138" s="542"/>
      <c r="II138" s="542"/>
      <c r="IJ138" s="542"/>
      <c r="IK138" s="542"/>
      <c r="IL138" s="542"/>
      <c r="IM138" s="542"/>
      <c r="IN138" s="542"/>
      <c r="IO138" s="542"/>
      <c r="IP138" s="542"/>
      <c r="IQ138" s="542"/>
      <c r="IR138" s="542"/>
      <c r="IS138" s="542"/>
      <c r="IT138" s="542"/>
      <c r="IU138" s="542"/>
      <c r="IV138" s="542"/>
      <c r="IW138" s="542"/>
      <c r="IX138" s="542"/>
      <c r="IY138" s="542"/>
      <c r="IZ138" s="542"/>
      <c r="JA138" s="542"/>
      <c r="JB138" s="542"/>
      <c r="JC138" s="542"/>
      <c r="JD138" s="542"/>
      <c r="JE138" s="542"/>
      <c r="JF138" s="542"/>
      <c r="JG138" s="542"/>
      <c r="JH138" s="542"/>
      <c r="JI138" s="542"/>
      <c r="JJ138" s="542"/>
      <c r="JK138" s="542"/>
      <c r="JL138" s="542"/>
      <c r="JM138" s="542"/>
      <c r="JN138" s="542"/>
      <c r="JO138" s="542"/>
      <c r="JP138" s="542"/>
      <c r="JQ138" s="542"/>
      <c r="JR138" s="542"/>
      <c r="JS138" s="542"/>
      <c r="JT138" s="542"/>
      <c r="JU138" s="542"/>
      <c r="JV138" s="542"/>
      <c r="JW138" s="542"/>
      <c r="JX138" s="542"/>
      <c r="JY138" s="542"/>
      <c r="JZ138" s="542"/>
      <c r="KA138" s="542"/>
      <c r="KB138" s="542"/>
      <c r="KC138" s="542"/>
      <c r="KD138" s="542"/>
      <c r="KE138" s="542"/>
      <c r="KF138" s="542"/>
      <c r="KG138" s="542"/>
      <c r="KH138" s="542"/>
      <c r="KI138" s="542"/>
      <c r="KJ138" s="542"/>
      <c r="KK138" s="542"/>
      <c r="KL138" s="542"/>
      <c r="KM138" s="542"/>
      <c r="KN138" s="542"/>
      <c r="KO138" s="542"/>
      <c r="KP138" s="542"/>
      <c r="KQ138" s="542"/>
      <c r="KR138" s="542"/>
      <c r="KS138" s="542"/>
      <c r="KT138" s="542"/>
      <c r="KU138" s="542"/>
      <c r="KV138" s="542"/>
      <c r="KW138" s="542"/>
      <c r="KX138" s="542"/>
      <c r="KY138" s="542"/>
      <c r="KZ138" s="542"/>
      <c r="LA138" s="542"/>
      <c r="LB138" s="542"/>
      <c r="LC138" s="542"/>
      <c r="LD138" s="542"/>
      <c r="LE138" s="542"/>
      <c r="LF138" s="542"/>
      <c r="LG138" s="542"/>
      <c r="LH138" s="542"/>
      <c r="LI138" s="542"/>
      <c r="LJ138" s="542"/>
      <c r="LK138" s="542"/>
      <c r="LL138" s="542"/>
      <c r="LM138" s="542"/>
      <c r="LN138" s="542"/>
      <c r="LO138" s="542"/>
      <c r="LP138" s="542"/>
      <c r="LQ138" s="542"/>
      <c r="LR138" s="542"/>
      <c r="LS138" s="542"/>
      <c r="LT138" s="542"/>
      <c r="LU138" s="542"/>
      <c r="LV138" s="542"/>
      <c r="LW138" s="542"/>
      <c r="LX138" s="542"/>
      <c r="LY138" s="542"/>
      <c r="LZ138" s="542"/>
      <c r="MA138" s="542"/>
      <c r="MB138" s="542"/>
      <c r="MC138" s="542"/>
      <c r="MD138" s="542"/>
      <c r="ME138" s="542"/>
      <c r="MF138" s="542"/>
      <c r="MG138" s="542"/>
      <c r="MH138" s="542"/>
      <c r="MI138" s="542"/>
      <c r="MJ138" s="542"/>
      <c r="MK138" s="542"/>
      <c r="ML138" s="542"/>
      <c r="MM138" s="542"/>
      <c r="MN138" s="542"/>
      <c r="MO138" s="542"/>
      <c r="MP138" s="542"/>
      <c r="MQ138" s="542"/>
      <c r="MR138" s="542"/>
      <c r="MS138" s="542"/>
      <c r="MT138" s="542"/>
      <c r="MU138" s="542"/>
      <c r="MV138" s="542"/>
      <c r="MW138" s="542"/>
      <c r="MX138" s="542"/>
      <c r="MY138" s="542"/>
      <c r="MZ138" s="542"/>
      <c r="NA138" s="542"/>
      <c r="NB138" s="542"/>
      <c r="NC138" s="542"/>
      <c r="ND138" s="542"/>
      <c r="NE138" s="542"/>
      <c r="NF138" s="542"/>
      <c r="NG138" s="542"/>
      <c r="NH138" s="542"/>
      <c r="NI138" s="542"/>
      <c r="NJ138" s="542"/>
      <c r="NK138" s="542"/>
      <c r="NL138" s="542"/>
      <c r="NM138" s="542"/>
      <c r="NN138" s="542"/>
      <c r="NO138" s="542"/>
      <c r="NP138" s="542"/>
      <c r="NQ138" s="542"/>
      <c r="NR138" s="542"/>
      <c r="NS138" s="542"/>
      <c r="NT138" s="542"/>
      <c r="NU138" s="542"/>
      <c r="NV138" s="542"/>
      <c r="NW138" s="542"/>
      <c r="NX138" s="542"/>
      <c r="NY138" s="542"/>
      <c r="NZ138" s="542"/>
      <c r="OA138" s="542"/>
      <c r="OB138" s="542"/>
      <c r="OC138" s="542"/>
      <c r="OD138" s="542"/>
      <c r="OE138" s="542"/>
      <c r="OF138" s="542"/>
      <c r="OG138" s="542"/>
      <c r="OH138" s="542"/>
      <c r="OI138" s="542"/>
      <c r="OJ138" s="542"/>
      <c r="OK138" s="542"/>
      <c r="OL138" s="542"/>
      <c r="OM138" s="542"/>
      <c r="ON138" s="542"/>
      <c r="OO138" s="542"/>
      <c r="OP138" s="542"/>
      <c r="OQ138" s="542"/>
      <c r="OR138" s="542"/>
      <c r="OS138" s="542"/>
      <c r="OT138" s="542"/>
      <c r="OU138" s="542"/>
      <c r="OV138" s="542"/>
      <c r="OW138" s="542"/>
      <c r="OX138" s="542"/>
      <c r="OY138" s="542"/>
      <c r="OZ138" s="542"/>
      <c r="PA138" s="542"/>
      <c r="PB138" s="542"/>
      <c r="PC138" s="542"/>
      <c r="PD138" s="542"/>
      <c r="PE138" s="542"/>
      <c r="PF138" s="542"/>
      <c r="PG138" s="542"/>
      <c r="PH138" s="542"/>
      <c r="PI138" s="542"/>
      <c r="PJ138" s="542"/>
      <c r="PK138" s="542"/>
      <c r="PL138" s="542"/>
      <c r="PM138" s="542"/>
      <c r="PN138" s="542"/>
      <c r="PO138" s="542"/>
      <c r="PP138" s="542"/>
      <c r="PQ138" s="542"/>
      <c r="PR138" s="542"/>
      <c r="PS138" s="542"/>
      <c r="PT138" s="542"/>
      <c r="PU138" s="542"/>
      <c r="PV138" s="542"/>
      <c r="PW138" s="542"/>
      <c r="PX138" s="542"/>
      <c r="PY138" s="542"/>
      <c r="PZ138" s="542"/>
      <c r="QA138" s="542"/>
      <c r="QB138" s="542"/>
      <c r="QC138" s="542"/>
      <c r="QD138" s="542"/>
      <c r="QE138" s="542"/>
      <c r="QF138" s="542"/>
      <c r="QG138" s="542"/>
      <c r="QH138" s="542"/>
      <c r="QI138" s="542"/>
      <c r="QJ138" s="542"/>
      <c r="QK138" s="542"/>
      <c r="QL138" s="542"/>
      <c r="QM138" s="542"/>
      <c r="QN138" s="542"/>
      <c r="QO138" s="542"/>
      <c r="QP138" s="542"/>
      <c r="QQ138" s="542"/>
      <c r="QR138" s="542"/>
      <c r="QS138" s="542"/>
      <c r="QT138" s="542"/>
      <c r="QU138" s="542"/>
      <c r="QV138" s="542"/>
      <c r="QW138" s="542"/>
      <c r="QX138" s="542"/>
      <c r="QY138" s="542"/>
      <c r="QZ138" s="542"/>
      <c r="RA138" s="542"/>
      <c r="RB138" s="542"/>
      <c r="RC138" s="542"/>
      <c r="RD138" s="542"/>
      <c r="RE138" s="542"/>
      <c r="RF138" s="542"/>
      <c r="RG138" s="542"/>
      <c r="RH138" s="542"/>
      <c r="RI138" s="542"/>
      <c r="RJ138" s="542"/>
      <c r="RK138" s="542"/>
      <c r="RL138" s="542"/>
      <c r="RM138" s="542"/>
      <c r="RN138" s="542"/>
      <c r="RO138" s="542"/>
      <c r="RP138" s="542"/>
      <c r="RQ138" s="542"/>
      <c r="RR138" s="542"/>
      <c r="RS138" s="542"/>
      <c r="RT138" s="542"/>
      <c r="RU138" s="542"/>
      <c r="RV138" s="542"/>
      <c r="RW138" s="542"/>
      <c r="RX138" s="542"/>
      <c r="RY138" s="542"/>
      <c r="RZ138" s="542"/>
      <c r="SA138" s="542"/>
      <c r="SB138" s="542"/>
    </row>
    <row r="139" spans="1:496" ht="15.75" x14ac:dyDescent="0.25">
      <c r="A139" s="224"/>
      <c r="B139" s="224"/>
      <c r="C139" s="224"/>
      <c r="D139" s="224"/>
      <c r="E139" s="559"/>
      <c r="F139" s="560"/>
      <c r="G139" s="561"/>
      <c r="H139" s="562"/>
      <c r="I139" s="563"/>
      <c r="J139" s="564"/>
      <c r="K139" s="564"/>
      <c r="L139" s="564"/>
      <c r="M139" s="563"/>
      <c r="N139" s="565"/>
      <c r="O139" s="566"/>
      <c r="P139" s="562"/>
      <c r="Q139" s="567"/>
      <c r="S139" s="568"/>
      <c r="T139" s="569"/>
      <c r="U139" s="570"/>
      <c r="V139" s="224"/>
      <c r="W139" s="224"/>
      <c r="X139" s="224"/>
      <c r="Y139" s="224"/>
      <c r="Z139" s="224"/>
      <c r="AA139" s="224"/>
      <c r="AB139" s="224"/>
      <c r="AC139" s="224"/>
      <c r="AD139" s="224"/>
      <c r="AE139" s="224"/>
      <c r="AF139" s="224"/>
      <c r="AG139" s="224"/>
      <c r="AH139" s="224"/>
      <c r="AI139" s="224"/>
      <c r="AJ139" s="224"/>
      <c r="AM139" s="571"/>
      <c r="AN139" s="557"/>
      <c r="AO139" s="557"/>
      <c r="AP139" s="557"/>
      <c r="AQ139" s="557"/>
      <c r="AR139" s="557"/>
      <c r="AS139" s="542"/>
      <c r="AT139" s="542"/>
      <c r="AU139" s="542"/>
      <c r="AV139" s="542"/>
      <c r="AW139" s="542"/>
      <c r="AX139" s="542"/>
      <c r="AY139" s="542"/>
      <c r="AZ139" s="542"/>
      <c r="BA139" s="542"/>
      <c r="BB139" s="542"/>
      <c r="BC139" s="542"/>
      <c r="BD139" s="542"/>
      <c r="BE139" s="542"/>
      <c r="BF139" s="542"/>
      <c r="BG139" s="542"/>
      <c r="BH139" s="542"/>
      <c r="BI139" s="542"/>
      <c r="BJ139" s="542"/>
      <c r="BK139" s="542"/>
      <c r="BL139" s="542"/>
      <c r="BM139" s="542"/>
      <c r="BN139" s="542"/>
      <c r="BO139" s="542"/>
      <c r="BP139" s="542"/>
      <c r="BQ139" s="542"/>
      <c r="BR139" s="542"/>
      <c r="BS139" s="542"/>
      <c r="BT139" s="542"/>
      <c r="BU139" s="542"/>
      <c r="BV139" s="542"/>
      <c r="BW139" s="542"/>
      <c r="BX139" s="542"/>
      <c r="BY139" s="542"/>
      <c r="BZ139" s="542"/>
      <c r="CA139" s="542"/>
      <c r="CB139" s="542"/>
      <c r="CC139" s="542"/>
      <c r="CD139" s="542"/>
      <c r="CE139" s="542"/>
      <c r="CF139" s="542"/>
      <c r="CG139" s="542"/>
      <c r="CH139" s="542"/>
      <c r="CI139" s="542"/>
      <c r="CJ139" s="542"/>
      <c r="CK139" s="542"/>
      <c r="CL139" s="542"/>
      <c r="CM139" s="542"/>
      <c r="CN139" s="542"/>
      <c r="CO139" s="542"/>
      <c r="CP139" s="542"/>
      <c r="CQ139" s="542"/>
      <c r="CR139" s="542"/>
      <c r="CS139" s="542"/>
      <c r="CT139" s="542"/>
      <c r="CU139" s="542"/>
      <c r="CV139" s="542"/>
      <c r="CW139" s="542"/>
      <c r="CX139" s="542"/>
      <c r="CY139" s="542"/>
      <c r="CZ139" s="542"/>
      <c r="DA139" s="542"/>
      <c r="DB139" s="542"/>
      <c r="DC139" s="542"/>
      <c r="DD139" s="542"/>
      <c r="DE139" s="542"/>
      <c r="DF139" s="542"/>
      <c r="DG139" s="542"/>
      <c r="DH139" s="542"/>
      <c r="DI139" s="542"/>
      <c r="DJ139" s="542"/>
      <c r="DK139" s="542"/>
      <c r="DL139" s="542"/>
      <c r="DM139" s="542"/>
      <c r="DN139" s="542"/>
      <c r="DO139" s="542"/>
      <c r="DP139" s="542"/>
      <c r="DQ139" s="542"/>
      <c r="DR139" s="542"/>
      <c r="DS139" s="542"/>
      <c r="DT139" s="542"/>
      <c r="DU139" s="542"/>
      <c r="DV139" s="542"/>
      <c r="DW139" s="542"/>
      <c r="DX139" s="542"/>
      <c r="DY139" s="542"/>
      <c r="DZ139" s="542"/>
      <c r="EA139" s="542"/>
      <c r="EB139" s="542"/>
      <c r="EC139" s="542"/>
      <c r="ED139" s="542"/>
      <c r="EE139" s="542"/>
      <c r="EF139" s="542"/>
      <c r="EG139" s="542"/>
      <c r="EH139" s="542"/>
      <c r="EI139" s="542"/>
      <c r="EJ139" s="542"/>
      <c r="EK139" s="542"/>
      <c r="EL139" s="542"/>
      <c r="EM139" s="542"/>
      <c r="EN139" s="542"/>
      <c r="EO139" s="542"/>
      <c r="EP139" s="542"/>
      <c r="EQ139" s="542"/>
      <c r="ER139" s="542"/>
      <c r="ES139" s="542"/>
      <c r="ET139" s="542"/>
      <c r="EU139" s="542"/>
      <c r="EV139" s="542"/>
      <c r="EW139" s="542"/>
      <c r="EX139" s="542"/>
      <c r="EY139" s="542"/>
      <c r="EZ139" s="542"/>
      <c r="FA139" s="542"/>
      <c r="FB139" s="542"/>
      <c r="FC139" s="542"/>
      <c r="FD139" s="542"/>
      <c r="FE139" s="542"/>
      <c r="FF139" s="542"/>
      <c r="FG139" s="542"/>
      <c r="FH139" s="542"/>
      <c r="FI139" s="542"/>
      <c r="FJ139" s="542"/>
      <c r="FK139" s="542"/>
      <c r="FL139" s="542"/>
      <c r="FM139" s="542"/>
      <c r="FN139" s="542"/>
      <c r="FO139" s="542"/>
      <c r="FP139" s="542"/>
      <c r="FQ139" s="542"/>
      <c r="FR139" s="542"/>
      <c r="FS139" s="542"/>
      <c r="FT139" s="542"/>
      <c r="FU139" s="542"/>
      <c r="FV139" s="542"/>
      <c r="FW139" s="542"/>
      <c r="FX139" s="542"/>
      <c r="FY139" s="542"/>
      <c r="FZ139" s="542"/>
      <c r="GA139" s="542"/>
      <c r="GB139" s="542"/>
      <c r="GC139" s="542"/>
      <c r="GD139" s="542"/>
      <c r="GE139" s="542"/>
      <c r="GF139" s="542"/>
      <c r="GG139" s="542"/>
      <c r="GH139" s="542"/>
      <c r="GI139" s="542"/>
      <c r="GJ139" s="542"/>
      <c r="GK139" s="542"/>
      <c r="GL139" s="542"/>
      <c r="GM139" s="542"/>
      <c r="GN139" s="542"/>
      <c r="GO139" s="542"/>
      <c r="GP139" s="542"/>
      <c r="GQ139" s="542"/>
      <c r="GR139" s="542"/>
      <c r="GS139" s="542"/>
      <c r="GT139" s="542"/>
      <c r="GU139" s="542"/>
      <c r="GV139" s="542"/>
      <c r="GW139" s="542"/>
      <c r="GX139" s="542"/>
      <c r="GY139" s="542"/>
      <c r="GZ139" s="542"/>
      <c r="HA139" s="542"/>
      <c r="HB139" s="542"/>
      <c r="HC139" s="542"/>
      <c r="HD139" s="542"/>
      <c r="HE139" s="542"/>
      <c r="HF139" s="542"/>
      <c r="HG139" s="542"/>
      <c r="HH139" s="542"/>
      <c r="HI139" s="542"/>
      <c r="HJ139" s="542"/>
      <c r="HK139" s="542"/>
      <c r="HL139" s="542"/>
      <c r="HM139" s="542"/>
      <c r="HN139" s="542"/>
      <c r="HO139" s="542"/>
      <c r="HP139" s="542"/>
      <c r="HQ139" s="542"/>
      <c r="HR139" s="542"/>
      <c r="HS139" s="542"/>
      <c r="HT139" s="542"/>
      <c r="HU139" s="542"/>
      <c r="HV139" s="542"/>
      <c r="HW139" s="542"/>
      <c r="HX139" s="542"/>
      <c r="HY139" s="542"/>
      <c r="HZ139" s="542"/>
      <c r="IA139" s="542"/>
      <c r="IB139" s="542"/>
      <c r="IC139" s="542"/>
      <c r="ID139" s="542"/>
      <c r="IE139" s="542"/>
      <c r="IF139" s="542"/>
      <c r="IG139" s="542"/>
      <c r="IH139" s="542"/>
      <c r="II139" s="542"/>
      <c r="IJ139" s="542"/>
      <c r="IK139" s="542"/>
      <c r="IL139" s="542"/>
      <c r="IM139" s="542"/>
      <c r="IN139" s="542"/>
      <c r="IO139" s="542"/>
      <c r="IP139" s="542"/>
      <c r="IQ139" s="542"/>
      <c r="IR139" s="542"/>
      <c r="IS139" s="542"/>
      <c r="IT139" s="542"/>
      <c r="IU139" s="542"/>
      <c r="IV139" s="542"/>
      <c r="IW139" s="542"/>
      <c r="IX139" s="542"/>
      <c r="IY139" s="542"/>
      <c r="IZ139" s="542"/>
      <c r="JA139" s="542"/>
      <c r="JB139" s="542"/>
      <c r="JC139" s="542"/>
      <c r="JD139" s="542"/>
      <c r="JE139" s="542"/>
      <c r="JF139" s="542"/>
      <c r="JG139" s="542"/>
      <c r="JH139" s="542"/>
      <c r="JI139" s="542"/>
      <c r="JJ139" s="542"/>
      <c r="JK139" s="542"/>
      <c r="JL139" s="542"/>
      <c r="JM139" s="542"/>
      <c r="JN139" s="542"/>
      <c r="JO139" s="542"/>
      <c r="JP139" s="542"/>
      <c r="JQ139" s="542"/>
      <c r="JR139" s="542"/>
      <c r="JS139" s="542"/>
      <c r="JT139" s="542"/>
      <c r="JU139" s="542"/>
      <c r="JV139" s="542"/>
      <c r="JW139" s="542"/>
      <c r="JX139" s="542"/>
      <c r="JY139" s="542"/>
      <c r="JZ139" s="542"/>
      <c r="KA139" s="542"/>
      <c r="KB139" s="542"/>
      <c r="KC139" s="542"/>
      <c r="KD139" s="542"/>
      <c r="KE139" s="542"/>
      <c r="KF139" s="542"/>
      <c r="KG139" s="542"/>
      <c r="KH139" s="542"/>
      <c r="KI139" s="542"/>
      <c r="KJ139" s="542"/>
      <c r="KK139" s="542"/>
      <c r="KL139" s="542"/>
      <c r="KM139" s="542"/>
      <c r="KN139" s="542"/>
      <c r="KO139" s="542"/>
      <c r="KP139" s="542"/>
      <c r="KQ139" s="542"/>
      <c r="KR139" s="542"/>
      <c r="KS139" s="542"/>
      <c r="KT139" s="542"/>
      <c r="KU139" s="542"/>
      <c r="KV139" s="542"/>
      <c r="KW139" s="542"/>
      <c r="KX139" s="542"/>
      <c r="KY139" s="542"/>
      <c r="KZ139" s="542"/>
      <c r="LA139" s="542"/>
      <c r="LB139" s="542"/>
      <c r="LC139" s="542"/>
      <c r="LD139" s="542"/>
      <c r="LE139" s="542"/>
      <c r="LF139" s="542"/>
      <c r="LG139" s="542"/>
      <c r="LH139" s="542"/>
      <c r="LI139" s="542"/>
      <c r="LJ139" s="542"/>
      <c r="LK139" s="542"/>
      <c r="LL139" s="542"/>
      <c r="LM139" s="542"/>
      <c r="LN139" s="542"/>
      <c r="LO139" s="542"/>
      <c r="LP139" s="542"/>
      <c r="LQ139" s="542"/>
      <c r="LR139" s="542"/>
      <c r="LS139" s="542"/>
      <c r="LT139" s="542"/>
      <c r="LU139" s="542"/>
      <c r="LV139" s="542"/>
      <c r="LW139" s="542"/>
      <c r="LX139" s="542"/>
      <c r="LY139" s="542"/>
      <c r="LZ139" s="542"/>
      <c r="MA139" s="542"/>
      <c r="MB139" s="542"/>
      <c r="MC139" s="542"/>
      <c r="MD139" s="542"/>
      <c r="ME139" s="542"/>
      <c r="MF139" s="542"/>
      <c r="MG139" s="542"/>
      <c r="MH139" s="542"/>
      <c r="MI139" s="542"/>
      <c r="MJ139" s="542"/>
      <c r="MK139" s="542"/>
      <c r="ML139" s="542"/>
      <c r="MM139" s="542"/>
      <c r="MN139" s="542"/>
      <c r="MO139" s="542"/>
      <c r="MP139" s="542"/>
      <c r="MQ139" s="542"/>
      <c r="MR139" s="542"/>
      <c r="MS139" s="542"/>
      <c r="MT139" s="542"/>
      <c r="MU139" s="542"/>
      <c r="MV139" s="542"/>
      <c r="MW139" s="542"/>
      <c r="MX139" s="542"/>
      <c r="MY139" s="542"/>
      <c r="MZ139" s="542"/>
      <c r="NA139" s="542"/>
      <c r="NB139" s="542"/>
      <c r="NC139" s="542"/>
      <c r="ND139" s="542"/>
      <c r="NE139" s="542"/>
      <c r="NF139" s="542"/>
      <c r="NG139" s="542"/>
      <c r="NH139" s="542"/>
      <c r="NI139" s="542"/>
      <c r="NJ139" s="542"/>
      <c r="NK139" s="542"/>
      <c r="NL139" s="542"/>
      <c r="NM139" s="542"/>
      <c r="NN139" s="542"/>
      <c r="NO139" s="542"/>
      <c r="NP139" s="542"/>
      <c r="NQ139" s="542"/>
      <c r="NR139" s="542"/>
      <c r="NS139" s="542"/>
      <c r="NT139" s="542"/>
      <c r="NU139" s="542"/>
      <c r="NV139" s="542"/>
      <c r="NW139" s="542"/>
      <c r="NX139" s="542"/>
      <c r="NY139" s="542"/>
      <c r="NZ139" s="542"/>
      <c r="OA139" s="542"/>
      <c r="OB139" s="542"/>
      <c r="OC139" s="542"/>
      <c r="OD139" s="542"/>
      <c r="OE139" s="542"/>
      <c r="OF139" s="542"/>
      <c r="OG139" s="542"/>
      <c r="OH139" s="542"/>
      <c r="OI139" s="542"/>
      <c r="OJ139" s="542"/>
      <c r="OK139" s="542"/>
      <c r="OL139" s="542"/>
      <c r="OM139" s="542"/>
      <c r="ON139" s="542"/>
      <c r="OO139" s="542"/>
      <c r="OP139" s="542"/>
      <c r="OQ139" s="542"/>
      <c r="OR139" s="542"/>
      <c r="OS139" s="542"/>
      <c r="OT139" s="542"/>
      <c r="OU139" s="542"/>
      <c r="OV139" s="542"/>
      <c r="OW139" s="542"/>
      <c r="OX139" s="542"/>
      <c r="OY139" s="542"/>
      <c r="OZ139" s="542"/>
      <c r="PA139" s="542"/>
      <c r="PB139" s="542"/>
      <c r="PC139" s="542"/>
      <c r="PD139" s="542"/>
      <c r="PE139" s="542"/>
      <c r="PF139" s="542"/>
      <c r="PG139" s="542"/>
      <c r="PH139" s="542"/>
      <c r="PI139" s="542"/>
      <c r="PJ139" s="542"/>
      <c r="PK139" s="542"/>
      <c r="PL139" s="542"/>
      <c r="PM139" s="542"/>
      <c r="PN139" s="542"/>
      <c r="PO139" s="542"/>
      <c r="PP139" s="542"/>
      <c r="PQ139" s="542"/>
      <c r="PR139" s="542"/>
      <c r="PS139" s="542"/>
      <c r="PT139" s="542"/>
      <c r="PU139" s="542"/>
      <c r="PV139" s="542"/>
      <c r="PW139" s="542"/>
      <c r="PX139" s="542"/>
      <c r="PY139" s="542"/>
      <c r="PZ139" s="542"/>
      <c r="QA139" s="542"/>
      <c r="QB139" s="542"/>
      <c r="QC139" s="542"/>
      <c r="QD139" s="542"/>
      <c r="QE139" s="542"/>
      <c r="QF139" s="542"/>
      <c r="QG139" s="542"/>
      <c r="QH139" s="542"/>
      <c r="QI139" s="542"/>
      <c r="QJ139" s="542"/>
      <c r="QK139" s="542"/>
      <c r="QL139" s="542"/>
      <c r="QM139" s="542"/>
      <c r="QN139" s="542"/>
      <c r="QO139" s="542"/>
      <c r="QP139" s="542"/>
      <c r="QQ139" s="542"/>
      <c r="QR139" s="542"/>
      <c r="QS139" s="542"/>
      <c r="QT139" s="542"/>
      <c r="QU139" s="542"/>
      <c r="QV139" s="542"/>
      <c r="QW139" s="542"/>
      <c r="QX139" s="542"/>
      <c r="QY139" s="542"/>
      <c r="QZ139" s="542"/>
      <c r="RA139" s="542"/>
      <c r="RB139" s="542"/>
      <c r="RC139" s="542"/>
      <c r="RD139" s="542"/>
      <c r="RE139" s="542"/>
      <c r="RF139" s="542"/>
      <c r="RG139" s="542"/>
      <c r="RH139" s="542"/>
      <c r="RI139" s="542"/>
      <c r="RJ139" s="542"/>
      <c r="RK139" s="542"/>
      <c r="RL139" s="542"/>
      <c r="RM139" s="542"/>
      <c r="RN139" s="542"/>
      <c r="RO139" s="542"/>
      <c r="RP139" s="542"/>
      <c r="RQ139" s="542"/>
      <c r="RR139" s="542"/>
      <c r="RS139" s="542"/>
      <c r="RT139" s="542"/>
      <c r="RU139" s="542"/>
      <c r="RV139" s="542"/>
      <c r="RW139" s="542"/>
      <c r="RX139" s="542"/>
      <c r="RY139" s="542"/>
      <c r="RZ139" s="542"/>
      <c r="SA139" s="542"/>
      <c r="SB139" s="542"/>
    </row>
    <row r="140" spans="1:496" ht="15.75" x14ac:dyDescent="0.25">
      <c r="A140" s="224"/>
      <c r="B140" s="572"/>
      <c r="C140" s="572"/>
      <c r="D140" s="224"/>
      <c r="E140" s="559"/>
      <c r="F140" s="560"/>
      <c r="G140" s="564"/>
      <c r="H140" s="573"/>
      <c r="I140" s="573"/>
      <c r="J140" s="564"/>
      <c r="K140" s="564"/>
      <c r="L140" s="564"/>
      <c r="M140" s="563"/>
      <c r="N140" s="565"/>
      <c r="O140" s="566"/>
      <c r="P140" s="562"/>
      <c r="Q140" s="567"/>
      <c r="R140" s="563"/>
      <c r="S140" s="574"/>
      <c r="T140" s="574"/>
      <c r="U140" s="570"/>
      <c r="V140" s="224"/>
      <c r="W140" s="224"/>
      <c r="X140" s="224"/>
      <c r="Y140" s="224"/>
      <c r="Z140" s="224"/>
      <c r="AA140" s="224"/>
      <c r="AB140" s="224"/>
      <c r="AC140" s="224"/>
      <c r="AD140" s="224"/>
      <c r="AE140" s="224"/>
      <c r="AF140" s="224"/>
      <c r="AG140" s="224"/>
      <c r="AH140" s="224"/>
      <c r="AI140" s="224"/>
      <c r="AJ140" s="224"/>
      <c r="AM140" s="571"/>
      <c r="AN140" s="557"/>
      <c r="AO140" s="557"/>
      <c r="AP140" s="557"/>
      <c r="AQ140" s="557"/>
      <c r="AR140" s="557"/>
      <c r="AS140" s="542"/>
      <c r="AT140" s="542"/>
      <c r="AU140" s="542"/>
      <c r="AV140" s="542"/>
      <c r="AW140" s="542"/>
      <c r="AX140" s="542"/>
      <c r="AY140" s="542"/>
      <c r="AZ140" s="542"/>
      <c r="BA140" s="542"/>
      <c r="BB140" s="542"/>
      <c r="BC140" s="542"/>
      <c r="BD140" s="542"/>
      <c r="BE140" s="542"/>
      <c r="BF140" s="542"/>
      <c r="BG140" s="542"/>
      <c r="BH140" s="542"/>
      <c r="BI140" s="542"/>
      <c r="BJ140" s="542"/>
      <c r="BK140" s="542"/>
      <c r="BL140" s="542"/>
      <c r="BM140" s="542"/>
      <c r="BN140" s="542"/>
      <c r="BO140" s="542"/>
      <c r="BP140" s="542"/>
      <c r="BQ140" s="542"/>
      <c r="BR140" s="542"/>
      <c r="BS140" s="542"/>
      <c r="BT140" s="542"/>
      <c r="BU140" s="542"/>
      <c r="BV140" s="542"/>
      <c r="BW140" s="542"/>
      <c r="BX140" s="542"/>
      <c r="BY140" s="542"/>
      <c r="BZ140" s="542"/>
      <c r="CA140" s="542"/>
      <c r="CB140" s="542"/>
      <c r="CC140" s="542"/>
      <c r="CD140" s="542"/>
      <c r="CE140" s="542"/>
      <c r="CF140" s="542"/>
      <c r="CG140" s="542"/>
      <c r="CH140" s="542"/>
      <c r="CI140" s="542"/>
      <c r="CJ140" s="542"/>
      <c r="CK140" s="542"/>
      <c r="CL140" s="542"/>
      <c r="CM140" s="542"/>
      <c r="CN140" s="542"/>
      <c r="CO140" s="542"/>
      <c r="CP140" s="542"/>
      <c r="CQ140" s="542"/>
      <c r="CR140" s="542"/>
      <c r="CS140" s="542"/>
      <c r="CT140" s="542"/>
      <c r="CU140" s="542"/>
      <c r="CV140" s="542"/>
      <c r="CW140" s="542"/>
      <c r="CX140" s="542"/>
      <c r="CY140" s="542"/>
      <c r="CZ140" s="542"/>
      <c r="DA140" s="542"/>
      <c r="DB140" s="542"/>
      <c r="DC140" s="542"/>
      <c r="DD140" s="542"/>
      <c r="DE140" s="542"/>
      <c r="DF140" s="542"/>
      <c r="DG140" s="542"/>
      <c r="DH140" s="542"/>
      <c r="DI140" s="542"/>
      <c r="DJ140" s="542"/>
      <c r="DK140" s="542"/>
      <c r="DL140" s="542"/>
      <c r="DM140" s="542"/>
      <c r="DN140" s="542"/>
      <c r="DO140" s="542"/>
      <c r="DP140" s="542"/>
      <c r="DQ140" s="542"/>
      <c r="DR140" s="542"/>
      <c r="DS140" s="542"/>
      <c r="DT140" s="542"/>
      <c r="DU140" s="542"/>
      <c r="DV140" s="542"/>
      <c r="DW140" s="542"/>
      <c r="DX140" s="542"/>
      <c r="DY140" s="542"/>
      <c r="DZ140" s="542"/>
      <c r="EA140" s="542"/>
      <c r="EB140" s="542"/>
      <c r="EC140" s="542"/>
      <c r="ED140" s="542"/>
      <c r="EE140" s="542"/>
      <c r="EF140" s="542"/>
      <c r="EG140" s="542"/>
      <c r="EH140" s="542"/>
      <c r="EI140" s="542"/>
      <c r="EJ140" s="542"/>
      <c r="EK140" s="542"/>
      <c r="EL140" s="542"/>
      <c r="EM140" s="542"/>
      <c r="EN140" s="542"/>
      <c r="EO140" s="542"/>
      <c r="EP140" s="542"/>
      <c r="EQ140" s="542"/>
      <c r="ER140" s="542"/>
      <c r="ES140" s="542"/>
      <c r="ET140" s="542"/>
      <c r="EU140" s="542"/>
      <c r="EV140" s="542"/>
      <c r="EW140" s="542"/>
      <c r="EX140" s="542"/>
      <c r="EY140" s="542"/>
      <c r="EZ140" s="542"/>
      <c r="FA140" s="542"/>
      <c r="FB140" s="542"/>
      <c r="FC140" s="542"/>
      <c r="FD140" s="542"/>
      <c r="FE140" s="542"/>
      <c r="FF140" s="542"/>
      <c r="FG140" s="542"/>
      <c r="FH140" s="542"/>
      <c r="FI140" s="542"/>
      <c r="FJ140" s="542"/>
      <c r="FK140" s="542"/>
      <c r="FL140" s="542"/>
      <c r="FM140" s="542"/>
      <c r="FN140" s="542"/>
      <c r="FO140" s="542"/>
      <c r="FP140" s="542"/>
      <c r="FQ140" s="542"/>
      <c r="FR140" s="542"/>
      <c r="FS140" s="542"/>
      <c r="FT140" s="542"/>
      <c r="FU140" s="542"/>
      <c r="FV140" s="542"/>
      <c r="FW140" s="542"/>
      <c r="FX140" s="542"/>
      <c r="FY140" s="542"/>
      <c r="FZ140" s="542"/>
      <c r="GA140" s="542"/>
      <c r="GB140" s="542"/>
      <c r="GC140" s="542"/>
      <c r="GD140" s="542"/>
      <c r="GE140" s="542"/>
      <c r="GF140" s="542"/>
      <c r="GG140" s="542"/>
      <c r="GH140" s="542"/>
      <c r="GI140" s="542"/>
      <c r="GJ140" s="542"/>
      <c r="GK140" s="542"/>
      <c r="GL140" s="542"/>
      <c r="GM140" s="542"/>
      <c r="GN140" s="542"/>
      <c r="GO140" s="542"/>
      <c r="GP140" s="542"/>
      <c r="GQ140" s="542"/>
      <c r="GR140" s="542"/>
      <c r="GS140" s="542"/>
      <c r="GT140" s="542"/>
      <c r="GU140" s="542"/>
      <c r="GV140" s="542"/>
      <c r="GW140" s="542"/>
      <c r="GX140" s="542"/>
      <c r="GY140" s="542"/>
      <c r="GZ140" s="542"/>
      <c r="HA140" s="542"/>
      <c r="HB140" s="542"/>
      <c r="HC140" s="542"/>
      <c r="HD140" s="542"/>
      <c r="HE140" s="542"/>
      <c r="HF140" s="542"/>
      <c r="HG140" s="542"/>
      <c r="HH140" s="542"/>
      <c r="HI140" s="542"/>
      <c r="HJ140" s="542"/>
      <c r="HK140" s="542"/>
      <c r="HL140" s="542"/>
      <c r="HM140" s="542"/>
      <c r="HN140" s="542"/>
      <c r="HO140" s="542"/>
      <c r="HP140" s="542"/>
      <c r="HQ140" s="542"/>
      <c r="HR140" s="542"/>
      <c r="HS140" s="542"/>
      <c r="HT140" s="542"/>
      <c r="HU140" s="542"/>
      <c r="HV140" s="542"/>
      <c r="HW140" s="542"/>
      <c r="HX140" s="542"/>
      <c r="HY140" s="542"/>
      <c r="HZ140" s="542"/>
      <c r="IA140" s="542"/>
      <c r="IB140" s="542"/>
      <c r="IC140" s="542"/>
      <c r="ID140" s="542"/>
      <c r="IE140" s="542"/>
      <c r="IF140" s="542"/>
      <c r="IG140" s="542"/>
      <c r="IH140" s="542"/>
      <c r="II140" s="542"/>
      <c r="IJ140" s="542"/>
      <c r="IK140" s="542"/>
      <c r="IL140" s="542"/>
      <c r="IM140" s="542"/>
      <c r="IN140" s="542"/>
      <c r="IO140" s="542"/>
      <c r="IP140" s="542"/>
      <c r="IQ140" s="542"/>
      <c r="IR140" s="542"/>
      <c r="IS140" s="542"/>
      <c r="IT140" s="542"/>
      <c r="IU140" s="542"/>
      <c r="IV140" s="542"/>
      <c r="IW140" s="542"/>
      <c r="IX140" s="542"/>
      <c r="IY140" s="542"/>
      <c r="IZ140" s="542"/>
      <c r="JA140" s="542"/>
      <c r="JB140" s="542"/>
      <c r="JC140" s="542"/>
      <c r="JD140" s="542"/>
      <c r="JE140" s="542"/>
      <c r="JF140" s="542"/>
      <c r="JG140" s="542"/>
      <c r="JH140" s="542"/>
      <c r="JI140" s="542"/>
      <c r="JJ140" s="542"/>
      <c r="JK140" s="542"/>
      <c r="JL140" s="542"/>
      <c r="JM140" s="542"/>
      <c r="JN140" s="542"/>
      <c r="JO140" s="542"/>
      <c r="JP140" s="542"/>
      <c r="JQ140" s="542"/>
      <c r="JR140" s="542"/>
      <c r="JS140" s="542"/>
      <c r="JT140" s="542"/>
      <c r="JU140" s="542"/>
      <c r="JV140" s="542"/>
      <c r="JW140" s="542"/>
      <c r="JX140" s="542"/>
      <c r="JY140" s="542"/>
      <c r="JZ140" s="542"/>
      <c r="KA140" s="542"/>
      <c r="KB140" s="542"/>
      <c r="KC140" s="542"/>
      <c r="KD140" s="542"/>
      <c r="KE140" s="542"/>
      <c r="KF140" s="542"/>
      <c r="KG140" s="542"/>
      <c r="KH140" s="542"/>
      <c r="KI140" s="542"/>
      <c r="KJ140" s="542"/>
      <c r="KK140" s="542"/>
      <c r="KL140" s="542"/>
      <c r="KM140" s="542"/>
      <c r="KN140" s="542"/>
      <c r="KO140" s="542"/>
      <c r="KP140" s="542"/>
      <c r="KQ140" s="542"/>
      <c r="KR140" s="542"/>
      <c r="KS140" s="542"/>
      <c r="KT140" s="542"/>
      <c r="KU140" s="542"/>
      <c r="KV140" s="542"/>
      <c r="KW140" s="542"/>
      <c r="KX140" s="542"/>
      <c r="KY140" s="542"/>
      <c r="KZ140" s="542"/>
      <c r="LA140" s="542"/>
      <c r="LB140" s="542"/>
      <c r="LC140" s="542"/>
      <c r="LD140" s="542"/>
      <c r="LE140" s="542"/>
      <c r="LF140" s="542"/>
      <c r="LG140" s="542"/>
      <c r="LH140" s="542"/>
      <c r="LI140" s="542"/>
      <c r="LJ140" s="542"/>
      <c r="LK140" s="542"/>
      <c r="LL140" s="542"/>
      <c r="LM140" s="542"/>
      <c r="LN140" s="542"/>
      <c r="LO140" s="542"/>
      <c r="LP140" s="542"/>
      <c r="LQ140" s="542"/>
      <c r="LR140" s="542"/>
      <c r="LS140" s="542"/>
      <c r="LT140" s="542"/>
      <c r="LU140" s="542"/>
      <c r="LV140" s="542"/>
      <c r="LW140" s="542"/>
      <c r="LX140" s="542"/>
      <c r="LY140" s="542"/>
      <c r="LZ140" s="542"/>
      <c r="MA140" s="542"/>
      <c r="MB140" s="542"/>
      <c r="MC140" s="542"/>
      <c r="MD140" s="542"/>
      <c r="ME140" s="542"/>
      <c r="MF140" s="542"/>
      <c r="MG140" s="542"/>
      <c r="MH140" s="542"/>
      <c r="MI140" s="542"/>
      <c r="MJ140" s="542"/>
      <c r="MK140" s="542"/>
      <c r="ML140" s="542"/>
      <c r="MM140" s="542"/>
      <c r="MN140" s="542"/>
      <c r="MO140" s="542"/>
      <c r="MP140" s="542"/>
      <c r="MQ140" s="542"/>
      <c r="MR140" s="542"/>
      <c r="MS140" s="542"/>
      <c r="MT140" s="542"/>
      <c r="MU140" s="542"/>
      <c r="MV140" s="542"/>
      <c r="MW140" s="542"/>
      <c r="MX140" s="542"/>
      <c r="MY140" s="542"/>
      <c r="MZ140" s="542"/>
      <c r="NA140" s="542"/>
      <c r="NB140" s="542"/>
      <c r="NC140" s="542"/>
      <c r="ND140" s="542"/>
      <c r="NE140" s="542"/>
      <c r="NF140" s="542"/>
      <c r="NG140" s="542"/>
      <c r="NH140" s="542"/>
      <c r="NI140" s="542"/>
      <c r="NJ140" s="542"/>
      <c r="NK140" s="542"/>
      <c r="NL140" s="542"/>
      <c r="NM140" s="542"/>
      <c r="NN140" s="542"/>
      <c r="NO140" s="542"/>
      <c r="NP140" s="542"/>
      <c r="NQ140" s="542"/>
      <c r="NR140" s="542"/>
      <c r="NS140" s="542"/>
      <c r="NT140" s="542"/>
      <c r="NU140" s="542"/>
      <c r="NV140" s="542"/>
      <c r="NW140" s="542"/>
      <c r="NX140" s="542"/>
      <c r="NY140" s="542"/>
      <c r="NZ140" s="542"/>
      <c r="OA140" s="542"/>
      <c r="OB140" s="542"/>
      <c r="OC140" s="542"/>
      <c r="OD140" s="542"/>
      <c r="OE140" s="542"/>
      <c r="OF140" s="542"/>
      <c r="OG140" s="542"/>
      <c r="OH140" s="542"/>
      <c r="OI140" s="542"/>
      <c r="OJ140" s="542"/>
      <c r="OK140" s="542"/>
      <c r="OL140" s="542"/>
      <c r="OM140" s="542"/>
      <c r="ON140" s="542"/>
      <c r="OO140" s="542"/>
      <c r="OP140" s="542"/>
      <c r="OQ140" s="542"/>
      <c r="OR140" s="542"/>
      <c r="OS140" s="542"/>
      <c r="OT140" s="542"/>
      <c r="OU140" s="542"/>
      <c r="OV140" s="542"/>
      <c r="OW140" s="542"/>
      <c r="OX140" s="542"/>
      <c r="OY140" s="542"/>
      <c r="OZ140" s="542"/>
      <c r="PA140" s="542"/>
      <c r="PB140" s="542"/>
      <c r="PC140" s="542"/>
      <c r="PD140" s="542"/>
      <c r="PE140" s="542"/>
      <c r="PF140" s="542"/>
      <c r="PG140" s="542"/>
      <c r="PH140" s="542"/>
      <c r="PI140" s="542"/>
      <c r="PJ140" s="542"/>
      <c r="PK140" s="542"/>
      <c r="PL140" s="542"/>
      <c r="PM140" s="542"/>
      <c r="PN140" s="542"/>
      <c r="PO140" s="542"/>
      <c r="PP140" s="542"/>
      <c r="PQ140" s="542"/>
      <c r="PR140" s="542"/>
      <c r="PS140" s="542"/>
      <c r="PT140" s="542"/>
      <c r="PU140" s="542"/>
      <c r="PV140" s="542"/>
      <c r="PW140" s="542"/>
      <c r="PX140" s="542"/>
      <c r="PY140" s="542"/>
      <c r="PZ140" s="542"/>
      <c r="QA140" s="542"/>
      <c r="QB140" s="542"/>
      <c r="QC140" s="542"/>
      <c r="QD140" s="542"/>
      <c r="QE140" s="542"/>
      <c r="QF140" s="542"/>
      <c r="QG140" s="542"/>
      <c r="QH140" s="542"/>
      <c r="QI140" s="542"/>
      <c r="QJ140" s="542"/>
      <c r="QK140" s="542"/>
      <c r="QL140" s="542"/>
      <c r="QM140" s="542"/>
      <c r="QN140" s="542"/>
      <c r="QO140" s="542"/>
      <c r="QP140" s="542"/>
      <c r="QQ140" s="542"/>
      <c r="QR140" s="542"/>
      <c r="QS140" s="542"/>
      <c r="QT140" s="542"/>
      <c r="QU140" s="542"/>
      <c r="QV140" s="542"/>
      <c r="QW140" s="542"/>
      <c r="QX140" s="542"/>
      <c r="QY140" s="542"/>
      <c r="QZ140" s="542"/>
      <c r="RA140" s="542"/>
      <c r="RB140" s="542"/>
      <c r="RC140" s="542"/>
      <c r="RD140" s="542"/>
      <c r="RE140" s="542"/>
      <c r="RF140" s="542"/>
      <c r="RG140" s="542"/>
      <c r="RH140" s="542"/>
      <c r="RI140" s="542"/>
      <c r="RJ140" s="542"/>
      <c r="RK140" s="542"/>
      <c r="RL140" s="542"/>
      <c r="RM140" s="542"/>
      <c r="RN140" s="542"/>
      <c r="RO140" s="542"/>
      <c r="RP140" s="542"/>
      <c r="RQ140" s="542"/>
      <c r="RR140" s="542"/>
      <c r="RS140" s="542"/>
      <c r="RT140" s="542"/>
      <c r="RU140" s="542"/>
      <c r="RV140" s="542"/>
      <c r="RW140" s="542"/>
      <c r="RX140" s="542"/>
      <c r="RY140" s="542"/>
      <c r="RZ140" s="542"/>
      <c r="SA140" s="542"/>
      <c r="SB140" s="542"/>
    </row>
    <row r="141" spans="1:496" ht="15" customHeight="1" x14ac:dyDescent="0.2">
      <c r="B141" s="3101" t="s">
        <v>521</v>
      </c>
      <c r="C141" s="3101"/>
      <c r="D141" s="3101"/>
      <c r="E141" s="3101"/>
      <c r="F141" s="3101"/>
      <c r="G141" s="3101"/>
      <c r="H141" s="3101"/>
      <c r="I141" s="3101"/>
      <c r="J141" s="559"/>
      <c r="K141" s="564"/>
      <c r="L141" s="564"/>
      <c r="M141" s="575"/>
      <c r="N141" s="565"/>
      <c r="O141" s="576"/>
      <c r="P141" s="562"/>
      <c r="Q141" s="567"/>
      <c r="R141" s="210"/>
      <c r="S141" s="577"/>
      <c r="T141" s="578"/>
      <c r="U141" s="570"/>
      <c r="V141" s="224"/>
      <c r="W141" s="224"/>
      <c r="X141" s="224"/>
      <c r="Y141" s="224"/>
      <c r="Z141" s="224"/>
      <c r="AA141" s="224"/>
      <c r="AB141" s="224"/>
      <c r="AC141" s="224"/>
      <c r="AD141" s="224"/>
      <c r="AE141" s="224"/>
      <c r="AF141" s="224"/>
      <c r="AG141" s="224"/>
      <c r="AH141" s="224"/>
      <c r="AI141" s="224"/>
      <c r="AJ141" s="224"/>
      <c r="AM141" s="571"/>
      <c r="AN141" s="557"/>
      <c r="AO141" s="557"/>
      <c r="AP141" s="557"/>
      <c r="AQ141" s="557"/>
      <c r="AR141" s="557"/>
      <c r="AS141" s="542"/>
      <c r="AT141" s="542"/>
      <c r="AU141" s="542"/>
      <c r="AV141" s="542"/>
      <c r="AW141" s="542"/>
      <c r="AX141" s="542"/>
      <c r="AY141" s="542"/>
      <c r="AZ141" s="542"/>
      <c r="BA141" s="542"/>
      <c r="BB141" s="542"/>
      <c r="BC141" s="542"/>
      <c r="BD141" s="542"/>
      <c r="BE141" s="542"/>
      <c r="BF141" s="542"/>
      <c r="BG141" s="542"/>
      <c r="BH141" s="542"/>
      <c r="BI141" s="542"/>
      <c r="BJ141" s="542"/>
      <c r="BK141" s="542"/>
      <c r="BL141" s="542"/>
      <c r="BM141" s="542"/>
      <c r="BN141" s="542"/>
      <c r="BO141" s="542"/>
      <c r="BP141" s="542"/>
      <c r="BQ141" s="542"/>
      <c r="BR141" s="542"/>
      <c r="BS141" s="542"/>
      <c r="BT141" s="542"/>
      <c r="BU141" s="542"/>
      <c r="BV141" s="542"/>
      <c r="BW141" s="542"/>
      <c r="BX141" s="542"/>
      <c r="BY141" s="542"/>
      <c r="BZ141" s="542"/>
      <c r="CA141" s="542"/>
      <c r="CB141" s="542"/>
      <c r="CC141" s="542"/>
      <c r="CD141" s="542"/>
      <c r="CE141" s="542"/>
      <c r="CF141" s="542"/>
      <c r="CG141" s="542"/>
      <c r="CH141" s="542"/>
      <c r="CI141" s="542"/>
      <c r="CJ141" s="542"/>
      <c r="CK141" s="542"/>
      <c r="CL141" s="542"/>
      <c r="CM141" s="542"/>
      <c r="CN141" s="542"/>
      <c r="CO141" s="542"/>
      <c r="CP141" s="542"/>
      <c r="CQ141" s="542"/>
      <c r="CR141" s="542"/>
      <c r="CS141" s="542"/>
      <c r="CT141" s="542"/>
      <c r="CU141" s="542"/>
      <c r="CV141" s="542"/>
      <c r="CW141" s="542"/>
      <c r="CX141" s="542"/>
      <c r="CY141" s="542"/>
      <c r="CZ141" s="542"/>
      <c r="DA141" s="542"/>
      <c r="DB141" s="542"/>
      <c r="DC141" s="542"/>
      <c r="DD141" s="542"/>
      <c r="DE141" s="542"/>
      <c r="DF141" s="542"/>
      <c r="DG141" s="542"/>
      <c r="DH141" s="542"/>
      <c r="DI141" s="542"/>
      <c r="DJ141" s="542"/>
      <c r="DK141" s="542"/>
      <c r="DL141" s="542"/>
      <c r="DM141" s="542"/>
      <c r="DN141" s="542"/>
      <c r="DO141" s="542"/>
      <c r="DP141" s="542"/>
      <c r="DQ141" s="542"/>
      <c r="DR141" s="542"/>
      <c r="DS141" s="542"/>
      <c r="DT141" s="542"/>
      <c r="DU141" s="542"/>
      <c r="DV141" s="542"/>
      <c r="DW141" s="542"/>
      <c r="DX141" s="542"/>
      <c r="DY141" s="542"/>
      <c r="DZ141" s="542"/>
      <c r="EA141" s="542"/>
      <c r="EB141" s="542"/>
      <c r="EC141" s="542"/>
      <c r="ED141" s="542"/>
      <c r="EE141" s="542"/>
      <c r="EF141" s="542"/>
      <c r="EG141" s="542"/>
      <c r="EH141" s="542"/>
      <c r="EI141" s="542"/>
      <c r="EJ141" s="542"/>
      <c r="EK141" s="542"/>
      <c r="EL141" s="542"/>
      <c r="EM141" s="542"/>
      <c r="EN141" s="542"/>
      <c r="EO141" s="542"/>
      <c r="EP141" s="542"/>
      <c r="EQ141" s="542"/>
      <c r="ER141" s="542"/>
      <c r="ES141" s="542"/>
      <c r="ET141" s="542"/>
      <c r="EU141" s="542"/>
      <c r="EV141" s="542"/>
      <c r="EW141" s="542"/>
      <c r="EX141" s="542"/>
      <c r="EY141" s="542"/>
      <c r="EZ141" s="542"/>
      <c r="FA141" s="542"/>
      <c r="FB141" s="542"/>
      <c r="FC141" s="542"/>
      <c r="FD141" s="542"/>
      <c r="FE141" s="542"/>
      <c r="FF141" s="542"/>
      <c r="FG141" s="542"/>
      <c r="FH141" s="542"/>
      <c r="FI141" s="542"/>
      <c r="FJ141" s="542"/>
      <c r="FK141" s="542"/>
      <c r="FL141" s="542"/>
      <c r="FM141" s="542"/>
      <c r="FN141" s="542"/>
      <c r="FO141" s="542"/>
      <c r="FP141" s="542"/>
      <c r="FQ141" s="542"/>
      <c r="FR141" s="542"/>
      <c r="FS141" s="542"/>
      <c r="FT141" s="542"/>
      <c r="FU141" s="542"/>
      <c r="FV141" s="542"/>
      <c r="FW141" s="542"/>
      <c r="FX141" s="542"/>
      <c r="FY141" s="542"/>
      <c r="FZ141" s="542"/>
      <c r="GA141" s="542"/>
      <c r="GB141" s="542"/>
      <c r="GC141" s="542"/>
      <c r="GD141" s="542"/>
      <c r="GE141" s="542"/>
      <c r="GF141" s="542"/>
      <c r="GG141" s="542"/>
      <c r="GH141" s="542"/>
      <c r="GI141" s="542"/>
      <c r="GJ141" s="542"/>
      <c r="GK141" s="542"/>
      <c r="GL141" s="542"/>
      <c r="GM141" s="542"/>
      <c r="GN141" s="542"/>
      <c r="GO141" s="542"/>
      <c r="GP141" s="542"/>
      <c r="GQ141" s="542"/>
      <c r="GR141" s="542"/>
      <c r="GS141" s="542"/>
      <c r="GT141" s="542"/>
      <c r="GU141" s="542"/>
      <c r="GV141" s="542"/>
      <c r="GW141" s="542"/>
      <c r="GX141" s="542"/>
      <c r="GY141" s="542"/>
      <c r="GZ141" s="542"/>
      <c r="HA141" s="542"/>
      <c r="HB141" s="542"/>
      <c r="HC141" s="542"/>
      <c r="HD141" s="542"/>
      <c r="HE141" s="542"/>
      <c r="HF141" s="542"/>
      <c r="HG141" s="542"/>
      <c r="HH141" s="542"/>
      <c r="HI141" s="542"/>
      <c r="HJ141" s="542"/>
      <c r="HK141" s="542"/>
      <c r="HL141" s="542"/>
      <c r="HM141" s="542"/>
      <c r="HN141" s="542"/>
      <c r="HO141" s="542"/>
      <c r="HP141" s="542"/>
      <c r="HQ141" s="542"/>
      <c r="HR141" s="542"/>
      <c r="HS141" s="542"/>
      <c r="HT141" s="542"/>
      <c r="HU141" s="542"/>
      <c r="HV141" s="542"/>
      <c r="HW141" s="542"/>
      <c r="HX141" s="542"/>
      <c r="HY141" s="542"/>
      <c r="HZ141" s="542"/>
      <c r="IA141" s="542"/>
      <c r="IB141" s="542"/>
      <c r="IC141" s="542"/>
      <c r="ID141" s="542"/>
      <c r="IE141" s="542"/>
      <c r="IF141" s="542"/>
      <c r="IG141" s="542"/>
      <c r="IH141" s="542"/>
      <c r="II141" s="542"/>
      <c r="IJ141" s="542"/>
      <c r="IK141" s="542"/>
      <c r="IL141" s="542"/>
      <c r="IM141" s="542"/>
      <c r="IN141" s="542"/>
      <c r="IO141" s="542"/>
      <c r="IP141" s="542"/>
      <c r="IQ141" s="542"/>
      <c r="IR141" s="542"/>
      <c r="IS141" s="542"/>
      <c r="IT141" s="542"/>
      <c r="IU141" s="542"/>
      <c r="IV141" s="542"/>
      <c r="IW141" s="542"/>
      <c r="IX141" s="542"/>
      <c r="IY141" s="542"/>
      <c r="IZ141" s="542"/>
      <c r="JA141" s="542"/>
      <c r="JB141" s="542"/>
      <c r="JC141" s="542"/>
      <c r="JD141" s="542"/>
      <c r="JE141" s="542"/>
      <c r="JF141" s="542"/>
      <c r="JG141" s="542"/>
      <c r="JH141" s="542"/>
      <c r="JI141" s="542"/>
      <c r="JJ141" s="542"/>
      <c r="JK141" s="542"/>
      <c r="JL141" s="542"/>
      <c r="JM141" s="542"/>
      <c r="JN141" s="542"/>
      <c r="JO141" s="542"/>
      <c r="JP141" s="542"/>
      <c r="JQ141" s="542"/>
      <c r="JR141" s="542"/>
      <c r="JS141" s="542"/>
      <c r="JT141" s="542"/>
      <c r="JU141" s="542"/>
      <c r="JV141" s="542"/>
      <c r="JW141" s="542"/>
      <c r="JX141" s="542"/>
      <c r="JY141" s="542"/>
      <c r="JZ141" s="542"/>
      <c r="KA141" s="542"/>
      <c r="KB141" s="542"/>
      <c r="KC141" s="542"/>
      <c r="KD141" s="542"/>
      <c r="KE141" s="542"/>
      <c r="KF141" s="542"/>
      <c r="KG141" s="542"/>
      <c r="KH141" s="542"/>
      <c r="KI141" s="542"/>
      <c r="KJ141" s="542"/>
      <c r="KK141" s="542"/>
      <c r="KL141" s="542"/>
      <c r="KM141" s="542"/>
      <c r="KN141" s="542"/>
      <c r="KO141" s="542"/>
      <c r="KP141" s="542"/>
      <c r="KQ141" s="542"/>
      <c r="KR141" s="542"/>
      <c r="KS141" s="542"/>
      <c r="KT141" s="542"/>
      <c r="KU141" s="542"/>
      <c r="KV141" s="542"/>
      <c r="KW141" s="542"/>
      <c r="KX141" s="542"/>
      <c r="KY141" s="542"/>
      <c r="KZ141" s="542"/>
      <c r="LA141" s="542"/>
      <c r="LB141" s="542"/>
      <c r="LC141" s="542"/>
      <c r="LD141" s="542"/>
      <c r="LE141" s="542"/>
      <c r="LF141" s="542"/>
      <c r="LG141" s="542"/>
      <c r="LH141" s="542"/>
      <c r="LI141" s="542"/>
      <c r="LJ141" s="542"/>
      <c r="LK141" s="542"/>
      <c r="LL141" s="542"/>
      <c r="LM141" s="542"/>
      <c r="LN141" s="542"/>
      <c r="LO141" s="542"/>
      <c r="LP141" s="542"/>
      <c r="LQ141" s="542"/>
      <c r="LR141" s="542"/>
      <c r="LS141" s="542"/>
      <c r="LT141" s="542"/>
      <c r="LU141" s="542"/>
      <c r="LV141" s="542"/>
      <c r="LW141" s="542"/>
      <c r="LX141" s="542"/>
      <c r="LY141" s="542"/>
      <c r="LZ141" s="542"/>
      <c r="MA141" s="542"/>
      <c r="MB141" s="542"/>
      <c r="MC141" s="542"/>
      <c r="MD141" s="542"/>
      <c r="ME141" s="542"/>
      <c r="MF141" s="542"/>
      <c r="MG141" s="542"/>
      <c r="MH141" s="542"/>
      <c r="MI141" s="542"/>
      <c r="MJ141" s="542"/>
      <c r="MK141" s="542"/>
      <c r="ML141" s="542"/>
      <c r="MM141" s="542"/>
      <c r="MN141" s="542"/>
      <c r="MO141" s="542"/>
      <c r="MP141" s="542"/>
      <c r="MQ141" s="542"/>
      <c r="MR141" s="542"/>
      <c r="MS141" s="542"/>
      <c r="MT141" s="542"/>
      <c r="MU141" s="542"/>
      <c r="MV141" s="542"/>
      <c r="MW141" s="542"/>
      <c r="MX141" s="542"/>
      <c r="MY141" s="542"/>
      <c r="MZ141" s="542"/>
      <c r="NA141" s="542"/>
      <c r="NB141" s="542"/>
      <c r="NC141" s="542"/>
      <c r="ND141" s="542"/>
      <c r="NE141" s="542"/>
      <c r="NF141" s="542"/>
      <c r="NG141" s="542"/>
      <c r="NH141" s="542"/>
      <c r="NI141" s="542"/>
      <c r="NJ141" s="542"/>
      <c r="NK141" s="542"/>
      <c r="NL141" s="542"/>
      <c r="NM141" s="542"/>
      <c r="NN141" s="542"/>
      <c r="NO141" s="542"/>
      <c r="NP141" s="542"/>
      <c r="NQ141" s="542"/>
      <c r="NR141" s="542"/>
      <c r="NS141" s="542"/>
      <c r="NT141" s="542"/>
      <c r="NU141" s="542"/>
      <c r="NV141" s="542"/>
      <c r="NW141" s="542"/>
      <c r="NX141" s="542"/>
      <c r="NY141" s="542"/>
      <c r="NZ141" s="542"/>
      <c r="OA141" s="542"/>
      <c r="OB141" s="542"/>
      <c r="OC141" s="542"/>
      <c r="OD141" s="542"/>
      <c r="OE141" s="542"/>
      <c r="OF141" s="542"/>
      <c r="OG141" s="542"/>
      <c r="OH141" s="542"/>
      <c r="OI141" s="542"/>
      <c r="OJ141" s="542"/>
      <c r="OK141" s="542"/>
      <c r="OL141" s="542"/>
      <c r="OM141" s="542"/>
      <c r="ON141" s="542"/>
      <c r="OO141" s="542"/>
      <c r="OP141" s="542"/>
      <c r="OQ141" s="542"/>
      <c r="OR141" s="542"/>
      <c r="OS141" s="542"/>
      <c r="OT141" s="542"/>
      <c r="OU141" s="542"/>
      <c r="OV141" s="542"/>
      <c r="OW141" s="542"/>
      <c r="OX141" s="542"/>
      <c r="OY141" s="542"/>
      <c r="OZ141" s="542"/>
      <c r="PA141" s="542"/>
      <c r="PB141" s="542"/>
      <c r="PC141" s="542"/>
      <c r="PD141" s="542"/>
      <c r="PE141" s="542"/>
      <c r="PF141" s="542"/>
      <c r="PG141" s="542"/>
      <c r="PH141" s="542"/>
      <c r="PI141" s="542"/>
      <c r="PJ141" s="542"/>
      <c r="PK141" s="542"/>
      <c r="PL141" s="542"/>
      <c r="PM141" s="542"/>
      <c r="PN141" s="542"/>
      <c r="PO141" s="542"/>
      <c r="PP141" s="542"/>
      <c r="PQ141" s="542"/>
      <c r="PR141" s="542"/>
      <c r="PS141" s="542"/>
      <c r="PT141" s="542"/>
      <c r="PU141" s="542"/>
      <c r="PV141" s="542"/>
      <c r="PW141" s="542"/>
      <c r="PX141" s="542"/>
      <c r="PY141" s="542"/>
      <c r="PZ141" s="542"/>
      <c r="QA141" s="542"/>
      <c r="QB141" s="542"/>
      <c r="QC141" s="542"/>
      <c r="QD141" s="542"/>
      <c r="QE141" s="542"/>
      <c r="QF141" s="542"/>
      <c r="QG141" s="542"/>
      <c r="QH141" s="542"/>
      <c r="QI141" s="542"/>
      <c r="QJ141" s="542"/>
      <c r="QK141" s="542"/>
      <c r="QL141" s="542"/>
      <c r="QM141" s="542"/>
      <c r="QN141" s="542"/>
      <c r="QO141" s="542"/>
      <c r="QP141" s="542"/>
      <c r="QQ141" s="542"/>
      <c r="QR141" s="542"/>
      <c r="QS141" s="542"/>
      <c r="QT141" s="542"/>
      <c r="QU141" s="542"/>
      <c r="QV141" s="542"/>
      <c r="QW141" s="542"/>
      <c r="QX141" s="542"/>
      <c r="QY141" s="542"/>
      <c r="QZ141" s="542"/>
      <c r="RA141" s="542"/>
      <c r="RB141" s="542"/>
      <c r="RC141" s="542"/>
      <c r="RD141" s="542"/>
      <c r="RE141" s="542"/>
      <c r="RF141" s="542"/>
      <c r="RG141" s="542"/>
      <c r="RH141" s="542"/>
      <c r="RI141" s="542"/>
      <c r="RJ141" s="542"/>
      <c r="RK141" s="542"/>
      <c r="RL141" s="542"/>
      <c r="RM141" s="542"/>
      <c r="RN141" s="542"/>
      <c r="RO141" s="542"/>
      <c r="RP141" s="542"/>
      <c r="RQ141" s="542"/>
      <c r="RR141" s="542"/>
      <c r="RS141" s="542"/>
      <c r="RT141" s="542"/>
      <c r="RU141" s="542"/>
      <c r="RV141" s="542"/>
      <c r="RW141" s="542"/>
      <c r="RX141" s="542"/>
      <c r="RY141" s="542"/>
      <c r="RZ141" s="542"/>
      <c r="SA141" s="542"/>
      <c r="SB141" s="542"/>
    </row>
    <row r="142" spans="1:496" x14ac:dyDescent="0.2">
      <c r="A142" s="224"/>
      <c r="B142" s="572"/>
      <c r="C142" s="572"/>
      <c r="D142" s="224"/>
      <c r="E142" s="559"/>
      <c r="F142" s="579"/>
      <c r="G142" s="559"/>
      <c r="H142" s="580"/>
      <c r="I142" s="580"/>
      <c r="J142" s="559"/>
      <c r="K142" s="564"/>
      <c r="L142" s="564"/>
      <c r="M142" s="575"/>
      <c r="N142" s="565"/>
      <c r="O142" s="581"/>
      <c r="P142" s="575"/>
      <c r="Q142" s="575"/>
      <c r="R142" s="567"/>
      <c r="S142" s="582"/>
      <c r="T142" s="569"/>
      <c r="U142" s="570"/>
      <c r="V142" s="224"/>
      <c r="W142" s="224"/>
      <c r="X142" s="224"/>
      <c r="Y142" s="224"/>
      <c r="Z142" s="224"/>
      <c r="AA142" s="224"/>
      <c r="AB142" s="224"/>
      <c r="AC142" s="224"/>
      <c r="AD142" s="224"/>
      <c r="AE142" s="224"/>
      <c r="AF142" s="224"/>
      <c r="AG142" s="224"/>
      <c r="AH142" s="224"/>
      <c r="AI142" s="224"/>
      <c r="AJ142" s="224"/>
      <c r="AM142" s="571"/>
      <c r="AN142" s="557"/>
      <c r="AO142" s="557"/>
      <c r="AP142" s="557"/>
      <c r="AQ142" s="557"/>
      <c r="AR142" s="557"/>
      <c r="AS142" s="542"/>
      <c r="AT142" s="542"/>
      <c r="AU142" s="542"/>
      <c r="AV142" s="542"/>
      <c r="AW142" s="542"/>
      <c r="AX142" s="542"/>
      <c r="AY142" s="542"/>
      <c r="AZ142" s="542"/>
      <c r="BA142" s="542"/>
      <c r="BB142" s="542"/>
      <c r="BC142" s="542"/>
      <c r="BD142" s="542"/>
      <c r="BE142" s="542"/>
      <c r="BF142" s="542"/>
      <c r="BG142" s="542"/>
      <c r="BH142" s="542"/>
      <c r="BI142" s="542"/>
      <c r="BJ142" s="542"/>
      <c r="BK142" s="542"/>
      <c r="BL142" s="542"/>
      <c r="BM142" s="542"/>
      <c r="BN142" s="542"/>
      <c r="BO142" s="542"/>
      <c r="BP142" s="542"/>
      <c r="BQ142" s="542"/>
      <c r="BR142" s="542"/>
      <c r="BS142" s="542"/>
      <c r="BT142" s="542"/>
      <c r="BU142" s="542"/>
      <c r="BV142" s="542"/>
      <c r="BW142" s="542"/>
      <c r="BX142" s="542"/>
      <c r="BY142" s="542"/>
      <c r="BZ142" s="542"/>
      <c r="CA142" s="542"/>
      <c r="CB142" s="542"/>
      <c r="CC142" s="542"/>
      <c r="CD142" s="542"/>
      <c r="CE142" s="542"/>
      <c r="CF142" s="542"/>
      <c r="CG142" s="542"/>
      <c r="CH142" s="542"/>
      <c r="CI142" s="542"/>
      <c r="CJ142" s="542"/>
      <c r="CK142" s="542"/>
      <c r="CL142" s="542"/>
      <c r="CM142" s="542"/>
      <c r="CN142" s="542"/>
      <c r="CO142" s="542"/>
      <c r="CP142" s="542"/>
      <c r="CQ142" s="542"/>
      <c r="CR142" s="542"/>
      <c r="CS142" s="542"/>
      <c r="CT142" s="542"/>
      <c r="CU142" s="542"/>
      <c r="CV142" s="542"/>
      <c r="CW142" s="542"/>
      <c r="CX142" s="542"/>
      <c r="CY142" s="542"/>
      <c r="CZ142" s="542"/>
      <c r="DA142" s="542"/>
      <c r="DB142" s="542"/>
      <c r="DC142" s="542"/>
      <c r="DD142" s="542"/>
      <c r="DE142" s="542"/>
      <c r="DF142" s="542"/>
      <c r="DG142" s="542"/>
      <c r="DH142" s="542"/>
      <c r="DI142" s="542"/>
      <c r="DJ142" s="542"/>
      <c r="DK142" s="542"/>
      <c r="DL142" s="542"/>
      <c r="DM142" s="542"/>
      <c r="DN142" s="542"/>
      <c r="DO142" s="542"/>
      <c r="DP142" s="542"/>
      <c r="DQ142" s="542"/>
      <c r="DR142" s="542"/>
      <c r="DS142" s="542"/>
      <c r="DT142" s="542"/>
      <c r="DU142" s="542"/>
      <c r="DV142" s="542"/>
      <c r="DW142" s="542"/>
      <c r="DX142" s="542"/>
      <c r="DY142" s="542"/>
      <c r="DZ142" s="542"/>
      <c r="EA142" s="542"/>
      <c r="EB142" s="542"/>
      <c r="EC142" s="542"/>
      <c r="ED142" s="542"/>
      <c r="EE142" s="542"/>
      <c r="EF142" s="542"/>
      <c r="EG142" s="542"/>
      <c r="EH142" s="542"/>
      <c r="EI142" s="542"/>
      <c r="EJ142" s="542"/>
      <c r="EK142" s="542"/>
      <c r="EL142" s="542"/>
      <c r="EM142" s="542"/>
      <c r="EN142" s="542"/>
      <c r="EO142" s="542"/>
      <c r="EP142" s="542"/>
      <c r="EQ142" s="542"/>
      <c r="ER142" s="542"/>
      <c r="ES142" s="542"/>
      <c r="ET142" s="542"/>
      <c r="EU142" s="542"/>
      <c r="EV142" s="542"/>
      <c r="EW142" s="542"/>
      <c r="EX142" s="542"/>
      <c r="EY142" s="542"/>
      <c r="EZ142" s="542"/>
      <c r="FA142" s="542"/>
      <c r="FB142" s="542"/>
      <c r="FC142" s="542"/>
      <c r="FD142" s="542"/>
      <c r="FE142" s="542"/>
      <c r="FF142" s="542"/>
      <c r="FG142" s="542"/>
      <c r="FH142" s="542"/>
      <c r="FI142" s="542"/>
      <c r="FJ142" s="542"/>
      <c r="FK142" s="542"/>
      <c r="FL142" s="542"/>
      <c r="FM142" s="542"/>
      <c r="FN142" s="542"/>
      <c r="FO142" s="542"/>
      <c r="FP142" s="542"/>
      <c r="FQ142" s="542"/>
      <c r="FR142" s="542"/>
      <c r="FS142" s="542"/>
      <c r="FT142" s="542"/>
      <c r="FU142" s="542"/>
      <c r="FV142" s="542"/>
      <c r="FW142" s="542"/>
      <c r="FX142" s="542"/>
      <c r="FY142" s="542"/>
      <c r="FZ142" s="542"/>
      <c r="GA142" s="542"/>
      <c r="GB142" s="542"/>
      <c r="GC142" s="542"/>
      <c r="GD142" s="542"/>
      <c r="GE142" s="542"/>
      <c r="GF142" s="542"/>
      <c r="GG142" s="542"/>
      <c r="GH142" s="542"/>
      <c r="GI142" s="542"/>
      <c r="GJ142" s="542"/>
      <c r="GK142" s="542"/>
      <c r="GL142" s="542"/>
      <c r="GM142" s="542"/>
      <c r="GN142" s="542"/>
      <c r="GO142" s="542"/>
      <c r="GP142" s="542"/>
      <c r="GQ142" s="542"/>
      <c r="GR142" s="542"/>
      <c r="GS142" s="542"/>
      <c r="GT142" s="542"/>
      <c r="GU142" s="542"/>
      <c r="GV142" s="542"/>
      <c r="GW142" s="542"/>
      <c r="GX142" s="542"/>
      <c r="GY142" s="542"/>
      <c r="GZ142" s="542"/>
      <c r="HA142" s="542"/>
      <c r="HB142" s="542"/>
      <c r="HC142" s="542"/>
      <c r="HD142" s="542"/>
      <c r="HE142" s="542"/>
      <c r="HF142" s="542"/>
      <c r="HG142" s="542"/>
      <c r="HH142" s="542"/>
      <c r="HI142" s="542"/>
      <c r="HJ142" s="542"/>
      <c r="HK142" s="542"/>
      <c r="HL142" s="542"/>
      <c r="HM142" s="542"/>
      <c r="HN142" s="542"/>
      <c r="HO142" s="542"/>
      <c r="HP142" s="542"/>
      <c r="HQ142" s="542"/>
      <c r="HR142" s="542"/>
      <c r="HS142" s="542"/>
      <c r="HT142" s="542"/>
      <c r="HU142" s="542"/>
      <c r="HV142" s="542"/>
      <c r="HW142" s="542"/>
      <c r="HX142" s="542"/>
      <c r="HY142" s="542"/>
      <c r="HZ142" s="542"/>
      <c r="IA142" s="542"/>
      <c r="IB142" s="542"/>
      <c r="IC142" s="542"/>
      <c r="ID142" s="542"/>
      <c r="IE142" s="542"/>
      <c r="IF142" s="542"/>
      <c r="IG142" s="542"/>
      <c r="IH142" s="542"/>
      <c r="II142" s="542"/>
      <c r="IJ142" s="542"/>
      <c r="IK142" s="542"/>
      <c r="IL142" s="542"/>
      <c r="IM142" s="542"/>
      <c r="IN142" s="542"/>
      <c r="IO142" s="542"/>
      <c r="IP142" s="542"/>
      <c r="IQ142" s="542"/>
      <c r="IR142" s="542"/>
      <c r="IS142" s="542"/>
      <c r="IT142" s="542"/>
      <c r="IU142" s="542"/>
      <c r="IV142" s="542"/>
      <c r="IW142" s="542"/>
      <c r="IX142" s="542"/>
      <c r="IY142" s="542"/>
      <c r="IZ142" s="542"/>
      <c r="JA142" s="542"/>
      <c r="JB142" s="542"/>
      <c r="JC142" s="542"/>
      <c r="JD142" s="542"/>
      <c r="JE142" s="542"/>
      <c r="JF142" s="542"/>
      <c r="JG142" s="542"/>
      <c r="JH142" s="542"/>
      <c r="JI142" s="542"/>
      <c r="JJ142" s="542"/>
      <c r="JK142" s="542"/>
      <c r="JL142" s="542"/>
      <c r="JM142" s="542"/>
      <c r="JN142" s="542"/>
      <c r="JO142" s="542"/>
      <c r="JP142" s="542"/>
      <c r="JQ142" s="542"/>
      <c r="JR142" s="542"/>
      <c r="JS142" s="542"/>
      <c r="JT142" s="542"/>
      <c r="JU142" s="542"/>
      <c r="JV142" s="542"/>
      <c r="JW142" s="542"/>
      <c r="JX142" s="542"/>
      <c r="JY142" s="542"/>
      <c r="JZ142" s="542"/>
      <c r="KA142" s="542"/>
      <c r="KB142" s="542"/>
      <c r="KC142" s="542"/>
      <c r="KD142" s="542"/>
      <c r="KE142" s="542"/>
      <c r="KF142" s="542"/>
      <c r="KG142" s="542"/>
      <c r="KH142" s="542"/>
      <c r="KI142" s="542"/>
      <c r="KJ142" s="542"/>
      <c r="KK142" s="542"/>
      <c r="KL142" s="542"/>
      <c r="KM142" s="542"/>
      <c r="KN142" s="542"/>
      <c r="KO142" s="542"/>
      <c r="KP142" s="542"/>
      <c r="KQ142" s="542"/>
      <c r="KR142" s="542"/>
      <c r="KS142" s="542"/>
      <c r="KT142" s="542"/>
      <c r="KU142" s="542"/>
      <c r="KV142" s="542"/>
      <c r="KW142" s="542"/>
      <c r="KX142" s="542"/>
      <c r="KY142" s="542"/>
      <c r="KZ142" s="542"/>
      <c r="LA142" s="542"/>
      <c r="LB142" s="542"/>
      <c r="LC142" s="542"/>
      <c r="LD142" s="542"/>
      <c r="LE142" s="542"/>
      <c r="LF142" s="542"/>
      <c r="LG142" s="542"/>
      <c r="LH142" s="542"/>
      <c r="LI142" s="542"/>
      <c r="LJ142" s="542"/>
      <c r="LK142" s="542"/>
      <c r="LL142" s="542"/>
      <c r="LM142" s="542"/>
      <c r="LN142" s="542"/>
      <c r="LO142" s="542"/>
      <c r="LP142" s="542"/>
      <c r="LQ142" s="542"/>
      <c r="LR142" s="542"/>
      <c r="LS142" s="542"/>
      <c r="LT142" s="542"/>
      <c r="LU142" s="542"/>
      <c r="LV142" s="542"/>
      <c r="LW142" s="542"/>
      <c r="LX142" s="542"/>
      <c r="LY142" s="542"/>
      <c r="LZ142" s="542"/>
      <c r="MA142" s="542"/>
      <c r="MB142" s="542"/>
      <c r="MC142" s="542"/>
      <c r="MD142" s="542"/>
      <c r="ME142" s="542"/>
      <c r="MF142" s="542"/>
      <c r="MG142" s="542"/>
      <c r="MH142" s="542"/>
      <c r="MI142" s="542"/>
      <c r="MJ142" s="542"/>
      <c r="MK142" s="542"/>
      <c r="ML142" s="542"/>
      <c r="MM142" s="542"/>
      <c r="MN142" s="542"/>
      <c r="MO142" s="542"/>
      <c r="MP142" s="542"/>
      <c r="MQ142" s="542"/>
      <c r="MR142" s="542"/>
      <c r="MS142" s="542"/>
      <c r="MT142" s="542"/>
      <c r="MU142" s="542"/>
      <c r="MV142" s="542"/>
      <c r="MW142" s="542"/>
      <c r="MX142" s="542"/>
      <c r="MY142" s="542"/>
      <c r="MZ142" s="542"/>
      <c r="NA142" s="542"/>
      <c r="NB142" s="542"/>
      <c r="NC142" s="542"/>
      <c r="ND142" s="542"/>
      <c r="NE142" s="542"/>
      <c r="NF142" s="542"/>
      <c r="NG142" s="542"/>
      <c r="NH142" s="542"/>
      <c r="NI142" s="542"/>
      <c r="NJ142" s="542"/>
      <c r="NK142" s="542"/>
      <c r="NL142" s="542"/>
      <c r="NM142" s="542"/>
      <c r="NN142" s="542"/>
      <c r="NO142" s="542"/>
      <c r="NP142" s="542"/>
      <c r="NQ142" s="542"/>
      <c r="NR142" s="542"/>
      <c r="NS142" s="542"/>
      <c r="NT142" s="542"/>
      <c r="NU142" s="542"/>
      <c r="NV142" s="542"/>
      <c r="NW142" s="542"/>
      <c r="NX142" s="542"/>
      <c r="NY142" s="542"/>
      <c r="NZ142" s="542"/>
      <c r="OA142" s="542"/>
      <c r="OB142" s="542"/>
      <c r="OC142" s="542"/>
      <c r="OD142" s="542"/>
      <c r="OE142" s="542"/>
      <c r="OF142" s="542"/>
      <c r="OG142" s="542"/>
      <c r="OH142" s="542"/>
      <c r="OI142" s="542"/>
      <c r="OJ142" s="542"/>
      <c r="OK142" s="542"/>
      <c r="OL142" s="542"/>
      <c r="OM142" s="542"/>
      <c r="ON142" s="542"/>
      <c r="OO142" s="542"/>
      <c r="OP142" s="542"/>
      <c r="OQ142" s="542"/>
      <c r="OR142" s="542"/>
      <c r="OS142" s="542"/>
      <c r="OT142" s="542"/>
      <c r="OU142" s="542"/>
      <c r="OV142" s="542"/>
      <c r="OW142" s="542"/>
      <c r="OX142" s="542"/>
      <c r="OY142" s="542"/>
      <c r="OZ142" s="542"/>
      <c r="PA142" s="542"/>
      <c r="PB142" s="542"/>
      <c r="PC142" s="542"/>
      <c r="PD142" s="542"/>
      <c r="PE142" s="542"/>
      <c r="PF142" s="542"/>
      <c r="PG142" s="542"/>
      <c r="PH142" s="542"/>
      <c r="PI142" s="542"/>
      <c r="PJ142" s="542"/>
      <c r="PK142" s="542"/>
      <c r="PL142" s="542"/>
      <c r="PM142" s="542"/>
      <c r="PN142" s="542"/>
      <c r="PO142" s="542"/>
      <c r="PP142" s="542"/>
      <c r="PQ142" s="542"/>
      <c r="PR142" s="542"/>
      <c r="PS142" s="542"/>
      <c r="PT142" s="542"/>
      <c r="PU142" s="542"/>
      <c r="PV142" s="542"/>
      <c r="PW142" s="542"/>
      <c r="PX142" s="542"/>
      <c r="PY142" s="542"/>
      <c r="PZ142" s="542"/>
      <c r="QA142" s="542"/>
      <c r="QB142" s="542"/>
      <c r="QC142" s="542"/>
      <c r="QD142" s="542"/>
      <c r="QE142" s="542"/>
      <c r="QF142" s="542"/>
      <c r="QG142" s="542"/>
      <c r="QH142" s="542"/>
      <c r="QI142" s="542"/>
      <c r="QJ142" s="542"/>
      <c r="QK142" s="542"/>
      <c r="QL142" s="542"/>
      <c r="QM142" s="542"/>
      <c r="QN142" s="542"/>
      <c r="QO142" s="542"/>
      <c r="QP142" s="542"/>
      <c r="QQ142" s="542"/>
      <c r="QR142" s="542"/>
      <c r="QS142" s="542"/>
      <c r="QT142" s="542"/>
      <c r="QU142" s="542"/>
      <c r="QV142" s="542"/>
      <c r="QW142" s="542"/>
      <c r="QX142" s="542"/>
      <c r="QY142" s="542"/>
      <c r="QZ142" s="542"/>
      <c r="RA142" s="542"/>
      <c r="RB142" s="542"/>
      <c r="RC142" s="542"/>
      <c r="RD142" s="542"/>
      <c r="RE142" s="542"/>
      <c r="RF142" s="542"/>
      <c r="RG142" s="542"/>
      <c r="RH142" s="542"/>
      <c r="RI142" s="542"/>
      <c r="RJ142" s="542"/>
      <c r="RK142" s="542"/>
      <c r="RL142" s="542"/>
      <c r="RM142" s="542"/>
      <c r="RN142" s="542"/>
      <c r="RO142" s="542"/>
      <c r="RP142" s="542"/>
      <c r="RQ142" s="542"/>
      <c r="RR142" s="542"/>
      <c r="RS142" s="542"/>
      <c r="RT142" s="542"/>
      <c r="RU142" s="542"/>
      <c r="RV142" s="542"/>
      <c r="RW142" s="542"/>
      <c r="RX142" s="542"/>
      <c r="RY142" s="542"/>
      <c r="RZ142" s="542"/>
      <c r="SA142" s="542"/>
      <c r="SB142" s="542"/>
    </row>
    <row r="143" spans="1:496" x14ac:dyDescent="0.2">
      <c r="A143" s="224"/>
      <c r="B143" s="224"/>
      <c r="C143" s="224"/>
      <c r="D143" s="224"/>
      <c r="E143" s="559"/>
      <c r="F143" s="579"/>
      <c r="G143" s="559"/>
      <c r="H143" s="580"/>
      <c r="I143" s="580"/>
      <c r="J143" s="559"/>
      <c r="K143" s="564"/>
      <c r="L143" s="564"/>
      <c r="M143" s="575"/>
      <c r="N143" s="565"/>
      <c r="O143" s="581"/>
      <c r="P143" s="575"/>
      <c r="Q143" s="570"/>
      <c r="R143" s="571"/>
      <c r="S143" s="583"/>
      <c r="T143" s="569"/>
      <c r="U143" s="570"/>
      <c r="V143" s="224"/>
      <c r="W143" s="224"/>
      <c r="X143" s="224"/>
      <c r="Y143" s="224"/>
      <c r="Z143" s="224"/>
      <c r="AA143" s="224"/>
      <c r="AB143" s="224"/>
      <c r="AC143" s="224"/>
      <c r="AD143" s="224"/>
      <c r="AE143" s="224"/>
      <c r="AF143" s="224"/>
      <c r="AG143" s="224"/>
      <c r="AH143" s="224"/>
      <c r="AI143" s="224"/>
      <c r="AJ143" s="224"/>
      <c r="AN143" s="557"/>
      <c r="AO143" s="557"/>
      <c r="AP143" s="557"/>
      <c r="AQ143" s="557"/>
      <c r="AR143" s="557"/>
      <c r="AS143" s="542"/>
      <c r="AT143" s="542"/>
      <c r="AU143" s="542"/>
      <c r="AV143" s="542"/>
      <c r="AW143" s="542"/>
      <c r="AX143" s="542"/>
      <c r="AY143" s="542"/>
      <c r="AZ143" s="542"/>
      <c r="BA143" s="542"/>
      <c r="BB143" s="542"/>
      <c r="BC143" s="542"/>
      <c r="BD143" s="542"/>
      <c r="BE143" s="542"/>
      <c r="BF143" s="542"/>
      <c r="BG143" s="542"/>
      <c r="BH143" s="542"/>
      <c r="BI143" s="542"/>
      <c r="BJ143" s="542"/>
      <c r="BK143" s="542"/>
      <c r="BL143" s="542"/>
      <c r="BM143" s="542"/>
      <c r="BN143" s="542"/>
      <c r="BO143" s="542"/>
      <c r="BP143" s="542"/>
      <c r="BQ143" s="542"/>
      <c r="BR143" s="542"/>
      <c r="BS143" s="542"/>
      <c r="BT143" s="542"/>
      <c r="BU143" s="542"/>
      <c r="BV143" s="542"/>
      <c r="BW143" s="542"/>
      <c r="BX143" s="542"/>
      <c r="BY143" s="542"/>
      <c r="BZ143" s="542"/>
      <c r="CA143" s="542"/>
      <c r="CB143" s="542"/>
      <c r="CC143" s="542"/>
      <c r="CD143" s="542"/>
      <c r="CE143" s="542"/>
      <c r="CF143" s="542"/>
      <c r="CG143" s="542"/>
      <c r="CH143" s="542"/>
      <c r="CI143" s="542"/>
      <c r="CJ143" s="542"/>
      <c r="CK143" s="542"/>
      <c r="CL143" s="542"/>
      <c r="CM143" s="542"/>
      <c r="CN143" s="542"/>
      <c r="CO143" s="542"/>
      <c r="CP143" s="542"/>
      <c r="CQ143" s="542"/>
      <c r="CR143" s="542"/>
      <c r="CS143" s="542"/>
      <c r="CT143" s="542"/>
      <c r="CU143" s="542"/>
      <c r="CV143" s="542"/>
      <c r="CW143" s="542"/>
      <c r="CX143" s="542"/>
      <c r="CY143" s="542"/>
      <c r="CZ143" s="542"/>
      <c r="DA143" s="542"/>
      <c r="DB143" s="542"/>
      <c r="DC143" s="542"/>
      <c r="DD143" s="542"/>
      <c r="DE143" s="542"/>
      <c r="DF143" s="542"/>
      <c r="DG143" s="542"/>
      <c r="DH143" s="542"/>
      <c r="DI143" s="542"/>
      <c r="DJ143" s="542"/>
      <c r="DK143" s="542"/>
      <c r="DL143" s="542"/>
      <c r="DM143" s="542"/>
      <c r="DN143" s="542"/>
      <c r="DO143" s="542"/>
      <c r="DP143" s="542"/>
      <c r="DQ143" s="542"/>
      <c r="DR143" s="542"/>
      <c r="DS143" s="542"/>
      <c r="DT143" s="542"/>
      <c r="DU143" s="542"/>
      <c r="DV143" s="542"/>
      <c r="DW143" s="542"/>
      <c r="DX143" s="542"/>
      <c r="DY143" s="542"/>
      <c r="DZ143" s="542"/>
      <c r="EA143" s="542"/>
      <c r="EB143" s="542"/>
      <c r="EC143" s="542"/>
      <c r="ED143" s="542"/>
      <c r="EE143" s="542"/>
      <c r="EF143" s="542"/>
      <c r="EG143" s="542"/>
      <c r="EH143" s="542"/>
      <c r="EI143" s="542"/>
      <c r="EJ143" s="542"/>
      <c r="EK143" s="542"/>
      <c r="EL143" s="542"/>
      <c r="EM143" s="542"/>
      <c r="EN143" s="542"/>
      <c r="EO143" s="542"/>
      <c r="EP143" s="542"/>
      <c r="EQ143" s="542"/>
      <c r="ER143" s="542"/>
      <c r="ES143" s="542"/>
      <c r="ET143" s="542"/>
      <c r="EU143" s="542"/>
      <c r="EV143" s="542"/>
      <c r="EW143" s="542"/>
      <c r="EX143" s="542"/>
      <c r="EY143" s="542"/>
      <c r="EZ143" s="542"/>
      <c r="FA143" s="542"/>
      <c r="FB143" s="542"/>
      <c r="FC143" s="542"/>
      <c r="FD143" s="542"/>
      <c r="FE143" s="542"/>
      <c r="FF143" s="542"/>
      <c r="FG143" s="542"/>
      <c r="FH143" s="542"/>
      <c r="FI143" s="542"/>
      <c r="FJ143" s="542"/>
      <c r="FK143" s="542"/>
      <c r="FL143" s="542"/>
      <c r="FM143" s="542"/>
      <c r="FN143" s="542"/>
      <c r="FO143" s="542"/>
      <c r="FP143" s="542"/>
      <c r="FQ143" s="542"/>
      <c r="FR143" s="542"/>
      <c r="FS143" s="542"/>
      <c r="FT143" s="542"/>
      <c r="FU143" s="542"/>
      <c r="FV143" s="542"/>
      <c r="FW143" s="542"/>
      <c r="FX143" s="542"/>
      <c r="FY143" s="542"/>
      <c r="FZ143" s="542"/>
      <c r="GA143" s="542"/>
      <c r="GB143" s="542"/>
      <c r="GC143" s="542"/>
      <c r="GD143" s="542"/>
      <c r="GE143" s="542"/>
      <c r="GF143" s="542"/>
      <c r="GG143" s="542"/>
      <c r="GH143" s="542"/>
      <c r="GI143" s="542"/>
      <c r="GJ143" s="542"/>
      <c r="GK143" s="542"/>
      <c r="GL143" s="542"/>
      <c r="GM143" s="542"/>
      <c r="GN143" s="542"/>
      <c r="GO143" s="542"/>
      <c r="GP143" s="542"/>
      <c r="GQ143" s="542"/>
      <c r="GR143" s="542"/>
      <c r="GS143" s="542"/>
      <c r="GT143" s="542"/>
      <c r="GU143" s="542"/>
      <c r="GV143" s="542"/>
      <c r="GW143" s="542"/>
      <c r="GX143" s="542"/>
      <c r="GY143" s="542"/>
      <c r="GZ143" s="542"/>
      <c r="HA143" s="542"/>
      <c r="HB143" s="542"/>
      <c r="HC143" s="542"/>
      <c r="HD143" s="542"/>
      <c r="HE143" s="542"/>
      <c r="HF143" s="542"/>
      <c r="HG143" s="542"/>
      <c r="HH143" s="542"/>
      <c r="HI143" s="542"/>
      <c r="HJ143" s="542"/>
      <c r="HK143" s="542"/>
      <c r="HL143" s="542"/>
      <c r="HM143" s="542"/>
      <c r="HN143" s="542"/>
      <c r="HO143" s="542"/>
      <c r="HP143" s="542"/>
      <c r="HQ143" s="542"/>
      <c r="HR143" s="542"/>
      <c r="HS143" s="542"/>
      <c r="HT143" s="542"/>
      <c r="HU143" s="542"/>
      <c r="HV143" s="542"/>
      <c r="HW143" s="542"/>
      <c r="HX143" s="542"/>
      <c r="HY143" s="542"/>
      <c r="HZ143" s="542"/>
      <c r="IA143" s="542"/>
      <c r="IB143" s="542"/>
      <c r="IC143" s="542"/>
      <c r="ID143" s="542"/>
      <c r="IE143" s="542"/>
      <c r="IF143" s="542"/>
      <c r="IG143" s="542"/>
      <c r="IH143" s="542"/>
      <c r="II143" s="542"/>
      <c r="IJ143" s="542"/>
      <c r="IK143" s="542"/>
      <c r="IL143" s="542"/>
      <c r="IM143" s="542"/>
      <c r="IN143" s="542"/>
      <c r="IO143" s="542"/>
      <c r="IP143" s="542"/>
      <c r="IQ143" s="542"/>
      <c r="IR143" s="542"/>
      <c r="IS143" s="542"/>
      <c r="IT143" s="542"/>
      <c r="IU143" s="542"/>
      <c r="IV143" s="542"/>
      <c r="IW143" s="542"/>
      <c r="IX143" s="542"/>
      <c r="IY143" s="542"/>
      <c r="IZ143" s="542"/>
      <c r="JA143" s="542"/>
      <c r="JB143" s="542"/>
      <c r="JC143" s="542"/>
      <c r="JD143" s="542"/>
      <c r="JE143" s="542"/>
      <c r="JF143" s="542"/>
      <c r="JG143" s="542"/>
      <c r="JH143" s="542"/>
      <c r="JI143" s="542"/>
      <c r="JJ143" s="542"/>
      <c r="JK143" s="542"/>
      <c r="JL143" s="542"/>
      <c r="JM143" s="542"/>
      <c r="JN143" s="542"/>
      <c r="JO143" s="542"/>
      <c r="JP143" s="542"/>
      <c r="JQ143" s="542"/>
      <c r="JR143" s="542"/>
      <c r="JS143" s="542"/>
      <c r="JT143" s="542"/>
      <c r="JU143" s="542"/>
      <c r="JV143" s="542"/>
      <c r="JW143" s="542"/>
      <c r="JX143" s="542"/>
      <c r="JY143" s="542"/>
      <c r="JZ143" s="542"/>
      <c r="KA143" s="542"/>
      <c r="KB143" s="542"/>
      <c r="KC143" s="542"/>
      <c r="KD143" s="542"/>
      <c r="KE143" s="542"/>
      <c r="KF143" s="542"/>
      <c r="KG143" s="542"/>
      <c r="KH143" s="542"/>
      <c r="KI143" s="542"/>
      <c r="KJ143" s="542"/>
      <c r="KK143" s="542"/>
      <c r="KL143" s="542"/>
      <c r="KM143" s="542"/>
      <c r="KN143" s="542"/>
      <c r="KO143" s="542"/>
      <c r="KP143" s="542"/>
      <c r="KQ143" s="542"/>
      <c r="KR143" s="542"/>
      <c r="KS143" s="542"/>
      <c r="KT143" s="542"/>
      <c r="KU143" s="542"/>
      <c r="KV143" s="542"/>
      <c r="KW143" s="542"/>
      <c r="KX143" s="542"/>
      <c r="KY143" s="542"/>
      <c r="KZ143" s="542"/>
      <c r="LA143" s="542"/>
      <c r="LB143" s="542"/>
      <c r="LC143" s="542"/>
      <c r="LD143" s="542"/>
      <c r="LE143" s="542"/>
      <c r="LF143" s="542"/>
      <c r="LG143" s="542"/>
      <c r="LH143" s="542"/>
      <c r="LI143" s="542"/>
      <c r="LJ143" s="542"/>
      <c r="LK143" s="542"/>
      <c r="LL143" s="542"/>
      <c r="LM143" s="542"/>
      <c r="LN143" s="542"/>
      <c r="LO143" s="542"/>
      <c r="LP143" s="542"/>
      <c r="LQ143" s="542"/>
      <c r="LR143" s="542"/>
      <c r="LS143" s="542"/>
      <c r="LT143" s="542"/>
      <c r="LU143" s="542"/>
      <c r="LV143" s="542"/>
      <c r="LW143" s="542"/>
      <c r="LX143" s="542"/>
      <c r="LY143" s="542"/>
      <c r="LZ143" s="542"/>
      <c r="MA143" s="542"/>
      <c r="MB143" s="542"/>
      <c r="MC143" s="542"/>
      <c r="MD143" s="542"/>
      <c r="ME143" s="542"/>
      <c r="MF143" s="542"/>
      <c r="MG143" s="542"/>
      <c r="MH143" s="542"/>
      <c r="MI143" s="542"/>
      <c r="MJ143" s="542"/>
      <c r="MK143" s="542"/>
      <c r="ML143" s="542"/>
      <c r="MM143" s="542"/>
      <c r="MN143" s="542"/>
      <c r="MO143" s="542"/>
      <c r="MP143" s="542"/>
      <c r="MQ143" s="542"/>
      <c r="MR143" s="542"/>
      <c r="MS143" s="542"/>
      <c r="MT143" s="542"/>
      <c r="MU143" s="542"/>
      <c r="MV143" s="542"/>
      <c r="MW143" s="542"/>
      <c r="MX143" s="542"/>
      <c r="MY143" s="542"/>
      <c r="MZ143" s="542"/>
      <c r="NA143" s="542"/>
      <c r="NB143" s="542"/>
      <c r="NC143" s="542"/>
      <c r="ND143" s="542"/>
      <c r="NE143" s="542"/>
      <c r="NF143" s="542"/>
      <c r="NG143" s="542"/>
      <c r="NH143" s="542"/>
      <c r="NI143" s="542"/>
      <c r="NJ143" s="542"/>
      <c r="NK143" s="542"/>
      <c r="NL143" s="542"/>
      <c r="NM143" s="542"/>
      <c r="NN143" s="542"/>
      <c r="NO143" s="542"/>
      <c r="NP143" s="542"/>
      <c r="NQ143" s="542"/>
      <c r="NR143" s="542"/>
      <c r="NS143" s="542"/>
      <c r="NT143" s="542"/>
      <c r="NU143" s="542"/>
      <c r="NV143" s="542"/>
      <c r="NW143" s="542"/>
      <c r="NX143" s="542"/>
      <c r="NY143" s="542"/>
      <c r="NZ143" s="542"/>
      <c r="OA143" s="542"/>
      <c r="OB143" s="542"/>
      <c r="OC143" s="542"/>
      <c r="OD143" s="542"/>
      <c r="OE143" s="542"/>
      <c r="OF143" s="542"/>
      <c r="OG143" s="542"/>
      <c r="OH143" s="542"/>
      <c r="OI143" s="542"/>
      <c r="OJ143" s="542"/>
      <c r="OK143" s="542"/>
      <c r="OL143" s="542"/>
      <c r="OM143" s="542"/>
      <c r="ON143" s="542"/>
      <c r="OO143" s="542"/>
      <c r="OP143" s="542"/>
      <c r="OQ143" s="542"/>
      <c r="OR143" s="542"/>
      <c r="OS143" s="542"/>
      <c r="OT143" s="542"/>
      <c r="OU143" s="542"/>
      <c r="OV143" s="542"/>
      <c r="OW143" s="542"/>
      <c r="OX143" s="542"/>
      <c r="OY143" s="542"/>
      <c r="OZ143" s="542"/>
      <c r="PA143" s="542"/>
      <c r="PB143" s="542"/>
      <c r="PC143" s="542"/>
      <c r="PD143" s="542"/>
      <c r="PE143" s="542"/>
      <c r="PF143" s="542"/>
      <c r="PG143" s="542"/>
      <c r="PH143" s="542"/>
      <c r="PI143" s="542"/>
      <c r="PJ143" s="542"/>
      <c r="PK143" s="542"/>
      <c r="PL143" s="542"/>
      <c r="PM143" s="542"/>
      <c r="PN143" s="542"/>
      <c r="PO143" s="542"/>
      <c r="PP143" s="542"/>
      <c r="PQ143" s="542"/>
      <c r="PR143" s="542"/>
      <c r="PS143" s="542"/>
      <c r="PT143" s="542"/>
      <c r="PU143" s="542"/>
      <c r="PV143" s="542"/>
      <c r="PW143" s="542"/>
      <c r="PX143" s="542"/>
      <c r="PY143" s="542"/>
      <c r="PZ143" s="542"/>
      <c r="QA143" s="542"/>
      <c r="QB143" s="542"/>
      <c r="QC143" s="542"/>
      <c r="QD143" s="542"/>
      <c r="QE143" s="542"/>
      <c r="QF143" s="542"/>
      <c r="QG143" s="542"/>
      <c r="QH143" s="542"/>
      <c r="QI143" s="542"/>
      <c r="QJ143" s="542"/>
      <c r="QK143" s="542"/>
      <c r="QL143" s="542"/>
      <c r="QM143" s="542"/>
      <c r="QN143" s="542"/>
      <c r="QO143" s="542"/>
      <c r="QP143" s="542"/>
      <c r="QQ143" s="542"/>
      <c r="QR143" s="542"/>
      <c r="QS143" s="542"/>
      <c r="QT143" s="542"/>
      <c r="QU143" s="542"/>
      <c r="QV143" s="542"/>
      <c r="QW143" s="542"/>
      <c r="QX143" s="542"/>
      <c r="QY143" s="542"/>
      <c r="QZ143" s="542"/>
      <c r="RA143" s="542"/>
      <c r="RB143" s="542"/>
      <c r="RC143" s="542"/>
      <c r="RD143" s="542"/>
      <c r="RE143" s="542"/>
      <c r="RF143" s="542"/>
      <c r="RG143" s="542"/>
      <c r="RH143" s="542"/>
      <c r="RI143" s="542"/>
      <c r="RJ143" s="542"/>
      <c r="RK143" s="542"/>
      <c r="RL143" s="542"/>
      <c r="RM143" s="542"/>
      <c r="RN143" s="542"/>
      <c r="RO143" s="542"/>
      <c r="RP143" s="542"/>
      <c r="RQ143" s="542"/>
      <c r="RR143" s="542"/>
      <c r="RS143" s="542"/>
      <c r="RT143" s="542"/>
      <c r="RU143" s="542"/>
      <c r="RV143" s="542"/>
      <c r="RW143" s="542"/>
      <c r="RX143" s="542"/>
      <c r="RY143" s="542"/>
      <c r="RZ143" s="542"/>
      <c r="SA143" s="542"/>
      <c r="SB143" s="542"/>
    </row>
    <row r="144" spans="1:496" x14ac:dyDescent="0.2">
      <c r="A144" s="224"/>
      <c r="B144" s="224"/>
      <c r="C144" s="224"/>
      <c r="D144" s="224"/>
      <c r="E144" s="559"/>
      <c r="F144" s="579"/>
      <c r="G144" s="559"/>
      <c r="H144" s="580"/>
      <c r="I144" s="580"/>
      <c r="J144" s="559"/>
      <c r="K144" s="564"/>
      <c r="L144" s="564"/>
      <c r="M144" s="575"/>
      <c r="N144" s="565"/>
      <c r="O144" s="581"/>
      <c r="P144" s="575"/>
      <c r="Q144" s="570"/>
      <c r="R144" s="571"/>
      <c r="S144" s="583"/>
      <c r="T144" s="569"/>
      <c r="U144" s="570"/>
      <c r="V144" s="224"/>
      <c r="W144" s="224"/>
      <c r="X144" s="224"/>
      <c r="Y144" s="224"/>
      <c r="Z144" s="224"/>
      <c r="AA144" s="224"/>
      <c r="AB144" s="224"/>
      <c r="AC144" s="224"/>
      <c r="AD144" s="224"/>
      <c r="AE144" s="224"/>
      <c r="AF144" s="224"/>
      <c r="AG144" s="224"/>
      <c r="AH144" s="224"/>
      <c r="AI144" s="224"/>
      <c r="AJ144" s="224"/>
      <c r="AN144" s="557"/>
      <c r="AO144" s="557"/>
      <c r="AP144" s="557"/>
      <c r="AQ144" s="557"/>
      <c r="AR144" s="557"/>
      <c r="AS144" s="542"/>
      <c r="AT144" s="542"/>
      <c r="AU144" s="542"/>
      <c r="AV144" s="542"/>
      <c r="AW144" s="542"/>
      <c r="AX144" s="542"/>
      <c r="AY144" s="542"/>
      <c r="AZ144" s="542"/>
      <c r="BA144" s="542"/>
      <c r="BB144" s="542"/>
      <c r="BC144" s="542"/>
      <c r="BD144" s="542"/>
      <c r="BE144" s="542"/>
      <c r="BF144" s="542"/>
      <c r="BG144" s="542"/>
      <c r="BH144" s="542"/>
      <c r="BI144" s="542"/>
      <c r="BJ144" s="542"/>
      <c r="BK144" s="542"/>
      <c r="BL144" s="542"/>
      <c r="BM144" s="542"/>
      <c r="BN144" s="542"/>
      <c r="BO144" s="542"/>
      <c r="BP144" s="542"/>
      <c r="BQ144" s="542"/>
      <c r="BR144" s="542"/>
      <c r="BS144" s="542"/>
      <c r="BT144" s="542"/>
      <c r="BU144" s="542"/>
      <c r="BV144" s="542"/>
      <c r="BW144" s="542"/>
      <c r="BX144" s="542"/>
      <c r="BY144" s="542"/>
      <c r="BZ144" s="542"/>
      <c r="CA144" s="542"/>
      <c r="CB144" s="542"/>
      <c r="CC144" s="542"/>
      <c r="CD144" s="542"/>
      <c r="CE144" s="542"/>
      <c r="CF144" s="542"/>
      <c r="CG144" s="542"/>
      <c r="CH144" s="542"/>
      <c r="CI144" s="542"/>
      <c r="CJ144" s="542"/>
      <c r="CK144" s="542"/>
      <c r="CL144" s="542"/>
      <c r="CM144" s="542"/>
      <c r="CN144" s="542"/>
      <c r="CO144" s="542"/>
      <c r="CP144" s="542"/>
      <c r="CQ144" s="542"/>
      <c r="CR144" s="542"/>
      <c r="CS144" s="542"/>
      <c r="CT144" s="542"/>
      <c r="CU144" s="542"/>
      <c r="CV144" s="542"/>
      <c r="CW144" s="542"/>
      <c r="CX144" s="542"/>
      <c r="CY144" s="542"/>
      <c r="CZ144" s="542"/>
      <c r="DA144" s="542"/>
      <c r="DB144" s="542"/>
      <c r="DC144" s="542"/>
      <c r="DD144" s="542"/>
      <c r="DE144" s="542"/>
      <c r="DF144" s="542"/>
      <c r="DG144" s="542"/>
      <c r="DH144" s="542"/>
      <c r="DI144" s="542"/>
      <c r="DJ144" s="542"/>
      <c r="DK144" s="542"/>
      <c r="DL144" s="542"/>
      <c r="DM144" s="542"/>
      <c r="DN144" s="542"/>
      <c r="DO144" s="542"/>
      <c r="DP144" s="542"/>
      <c r="DQ144" s="542"/>
      <c r="DR144" s="542"/>
      <c r="DS144" s="542"/>
      <c r="DT144" s="542"/>
      <c r="DU144" s="542"/>
      <c r="DV144" s="542"/>
      <c r="DW144" s="542"/>
      <c r="DX144" s="542"/>
      <c r="DY144" s="542"/>
      <c r="DZ144" s="542"/>
      <c r="EA144" s="542"/>
      <c r="EB144" s="542"/>
      <c r="EC144" s="542"/>
      <c r="ED144" s="542"/>
      <c r="EE144" s="542"/>
      <c r="EF144" s="542"/>
      <c r="EG144" s="542"/>
      <c r="EH144" s="542"/>
      <c r="EI144" s="542"/>
      <c r="EJ144" s="542"/>
      <c r="EK144" s="542"/>
      <c r="EL144" s="542"/>
      <c r="EM144" s="542"/>
      <c r="EN144" s="542"/>
      <c r="EO144" s="542"/>
      <c r="EP144" s="542"/>
      <c r="EQ144" s="542"/>
      <c r="ER144" s="542"/>
      <c r="ES144" s="542"/>
      <c r="ET144" s="542"/>
      <c r="EU144" s="542"/>
      <c r="EV144" s="542"/>
      <c r="EW144" s="542"/>
      <c r="EX144" s="542"/>
      <c r="EY144" s="542"/>
      <c r="EZ144" s="542"/>
      <c r="FA144" s="542"/>
      <c r="FB144" s="542"/>
      <c r="FC144" s="542"/>
      <c r="FD144" s="542"/>
      <c r="FE144" s="542"/>
      <c r="FF144" s="542"/>
      <c r="FG144" s="542"/>
      <c r="FH144" s="542"/>
      <c r="FI144" s="542"/>
      <c r="FJ144" s="542"/>
      <c r="FK144" s="542"/>
      <c r="FL144" s="542"/>
      <c r="FM144" s="542"/>
      <c r="FN144" s="542"/>
      <c r="FO144" s="542"/>
      <c r="FP144" s="542"/>
      <c r="FQ144" s="542"/>
      <c r="FR144" s="542"/>
      <c r="FS144" s="542"/>
      <c r="FT144" s="542"/>
      <c r="FU144" s="542"/>
      <c r="FV144" s="542"/>
      <c r="FW144" s="542"/>
      <c r="FX144" s="542"/>
      <c r="FY144" s="542"/>
      <c r="FZ144" s="542"/>
      <c r="GA144" s="542"/>
      <c r="GB144" s="542"/>
      <c r="GC144" s="542"/>
      <c r="GD144" s="542"/>
      <c r="GE144" s="542"/>
      <c r="GF144" s="542"/>
      <c r="GG144" s="542"/>
      <c r="GH144" s="542"/>
      <c r="GI144" s="542"/>
      <c r="GJ144" s="542"/>
      <c r="GK144" s="542"/>
      <c r="GL144" s="542"/>
      <c r="GM144" s="542"/>
      <c r="GN144" s="542"/>
      <c r="GO144" s="542"/>
      <c r="GP144" s="542"/>
      <c r="GQ144" s="542"/>
      <c r="GR144" s="542"/>
      <c r="GS144" s="542"/>
      <c r="GT144" s="542"/>
      <c r="GU144" s="542"/>
      <c r="GV144" s="542"/>
      <c r="GW144" s="542"/>
      <c r="GX144" s="542"/>
      <c r="GY144" s="542"/>
      <c r="GZ144" s="542"/>
      <c r="HA144" s="542"/>
      <c r="HB144" s="542"/>
      <c r="HC144" s="542"/>
      <c r="HD144" s="542"/>
      <c r="HE144" s="542"/>
      <c r="HF144" s="542"/>
      <c r="HG144" s="542"/>
      <c r="HH144" s="542"/>
      <c r="HI144" s="542"/>
      <c r="HJ144" s="542"/>
      <c r="HK144" s="542"/>
      <c r="HL144" s="542"/>
      <c r="HM144" s="542"/>
      <c r="HN144" s="542"/>
      <c r="HO144" s="542"/>
      <c r="HP144" s="542"/>
      <c r="HQ144" s="542"/>
      <c r="HR144" s="542"/>
      <c r="HS144" s="542"/>
      <c r="HT144" s="542"/>
      <c r="HU144" s="542"/>
      <c r="HV144" s="542"/>
      <c r="HW144" s="542"/>
      <c r="HX144" s="542"/>
      <c r="HY144" s="542"/>
      <c r="HZ144" s="542"/>
      <c r="IA144" s="542"/>
      <c r="IB144" s="542"/>
      <c r="IC144" s="542"/>
      <c r="ID144" s="542"/>
      <c r="IE144" s="542"/>
      <c r="IF144" s="542"/>
      <c r="IG144" s="542"/>
      <c r="IH144" s="542"/>
      <c r="II144" s="542"/>
      <c r="IJ144" s="542"/>
      <c r="IK144" s="542"/>
      <c r="IL144" s="542"/>
      <c r="IM144" s="542"/>
      <c r="IN144" s="542"/>
      <c r="IO144" s="542"/>
      <c r="IP144" s="542"/>
      <c r="IQ144" s="542"/>
      <c r="IR144" s="542"/>
      <c r="IS144" s="542"/>
      <c r="IT144" s="542"/>
      <c r="IU144" s="542"/>
      <c r="IV144" s="542"/>
      <c r="IW144" s="542"/>
      <c r="IX144" s="542"/>
      <c r="IY144" s="542"/>
      <c r="IZ144" s="542"/>
      <c r="JA144" s="542"/>
      <c r="JB144" s="542"/>
      <c r="JC144" s="542"/>
      <c r="JD144" s="542"/>
      <c r="JE144" s="542"/>
      <c r="JF144" s="542"/>
      <c r="JG144" s="542"/>
      <c r="JH144" s="542"/>
      <c r="JI144" s="542"/>
      <c r="JJ144" s="542"/>
      <c r="JK144" s="542"/>
      <c r="JL144" s="542"/>
      <c r="JM144" s="542"/>
      <c r="JN144" s="542"/>
      <c r="JO144" s="542"/>
      <c r="JP144" s="542"/>
      <c r="JQ144" s="542"/>
      <c r="JR144" s="542"/>
      <c r="JS144" s="542"/>
      <c r="JT144" s="542"/>
      <c r="JU144" s="542"/>
      <c r="JV144" s="542"/>
      <c r="JW144" s="542"/>
      <c r="JX144" s="542"/>
      <c r="JY144" s="542"/>
      <c r="JZ144" s="542"/>
      <c r="KA144" s="542"/>
      <c r="KB144" s="542"/>
      <c r="KC144" s="542"/>
      <c r="KD144" s="542"/>
      <c r="KE144" s="542"/>
      <c r="KF144" s="542"/>
      <c r="KG144" s="542"/>
      <c r="KH144" s="542"/>
      <c r="KI144" s="542"/>
      <c r="KJ144" s="542"/>
      <c r="KK144" s="542"/>
      <c r="KL144" s="542"/>
      <c r="KM144" s="542"/>
      <c r="KN144" s="542"/>
      <c r="KO144" s="542"/>
      <c r="KP144" s="542"/>
      <c r="KQ144" s="542"/>
      <c r="KR144" s="542"/>
      <c r="KS144" s="542"/>
      <c r="KT144" s="542"/>
      <c r="KU144" s="542"/>
      <c r="KV144" s="542"/>
      <c r="KW144" s="542"/>
      <c r="KX144" s="542"/>
      <c r="KY144" s="542"/>
      <c r="KZ144" s="542"/>
      <c r="LA144" s="542"/>
      <c r="LB144" s="542"/>
      <c r="LC144" s="542"/>
      <c r="LD144" s="542"/>
      <c r="LE144" s="542"/>
      <c r="LF144" s="542"/>
      <c r="LG144" s="542"/>
      <c r="LH144" s="542"/>
      <c r="LI144" s="542"/>
      <c r="LJ144" s="542"/>
      <c r="LK144" s="542"/>
      <c r="LL144" s="542"/>
      <c r="LM144" s="542"/>
      <c r="LN144" s="542"/>
      <c r="LO144" s="542"/>
      <c r="LP144" s="542"/>
      <c r="LQ144" s="542"/>
      <c r="LR144" s="542"/>
      <c r="LS144" s="542"/>
      <c r="LT144" s="542"/>
      <c r="LU144" s="542"/>
      <c r="LV144" s="542"/>
      <c r="LW144" s="542"/>
      <c r="LX144" s="542"/>
      <c r="LY144" s="542"/>
      <c r="LZ144" s="542"/>
      <c r="MA144" s="542"/>
      <c r="MB144" s="542"/>
      <c r="MC144" s="542"/>
      <c r="MD144" s="542"/>
      <c r="ME144" s="542"/>
      <c r="MF144" s="542"/>
      <c r="MG144" s="542"/>
      <c r="MH144" s="542"/>
      <c r="MI144" s="542"/>
      <c r="MJ144" s="542"/>
      <c r="MK144" s="542"/>
      <c r="ML144" s="542"/>
      <c r="MM144" s="542"/>
      <c r="MN144" s="542"/>
      <c r="MO144" s="542"/>
      <c r="MP144" s="542"/>
      <c r="MQ144" s="542"/>
      <c r="MR144" s="542"/>
      <c r="MS144" s="542"/>
      <c r="MT144" s="542"/>
      <c r="MU144" s="542"/>
      <c r="MV144" s="542"/>
      <c r="MW144" s="542"/>
      <c r="MX144" s="542"/>
      <c r="MY144" s="542"/>
      <c r="MZ144" s="542"/>
      <c r="NA144" s="542"/>
      <c r="NB144" s="542"/>
      <c r="NC144" s="542"/>
      <c r="ND144" s="542"/>
      <c r="NE144" s="542"/>
      <c r="NF144" s="542"/>
      <c r="NG144" s="542"/>
      <c r="NH144" s="542"/>
      <c r="NI144" s="542"/>
      <c r="NJ144" s="542"/>
      <c r="NK144" s="542"/>
      <c r="NL144" s="542"/>
      <c r="NM144" s="542"/>
      <c r="NN144" s="542"/>
      <c r="NO144" s="542"/>
      <c r="NP144" s="542"/>
      <c r="NQ144" s="542"/>
      <c r="NR144" s="542"/>
      <c r="NS144" s="542"/>
      <c r="NT144" s="542"/>
      <c r="NU144" s="542"/>
      <c r="NV144" s="542"/>
      <c r="NW144" s="542"/>
      <c r="NX144" s="542"/>
      <c r="NY144" s="542"/>
      <c r="NZ144" s="542"/>
      <c r="OA144" s="542"/>
      <c r="OB144" s="542"/>
      <c r="OC144" s="542"/>
      <c r="OD144" s="542"/>
      <c r="OE144" s="542"/>
      <c r="OF144" s="542"/>
      <c r="OG144" s="542"/>
      <c r="OH144" s="542"/>
      <c r="OI144" s="542"/>
      <c r="OJ144" s="542"/>
      <c r="OK144" s="542"/>
      <c r="OL144" s="542"/>
      <c r="OM144" s="542"/>
      <c r="ON144" s="542"/>
      <c r="OO144" s="542"/>
      <c r="OP144" s="542"/>
      <c r="OQ144" s="542"/>
      <c r="OR144" s="542"/>
      <c r="OS144" s="542"/>
      <c r="OT144" s="542"/>
      <c r="OU144" s="542"/>
      <c r="OV144" s="542"/>
      <c r="OW144" s="542"/>
      <c r="OX144" s="542"/>
      <c r="OY144" s="542"/>
      <c r="OZ144" s="542"/>
      <c r="PA144" s="542"/>
      <c r="PB144" s="542"/>
      <c r="PC144" s="542"/>
      <c r="PD144" s="542"/>
      <c r="PE144" s="542"/>
      <c r="PF144" s="542"/>
      <c r="PG144" s="542"/>
      <c r="PH144" s="542"/>
      <c r="PI144" s="542"/>
      <c r="PJ144" s="542"/>
      <c r="PK144" s="542"/>
      <c r="PL144" s="542"/>
      <c r="PM144" s="542"/>
      <c r="PN144" s="542"/>
      <c r="PO144" s="542"/>
      <c r="PP144" s="542"/>
      <c r="PQ144" s="542"/>
      <c r="PR144" s="542"/>
      <c r="PS144" s="542"/>
      <c r="PT144" s="542"/>
      <c r="PU144" s="542"/>
      <c r="PV144" s="542"/>
      <c r="PW144" s="542"/>
      <c r="PX144" s="542"/>
      <c r="PY144" s="542"/>
      <c r="PZ144" s="542"/>
      <c r="QA144" s="542"/>
      <c r="QB144" s="542"/>
      <c r="QC144" s="542"/>
      <c r="QD144" s="542"/>
      <c r="QE144" s="542"/>
      <c r="QF144" s="542"/>
      <c r="QG144" s="542"/>
      <c r="QH144" s="542"/>
      <c r="QI144" s="542"/>
      <c r="QJ144" s="542"/>
      <c r="QK144" s="542"/>
      <c r="QL144" s="542"/>
      <c r="QM144" s="542"/>
      <c r="QN144" s="542"/>
      <c r="QO144" s="542"/>
      <c r="QP144" s="542"/>
      <c r="QQ144" s="542"/>
      <c r="QR144" s="542"/>
      <c r="QS144" s="542"/>
      <c r="QT144" s="542"/>
      <c r="QU144" s="542"/>
      <c r="QV144" s="542"/>
      <c r="QW144" s="542"/>
      <c r="QX144" s="542"/>
      <c r="QY144" s="542"/>
      <c r="QZ144" s="542"/>
      <c r="RA144" s="542"/>
      <c r="RB144" s="542"/>
      <c r="RC144" s="542"/>
      <c r="RD144" s="542"/>
      <c r="RE144" s="542"/>
      <c r="RF144" s="542"/>
      <c r="RG144" s="542"/>
      <c r="RH144" s="542"/>
      <c r="RI144" s="542"/>
      <c r="RJ144" s="542"/>
      <c r="RK144" s="542"/>
      <c r="RL144" s="542"/>
      <c r="RM144" s="542"/>
      <c r="RN144" s="542"/>
      <c r="RO144" s="542"/>
      <c r="RP144" s="542"/>
      <c r="RQ144" s="542"/>
      <c r="RR144" s="542"/>
      <c r="RS144" s="542"/>
      <c r="RT144" s="542"/>
      <c r="RU144" s="542"/>
      <c r="RV144" s="542"/>
      <c r="RW144" s="542"/>
      <c r="RX144" s="542"/>
      <c r="RY144" s="542"/>
      <c r="RZ144" s="542"/>
      <c r="SA144" s="542"/>
      <c r="SB144" s="542"/>
    </row>
    <row r="145" spans="1:496" ht="15.75" x14ac:dyDescent="0.2">
      <c r="A145" s="224"/>
      <c r="B145" s="224"/>
      <c r="C145" s="224"/>
      <c r="D145" s="224"/>
      <c r="E145" s="559"/>
      <c r="F145" s="579"/>
      <c r="G145" s="559"/>
      <c r="H145" s="2256" t="s">
        <v>522</v>
      </c>
      <c r="I145" s="2256"/>
      <c r="J145" s="559"/>
      <c r="K145" s="564"/>
      <c r="L145" s="564"/>
      <c r="M145" s="575"/>
      <c r="N145" s="565"/>
      <c r="O145" s="581"/>
      <c r="P145" s="575"/>
      <c r="Q145" s="570"/>
      <c r="R145" s="571"/>
      <c r="S145" s="583"/>
      <c r="T145" s="569"/>
      <c r="U145" s="570"/>
      <c r="V145" s="224"/>
      <c r="W145" s="224"/>
      <c r="X145" s="224"/>
      <c r="Y145" s="224"/>
      <c r="Z145" s="224"/>
      <c r="AA145" s="224"/>
      <c r="AB145" s="224"/>
      <c r="AC145" s="224"/>
      <c r="AD145" s="224"/>
      <c r="AE145" s="224"/>
      <c r="AF145" s="224"/>
      <c r="AG145" s="224"/>
      <c r="AH145" s="224"/>
      <c r="AI145" s="224"/>
      <c r="AJ145" s="224"/>
      <c r="AN145" s="557"/>
      <c r="AO145" s="557"/>
      <c r="AP145" s="557"/>
      <c r="AQ145" s="557"/>
      <c r="AR145" s="557"/>
      <c r="AS145" s="542"/>
      <c r="AT145" s="542"/>
      <c r="AU145" s="542"/>
      <c r="AV145" s="542"/>
      <c r="AW145" s="542"/>
      <c r="AX145" s="542"/>
      <c r="AY145" s="542"/>
      <c r="AZ145" s="542"/>
      <c r="BA145" s="542"/>
      <c r="BB145" s="542"/>
      <c r="BC145" s="542"/>
      <c r="BD145" s="542"/>
      <c r="BE145" s="542"/>
      <c r="BF145" s="542"/>
      <c r="BG145" s="542"/>
      <c r="BH145" s="542"/>
      <c r="BI145" s="542"/>
      <c r="BJ145" s="542"/>
      <c r="BK145" s="542"/>
      <c r="BL145" s="542"/>
      <c r="BM145" s="542"/>
      <c r="BN145" s="542"/>
      <c r="BO145" s="542"/>
      <c r="BP145" s="542"/>
      <c r="BQ145" s="542"/>
      <c r="BR145" s="542"/>
      <c r="BS145" s="542"/>
      <c r="BT145" s="542"/>
      <c r="BU145" s="542"/>
      <c r="BV145" s="542"/>
      <c r="BW145" s="542"/>
      <c r="BX145" s="542"/>
      <c r="BY145" s="542"/>
      <c r="BZ145" s="542"/>
      <c r="CA145" s="542"/>
      <c r="CB145" s="542"/>
      <c r="CC145" s="542"/>
      <c r="CD145" s="542"/>
      <c r="CE145" s="542"/>
      <c r="CF145" s="542"/>
      <c r="CG145" s="542"/>
      <c r="CH145" s="542"/>
      <c r="CI145" s="542"/>
      <c r="CJ145" s="542"/>
      <c r="CK145" s="542"/>
      <c r="CL145" s="542"/>
      <c r="CM145" s="542"/>
      <c r="CN145" s="542"/>
      <c r="CO145" s="542"/>
      <c r="CP145" s="542"/>
      <c r="CQ145" s="542"/>
      <c r="CR145" s="542"/>
      <c r="CS145" s="542"/>
      <c r="CT145" s="542"/>
      <c r="CU145" s="542"/>
      <c r="CV145" s="542"/>
      <c r="CW145" s="542"/>
      <c r="CX145" s="542"/>
      <c r="CY145" s="542"/>
      <c r="CZ145" s="542"/>
      <c r="DA145" s="542"/>
      <c r="DB145" s="542"/>
      <c r="DC145" s="542"/>
      <c r="DD145" s="542"/>
      <c r="DE145" s="542"/>
      <c r="DF145" s="542"/>
      <c r="DG145" s="542"/>
      <c r="DH145" s="542"/>
      <c r="DI145" s="542"/>
      <c r="DJ145" s="542"/>
      <c r="DK145" s="542"/>
      <c r="DL145" s="542"/>
      <c r="DM145" s="542"/>
      <c r="DN145" s="542"/>
      <c r="DO145" s="542"/>
      <c r="DP145" s="542"/>
      <c r="DQ145" s="542"/>
      <c r="DR145" s="542"/>
      <c r="DS145" s="542"/>
      <c r="DT145" s="542"/>
      <c r="DU145" s="542"/>
      <c r="DV145" s="542"/>
      <c r="DW145" s="542"/>
      <c r="DX145" s="542"/>
      <c r="DY145" s="542"/>
      <c r="DZ145" s="542"/>
      <c r="EA145" s="542"/>
      <c r="EB145" s="542"/>
      <c r="EC145" s="542"/>
      <c r="ED145" s="542"/>
      <c r="EE145" s="542"/>
      <c r="EF145" s="542"/>
      <c r="EG145" s="542"/>
      <c r="EH145" s="542"/>
      <c r="EI145" s="542"/>
      <c r="EJ145" s="542"/>
      <c r="EK145" s="542"/>
      <c r="EL145" s="542"/>
      <c r="EM145" s="542"/>
      <c r="EN145" s="542"/>
      <c r="EO145" s="542"/>
      <c r="EP145" s="542"/>
      <c r="EQ145" s="542"/>
      <c r="ER145" s="542"/>
      <c r="ES145" s="542"/>
      <c r="ET145" s="542"/>
      <c r="EU145" s="542"/>
      <c r="EV145" s="542"/>
      <c r="EW145" s="542"/>
      <c r="EX145" s="542"/>
      <c r="EY145" s="542"/>
      <c r="EZ145" s="542"/>
      <c r="FA145" s="542"/>
      <c r="FB145" s="542"/>
      <c r="FC145" s="542"/>
      <c r="FD145" s="542"/>
      <c r="FE145" s="542"/>
      <c r="FF145" s="542"/>
      <c r="FG145" s="542"/>
      <c r="FH145" s="542"/>
      <c r="FI145" s="542"/>
      <c r="FJ145" s="542"/>
      <c r="FK145" s="542"/>
      <c r="FL145" s="542"/>
      <c r="FM145" s="542"/>
      <c r="FN145" s="542"/>
      <c r="FO145" s="542"/>
      <c r="FP145" s="542"/>
      <c r="FQ145" s="542"/>
      <c r="FR145" s="542"/>
      <c r="FS145" s="542"/>
      <c r="FT145" s="542"/>
      <c r="FU145" s="542"/>
      <c r="FV145" s="542"/>
      <c r="FW145" s="542"/>
      <c r="FX145" s="542"/>
      <c r="FY145" s="542"/>
      <c r="FZ145" s="542"/>
      <c r="GA145" s="542"/>
      <c r="GB145" s="542"/>
      <c r="GC145" s="542"/>
      <c r="GD145" s="542"/>
      <c r="GE145" s="542"/>
      <c r="GF145" s="542"/>
      <c r="GG145" s="542"/>
      <c r="GH145" s="542"/>
      <c r="GI145" s="542"/>
      <c r="GJ145" s="542"/>
      <c r="GK145" s="542"/>
      <c r="GL145" s="542"/>
      <c r="GM145" s="542"/>
      <c r="GN145" s="542"/>
      <c r="GO145" s="542"/>
      <c r="GP145" s="542"/>
      <c r="GQ145" s="542"/>
      <c r="GR145" s="542"/>
      <c r="GS145" s="542"/>
      <c r="GT145" s="542"/>
      <c r="GU145" s="542"/>
      <c r="GV145" s="542"/>
      <c r="GW145" s="542"/>
      <c r="GX145" s="542"/>
      <c r="GY145" s="542"/>
      <c r="GZ145" s="542"/>
      <c r="HA145" s="542"/>
      <c r="HB145" s="542"/>
      <c r="HC145" s="542"/>
      <c r="HD145" s="542"/>
      <c r="HE145" s="542"/>
      <c r="HF145" s="542"/>
      <c r="HG145" s="542"/>
      <c r="HH145" s="542"/>
      <c r="HI145" s="542"/>
      <c r="HJ145" s="542"/>
      <c r="HK145" s="542"/>
      <c r="HL145" s="542"/>
      <c r="HM145" s="542"/>
      <c r="HN145" s="542"/>
      <c r="HO145" s="542"/>
      <c r="HP145" s="542"/>
      <c r="HQ145" s="542"/>
      <c r="HR145" s="542"/>
      <c r="HS145" s="542"/>
      <c r="HT145" s="542"/>
      <c r="HU145" s="542"/>
      <c r="HV145" s="542"/>
      <c r="HW145" s="542"/>
      <c r="HX145" s="542"/>
      <c r="HY145" s="542"/>
      <c r="HZ145" s="542"/>
      <c r="IA145" s="542"/>
      <c r="IB145" s="542"/>
      <c r="IC145" s="542"/>
      <c r="ID145" s="542"/>
      <c r="IE145" s="542"/>
      <c r="IF145" s="542"/>
      <c r="IG145" s="542"/>
      <c r="IH145" s="542"/>
      <c r="II145" s="542"/>
      <c r="IJ145" s="542"/>
      <c r="IK145" s="542"/>
      <c r="IL145" s="542"/>
      <c r="IM145" s="542"/>
      <c r="IN145" s="542"/>
      <c r="IO145" s="542"/>
      <c r="IP145" s="542"/>
      <c r="IQ145" s="542"/>
      <c r="IR145" s="542"/>
      <c r="IS145" s="542"/>
      <c r="IT145" s="542"/>
      <c r="IU145" s="542"/>
      <c r="IV145" s="542"/>
      <c r="IW145" s="542"/>
      <c r="IX145" s="542"/>
      <c r="IY145" s="542"/>
      <c r="IZ145" s="542"/>
      <c r="JA145" s="542"/>
      <c r="JB145" s="542"/>
      <c r="JC145" s="542"/>
      <c r="JD145" s="542"/>
      <c r="JE145" s="542"/>
      <c r="JF145" s="542"/>
      <c r="JG145" s="542"/>
      <c r="JH145" s="542"/>
      <c r="JI145" s="542"/>
      <c r="JJ145" s="542"/>
      <c r="JK145" s="542"/>
      <c r="JL145" s="542"/>
      <c r="JM145" s="542"/>
      <c r="JN145" s="542"/>
      <c r="JO145" s="542"/>
      <c r="JP145" s="542"/>
      <c r="JQ145" s="542"/>
      <c r="JR145" s="542"/>
      <c r="JS145" s="542"/>
      <c r="JT145" s="542"/>
      <c r="JU145" s="542"/>
      <c r="JV145" s="542"/>
      <c r="JW145" s="542"/>
      <c r="JX145" s="542"/>
      <c r="JY145" s="542"/>
      <c r="JZ145" s="542"/>
      <c r="KA145" s="542"/>
      <c r="KB145" s="542"/>
      <c r="KC145" s="542"/>
      <c r="KD145" s="542"/>
      <c r="KE145" s="542"/>
      <c r="KF145" s="542"/>
      <c r="KG145" s="542"/>
      <c r="KH145" s="542"/>
      <c r="KI145" s="542"/>
      <c r="KJ145" s="542"/>
      <c r="KK145" s="542"/>
      <c r="KL145" s="542"/>
      <c r="KM145" s="542"/>
      <c r="KN145" s="542"/>
      <c r="KO145" s="542"/>
      <c r="KP145" s="542"/>
      <c r="KQ145" s="542"/>
      <c r="KR145" s="542"/>
      <c r="KS145" s="542"/>
      <c r="KT145" s="542"/>
      <c r="KU145" s="542"/>
      <c r="KV145" s="542"/>
      <c r="KW145" s="542"/>
      <c r="KX145" s="542"/>
      <c r="KY145" s="542"/>
      <c r="KZ145" s="542"/>
      <c r="LA145" s="542"/>
      <c r="LB145" s="542"/>
      <c r="LC145" s="542"/>
      <c r="LD145" s="542"/>
      <c r="LE145" s="542"/>
      <c r="LF145" s="542"/>
      <c r="LG145" s="542"/>
      <c r="LH145" s="542"/>
      <c r="LI145" s="542"/>
      <c r="LJ145" s="542"/>
      <c r="LK145" s="542"/>
      <c r="LL145" s="542"/>
      <c r="LM145" s="542"/>
      <c r="LN145" s="542"/>
      <c r="LO145" s="542"/>
      <c r="LP145" s="542"/>
      <c r="LQ145" s="542"/>
      <c r="LR145" s="542"/>
      <c r="LS145" s="542"/>
      <c r="LT145" s="542"/>
      <c r="LU145" s="542"/>
      <c r="LV145" s="542"/>
      <c r="LW145" s="542"/>
      <c r="LX145" s="542"/>
      <c r="LY145" s="542"/>
      <c r="LZ145" s="542"/>
      <c r="MA145" s="542"/>
      <c r="MB145" s="542"/>
      <c r="MC145" s="542"/>
      <c r="MD145" s="542"/>
      <c r="ME145" s="542"/>
      <c r="MF145" s="542"/>
      <c r="MG145" s="542"/>
      <c r="MH145" s="542"/>
      <c r="MI145" s="542"/>
      <c r="MJ145" s="542"/>
      <c r="MK145" s="542"/>
      <c r="ML145" s="542"/>
      <c r="MM145" s="542"/>
      <c r="MN145" s="542"/>
      <c r="MO145" s="542"/>
      <c r="MP145" s="542"/>
      <c r="MQ145" s="542"/>
      <c r="MR145" s="542"/>
      <c r="MS145" s="542"/>
      <c r="MT145" s="542"/>
      <c r="MU145" s="542"/>
      <c r="MV145" s="542"/>
      <c r="MW145" s="542"/>
      <c r="MX145" s="542"/>
      <c r="MY145" s="542"/>
      <c r="MZ145" s="542"/>
      <c r="NA145" s="542"/>
      <c r="NB145" s="542"/>
      <c r="NC145" s="542"/>
      <c r="ND145" s="542"/>
      <c r="NE145" s="542"/>
      <c r="NF145" s="542"/>
      <c r="NG145" s="542"/>
      <c r="NH145" s="542"/>
      <c r="NI145" s="542"/>
      <c r="NJ145" s="542"/>
      <c r="NK145" s="542"/>
      <c r="NL145" s="542"/>
      <c r="NM145" s="542"/>
      <c r="NN145" s="542"/>
      <c r="NO145" s="542"/>
      <c r="NP145" s="542"/>
      <c r="NQ145" s="542"/>
      <c r="NR145" s="542"/>
      <c r="NS145" s="542"/>
      <c r="NT145" s="542"/>
      <c r="NU145" s="542"/>
      <c r="NV145" s="542"/>
      <c r="NW145" s="542"/>
      <c r="NX145" s="542"/>
      <c r="NY145" s="542"/>
      <c r="NZ145" s="542"/>
      <c r="OA145" s="542"/>
      <c r="OB145" s="542"/>
      <c r="OC145" s="542"/>
      <c r="OD145" s="542"/>
      <c r="OE145" s="542"/>
      <c r="OF145" s="542"/>
      <c r="OG145" s="542"/>
      <c r="OH145" s="542"/>
      <c r="OI145" s="542"/>
      <c r="OJ145" s="542"/>
      <c r="OK145" s="542"/>
      <c r="OL145" s="542"/>
      <c r="OM145" s="542"/>
      <c r="ON145" s="542"/>
      <c r="OO145" s="542"/>
      <c r="OP145" s="542"/>
      <c r="OQ145" s="542"/>
      <c r="OR145" s="542"/>
      <c r="OS145" s="542"/>
      <c r="OT145" s="542"/>
      <c r="OU145" s="542"/>
      <c r="OV145" s="542"/>
      <c r="OW145" s="542"/>
      <c r="OX145" s="542"/>
      <c r="OY145" s="542"/>
      <c r="OZ145" s="542"/>
      <c r="PA145" s="542"/>
      <c r="PB145" s="542"/>
      <c r="PC145" s="542"/>
      <c r="PD145" s="542"/>
      <c r="PE145" s="542"/>
      <c r="PF145" s="542"/>
      <c r="PG145" s="542"/>
      <c r="PH145" s="542"/>
      <c r="PI145" s="542"/>
      <c r="PJ145" s="542"/>
      <c r="PK145" s="542"/>
      <c r="PL145" s="542"/>
      <c r="PM145" s="542"/>
      <c r="PN145" s="542"/>
      <c r="PO145" s="542"/>
      <c r="PP145" s="542"/>
      <c r="PQ145" s="542"/>
      <c r="PR145" s="542"/>
      <c r="PS145" s="542"/>
      <c r="PT145" s="542"/>
      <c r="PU145" s="542"/>
      <c r="PV145" s="542"/>
      <c r="PW145" s="542"/>
      <c r="PX145" s="542"/>
      <c r="PY145" s="542"/>
      <c r="PZ145" s="542"/>
      <c r="QA145" s="542"/>
      <c r="QB145" s="542"/>
      <c r="QC145" s="542"/>
      <c r="QD145" s="542"/>
      <c r="QE145" s="542"/>
      <c r="QF145" s="542"/>
      <c r="QG145" s="542"/>
      <c r="QH145" s="542"/>
      <c r="QI145" s="542"/>
      <c r="QJ145" s="542"/>
      <c r="QK145" s="542"/>
      <c r="QL145" s="542"/>
      <c r="QM145" s="542"/>
      <c r="QN145" s="542"/>
      <c r="QO145" s="542"/>
      <c r="QP145" s="542"/>
      <c r="QQ145" s="542"/>
      <c r="QR145" s="542"/>
      <c r="QS145" s="542"/>
      <c r="QT145" s="542"/>
      <c r="QU145" s="542"/>
      <c r="QV145" s="542"/>
      <c r="QW145" s="542"/>
      <c r="QX145" s="542"/>
      <c r="QY145" s="542"/>
      <c r="QZ145" s="542"/>
      <c r="RA145" s="542"/>
      <c r="RB145" s="542"/>
      <c r="RC145" s="542"/>
      <c r="RD145" s="542"/>
      <c r="RE145" s="542"/>
      <c r="RF145" s="542"/>
      <c r="RG145" s="542"/>
      <c r="RH145" s="542"/>
      <c r="RI145" s="542"/>
      <c r="RJ145" s="542"/>
      <c r="RK145" s="542"/>
      <c r="RL145" s="542"/>
      <c r="RM145" s="542"/>
      <c r="RN145" s="542"/>
      <c r="RO145" s="542"/>
      <c r="RP145" s="542"/>
      <c r="RQ145" s="542"/>
      <c r="RR145" s="542"/>
      <c r="RS145" s="542"/>
      <c r="RT145" s="542"/>
      <c r="RU145" s="542"/>
      <c r="RV145" s="542"/>
      <c r="RW145" s="542"/>
      <c r="RX145" s="542"/>
      <c r="RY145" s="542"/>
      <c r="RZ145" s="542"/>
      <c r="SA145" s="542"/>
      <c r="SB145" s="542"/>
    </row>
    <row r="146" spans="1:496" ht="15.75" x14ac:dyDescent="0.25">
      <c r="A146" s="224"/>
      <c r="B146" s="224"/>
      <c r="C146" s="224"/>
      <c r="D146" s="224"/>
      <c r="E146" s="559"/>
      <c r="F146" s="579"/>
      <c r="G146" s="559"/>
      <c r="H146" s="3102" t="s">
        <v>523</v>
      </c>
      <c r="I146" s="3102"/>
      <c r="J146" s="559"/>
      <c r="K146" s="564"/>
      <c r="L146" s="564"/>
      <c r="M146" s="575"/>
      <c r="N146" s="565"/>
      <c r="O146" s="581"/>
      <c r="P146" s="575"/>
      <c r="Q146" s="570"/>
      <c r="R146" s="571"/>
      <c r="S146" s="583"/>
      <c r="T146" s="569"/>
      <c r="U146" s="570"/>
      <c r="V146" s="224"/>
      <c r="W146" s="224"/>
      <c r="X146" s="224"/>
      <c r="Y146" s="224"/>
      <c r="Z146" s="224"/>
      <c r="AA146" s="224"/>
      <c r="AB146" s="224"/>
      <c r="AC146" s="224"/>
      <c r="AD146" s="224"/>
      <c r="AE146" s="224"/>
      <c r="AF146" s="224"/>
      <c r="AG146" s="224"/>
      <c r="AH146" s="224"/>
      <c r="AI146" s="224"/>
      <c r="AJ146" s="224"/>
    </row>
    <row r="147" spans="1:496" x14ac:dyDescent="0.2">
      <c r="E147" s="559"/>
      <c r="F147" s="579"/>
      <c r="G147" s="559"/>
      <c r="H147" s="580"/>
      <c r="I147" s="580"/>
      <c r="J147" s="559"/>
      <c r="K147" s="564"/>
      <c r="L147" s="564"/>
      <c r="M147" s="575"/>
      <c r="N147" s="565"/>
      <c r="O147" s="581"/>
      <c r="P147" s="575"/>
      <c r="Q147" s="570"/>
      <c r="R147" s="571"/>
      <c r="S147" s="583"/>
      <c r="T147" s="569"/>
      <c r="U147" s="570"/>
      <c r="V147" s="224"/>
      <c r="W147" s="224"/>
      <c r="X147" s="224"/>
      <c r="Y147" s="224"/>
      <c r="Z147" s="224"/>
      <c r="AA147" s="224"/>
      <c r="AB147" s="224"/>
      <c r="AC147" s="224"/>
      <c r="AD147" s="224"/>
      <c r="AE147" s="224"/>
      <c r="AF147" s="224"/>
      <c r="AG147" s="224"/>
      <c r="AH147" s="224"/>
      <c r="AI147" s="224"/>
      <c r="AJ147" s="224"/>
    </row>
    <row r="148" spans="1:496" x14ac:dyDescent="0.2">
      <c r="A148" s="224"/>
      <c r="B148" s="224"/>
      <c r="C148" s="224"/>
      <c r="D148" s="224"/>
      <c r="E148" s="559"/>
      <c r="F148" s="579"/>
      <c r="G148" s="559"/>
      <c r="H148" s="580"/>
      <c r="I148" s="580"/>
      <c r="J148" s="559"/>
      <c r="K148" s="564"/>
      <c r="L148" s="564"/>
      <c r="M148" s="575"/>
      <c r="N148" s="565"/>
      <c r="O148" s="581"/>
      <c r="P148" s="575"/>
      <c r="Q148" s="570"/>
      <c r="R148" s="571"/>
      <c r="S148" s="583"/>
      <c r="T148" s="569"/>
      <c r="U148" s="570"/>
      <c r="V148" s="224"/>
      <c r="W148" s="224"/>
      <c r="X148" s="224"/>
      <c r="Y148" s="224"/>
      <c r="Z148" s="224"/>
      <c r="AA148" s="224"/>
      <c r="AB148" s="224"/>
      <c r="AC148" s="224"/>
      <c r="AD148" s="224"/>
      <c r="AE148" s="224"/>
      <c r="AF148" s="224"/>
      <c r="AG148" s="224"/>
      <c r="AH148" s="224"/>
      <c r="AI148" s="224"/>
      <c r="AJ148" s="224"/>
    </row>
    <row r="149" spans="1:496" x14ac:dyDescent="0.2">
      <c r="A149" s="224"/>
      <c r="B149" s="224"/>
      <c r="C149" s="224"/>
      <c r="D149" s="224"/>
      <c r="E149" s="559"/>
      <c r="F149" s="579"/>
      <c r="G149" s="559"/>
      <c r="H149" s="580"/>
      <c r="I149" s="580"/>
      <c r="J149" s="559"/>
      <c r="K149" s="564"/>
      <c r="L149" s="564"/>
      <c r="M149" s="575"/>
      <c r="N149" s="565"/>
      <c r="O149" s="581"/>
      <c r="P149" s="575"/>
      <c r="Q149" s="570"/>
      <c r="R149" s="571"/>
      <c r="S149" s="583"/>
      <c r="T149" s="569"/>
      <c r="U149" s="570"/>
      <c r="V149" s="224"/>
      <c r="W149" s="224"/>
      <c r="X149" s="224"/>
      <c r="Y149" s="224"/>
      <c r="Z149" s="224"/>
      <c r="AA149" s="224"/>
      <c r="AB149" s="224"/>
      <c r="AC149" s="224"/>
      <c r="AD149" s="224"/>
      <c r="AE149" s="224"/>
      <c r="AF149" s="224"/>
      <c r="AG149" s="224"/>
      <c r="AH149" s="224"/>
      <c r="AI149" s="224"/>
      <c r="AJ149" s="224"/>
    </row>
    <row r="150" spans="1:496" x14ac:dyDescent="0.2">
      <c r="A150" s="224"/>
      <c r="B150" s="224"/>
      <c r="C150" s="224"/>
      <c r="D150" s="224"/>
      <c r="E150" s="559"/>
      <c r="F150" s="579"/>
      <c r="G150" s="559"/>
      <c r="H150" s="580"/>
      <c r="I150" s="580"/>
      <c r="J150" s="559"/>
      <c r="K150" s="564"/>
      <c r="L150" s="564"/>
      <c r="M150" s="575"/>
      <c r="N150" s="565"/>
      <c r="O150" s="581"/>
      <c r="P150" s="575"/>
      <c r="Q150" s="570"/>
      <c r="R150" s="571"/>
      <c r="S150" s="583"/>
      <c r="T150" s="569"/>
      <c r="U150" s="570"/>
      <c r="V150" s="224"/>
      <c r="W150" s="224"/>
      <c r="X150" s="224"/>
      <c r="Y150" s="224"/>
      <c r="Z150" s="224"/>
      <c r="AA150" s="224"/>
      <c r="AB150" s="224"/>
      <c r="AC150" s="224"/>
      <c r="AD150" s="224"/>
      <c r="AE150" s="224"/>
      <c r="AF150" s="224"/>
      <c r="AG150" s="224"/>
      <c r="AH150" s="224"/>
      <c r="AI150" s="224"/>
      <c r="AJ150" s="224"/>
    </row>
    <row r="151" spans="1:496" x14ac:dyDescent="0.2">
      <c r="A151" s="224"/>
      <c r="B151" s="224"/>
      <c r="C151" s="224"/>
      <c r="D151" s="224"/>
      <c r="E151" s="559"/>
      <c r="F151" s="579"/>
      <c r="G151" s="559"/>
      <c r="H151" s="580"/>
      <c r="I151" s="580"/>
      <c r="J151" s="559"/>
      <c r="K151" s="564"/>
      <c r="L151" s="564"/>
      <c r="M151" s="575"/>
      <c r="N151" s="565"/>
      <c r="O151" s="581"/>
      <c r="P151" s="575"/>
      <c r="Q151" s="570"/>
      <c r="R151" s="571"/>
      <c r="S151" s="583"/>
      <c r="T151" s="569"/>
      <c r="U151" s="570"/>
      <c r="V151" s="224"/>
      <c r="W151" s="224"/>
      <c r="X151" s="224"/>
      <c r="Y151" s="224"/>
      <c r="Z151" s="224"/>
      <c r="AA151" s="224"/>
      <c r="AB151" s="224"/>
      <c r="AC151" s="224"/>
      <c r="AD151" s="224"/>
      <c r="AE151" s="224"/>
      <c r="AF151" s="224"/>
      <c r="AG151" s="224"/>
      <c r="AH151" s="224"/>
      <c r="AI151" s="224"/>
      <c r="AJ151" s="224"/>
    </row>
    <row r="152" spans="1:496" x14ac:dyDescent="0.2">
      <c r="A152" s="224"/>
      <c r="B152" s="224"/>
      <c r="C152" s="224"/>
      <c r="D152" s="224"/>
      <c r="E152" s="559"/>
      <c r="F152" s="579"/>
      <c r="G152" s="559"/>
      <c r="H152" s="580"/>
      <c r="I152" s="580"/>
      <c r="J152" s="559"/>
      <c r="K152" s="564"/>
      <c r="L152" s="564"/>
      <c r="M152" s="575"/>
      <c r="N152" s="565"/>
      <c r="O152" s="581"/>
      <c r="P152" s="575"/>
      <c r="Q152" s="570"/>
      <c r="R152" s="571"/>
      <c r="S152" s="583"/>
      <c r="T152" s="569"/>
      <c r="U152" s="570"/>
      <c r="V152" s="224"/>
      <c r="W152" s="224"/>
      <c r="X152" s="224"/>
      <c r="Y152" s="224"/>
      <c r="Z152" s="224"/>
      <c r="AA152" s="224"/>
      <c r="AB152" s="224"/>
      <c r="AC152" s="224"/>
      <c r="AD152" s="224"/>
      <c r="AE152" s="224"/>
      <c r="AF152" s="224"/>
      <c r="AG152" s="224"/>
      <c r="AH152" s="224"/>
      <c r="AI152" s="224"/>
      <c r="AJ152" s="224"/>
    </row>
    <row r="153" spans="1:496" x14ac:dyDescent="0.2">
      <c r="A153" s="224"/>
      <c r="B153" s="224"/>
      <c r="C153" s="224"/>
      <c r="D153" s="224"/>
      <c r="E153" s="559"/>
      <c r="F153" s="579"/>
      <c r="G153" s="559"/>
      <c r="H153" s="580"/>
      <c r="I153" s="580"/>
      <c r="J153" s="559"/>
      <c r="K153" s="564"/>
      <c r="L153" s="564"/>
      <c r="M153" s="575"/>
      <c r="N153" s="565"/>
      <c r="O153" s="581"/>
      <c r="P153" s="575"/>
      <c r="Q153" s="570"/>
      <c r="R153" s="571"/>
      <c r="S153" s="583"/>
      <c r="T153" s="569"/>
      <c r="U153" s="570"/>
      <c r="V153" s="224"/>
      <c r="W153" s="224"/>
      <c r="X153" s="224"/>
      <c r="Y153" s="224"/>
      <c r="Z153" s="224"/>
      <c r="AA153" s="224"/>
      <c r="AB153" s="224"/>
      <c r="AC153" s="224"/>
      <c r="AD153" s="224"/>
      <c r="AE153" s="224"/>
      <c r="AF153" s="224"/>
      <c r="AG153" s="224"/>
      <c r="AH153" s="224"/>
      <c r="AI153" s="224"/>
      <c r="AJ153" s="224"/>
    </row>
    <row r="154" spans="1:496" x14ac:dyDescent="0.2">
      <c r="A154" s="224"/>
      <c r="B154" s="224"/>
      <c r="C154" s="224"/>
      <c r="D154" s="224"/>
      <c r="E154" s="559"/>
      <c r="F154" s="579"/>
      <c r="G154" s="559"/>
      <c r="H154" s="580"/>
      <c r="I154" s="580"/>
      <c r="J154" s="559"/>
      <c r="K154" s="564"/>
      <c r="L154" s="564"/>
      <c r="M154" s="575"/>
      <c r="N154" s="565"/>
      <c r="O154" s="581"/>
      <c r="P154" s="575"/>
      <c r="Q154" s="570"/>
      <c r="R154" s="571"/>
      <c r="S154" s="583"/>
      <c r="T154" s="569"/>
      <c r="U154" s="570"/>
      <c r="V154" s="224"/>
      <c r="W154" s="224"/>
      <c r="X154" s="224"/>
      <c r="Y154" s="224"/>
      <c r="Z154" s="224"/>
      <c r="AA154" s="224"/>
      <c r="AB154" s="224"/>
      <c r="AC154" s="224"/>
      <c r="AD154" s="224"/>
      <c r="AE154" s="224"/>
      <c r="AF154" s="224"/>
      <c r="AG154" s="224"/>
      <c r="AH154" s="224"/>
      <c r="AI154" s="224"/>
      <c r="AJ154" s="224"/>
    </row>
    <row r="155" spans="1:496" x14ac:dyDescent="0.2">
      <c r="A155" s="224"/>
      <c r="B155" s="224"/>
      <c r="C155" s="224"/>
      <c r="D155" s="224"/>
      <c r="E155" s="559"/>
      <c r="F155" s="579"/>
      <c r="G155" s="559"/>
      <c r="H155" s="580"/>
      <c r="I155" s="580"/>
      <c r="J155" s="559"/>
      <c r="K155" s="564"/>
      <c r="L155" s="564"/>
      <c r="M155" s="575"/>
      <c r="N155" s="565"/>
      <c r="O155" s="581"/>
      <c r="P155" s="575"/>
      <c r="Q155" s="570"/>
      <c r="R155" s="571"/>
      <c r="S155" s="583"/>
      <c r="T155" s="569"/>
      <c r="U155" s="570"/>
      <c r="V155" s="224"/>
      <c r="W155" s="224"/>
      <c r="X155" s="224"/>
      <c r="Y155" s="224"/>
      <c r="Z155" s="224"/>
      <c r="AA155" s="224"/>
      <c r="AB155" s="224"/>
      <c r="AC155" s="224"/>
      <c r="AD155" s="224"/>
      <c r="AE155" s="224"/>
      <c r="AF155" s="224"/>
      <c r="AG155" s="224"/>
      <c r="AH155" s="224"/>
      <c r="AI155" s="224"/>
      <c r="AJ155" s="224"/>
    </row>
    <row r="156" spans="1:496" x14ac:dyDescent="0.2">
      <c r="A156" s="224"/>
      <c r="B156" s="224"/>
      <c r="C156" s="224"/>
      <c r="D156" s="224"/>
      <c r="E156" s="559"/>
      <c r="F156" s="579"/>
      <c r="G156" s="559"/>
      <c r="H156" s="580"/>
      <c r="I156" s="580"/>
      <c r="J156" s="559"/>
      <c r="K156" s="564"/>
      <c r="L156" s="564"/>
      <c r="M156" s="575"/>
      <c r="N156" s="565"/>
      <c r="O156" s="581"/>
      <c r="P156" s="575"/>
      <c r="Q156" s="570"/>
      <c r="R156" s="571"/>
      <c r="S156" s="583"/>
      <c r="T156" s="569"/>
      <c r="U156" s="570"/>
      <c r="V156" s="224"/>
      <c r="W156" s="224"/>
      <c r="X156" s="224"/>
      <c r="Y156" s="224"/>
      <c r="Z156" s="224"/>
      <c r="AA156" s="224"/>
      <c r="AB156" s="224"/>
      <c r="AC156" s="224"/>
      <c r="AD156" s="224"/>
      <c r="AE156" s="224"/>
      <c r="AF156" s="224"/>
      <c r="AG156" s="224"/>
      <c r="AH156" s="224"/>
      <c r="AI156" s="224"/>
      <c r="AJ156" s="224"/>
    </row>
    <row r="157" spans="1:496" x14ac:dyDescent="0.2">
      <c r="A157" s="224"/>
      <c r="B157" s="224"/>
      <c r="C157" s="224"/>
      <c r="D157" s="224"/>
      <c r="E157" s="559"/>
      <c r="F157" s="579"/>
      <c r="G157" s="559"/>
      <c r="H157" s="580"/>
      <c r="I157" s="580"/>
      <c r="J157" s="559"/>
      <c r="K157" s="564"/>
      <c r="L157" s="564"/>
      <c r="M157" s="575"/>
      <c r="N157" s="565"/>
      <c r="O157" s="581"/>
      <c r="P157" s="575"/>
      <c r="Q157" s="570"/>
      <c r="R157" s="571"/>
      <c r="S157" s="583"/>
      <c r="T157" s="569"/>
      <c r="U157" s="570"/>
      <c r="V157" s="224"/>
      <c r="W157" s="224"/>
      <c r="X157" s="224"/>
      <c r="Y157" s="224"/>
      <c r="Z157" s="224"/>
      <c r="AA157" s="224"/>
      <c r="AB157" s="224"/>
      <c r="AC157" s="224"/>
      <c r="AD157" s="224"/>
      <c r="AE157" s="224"/>
      <c r="AF157" s="224"/>
      <c r="AG157" s="224"/>
      <c r="AH157" s="224"/>
      <c r="AI157" s="224"/>
      <c r="AJ157" s="224"/>
    </row>
    <row r="158" spans="1:496" x14ac:dyDescent="0.2">
      <c r="A158" s="224"/>
      <c r="B158" s="224"/>
      <c r="C158" s="224"/>
      <c r="D158" s="224"/>
      <c r="E158" s="559"/>
      <c r="F158" s="579"/>
      <c r="G158" s="559"/>
      <c r="H158" s="580"/>
      <c r="I158" s="580"/>
      <c r="J158" s="559"/>
      <c r="K158" s="559"/>
      <c r="L158" s="559"/>
      <c r="M158" s="570"/>
      <c r="N158" s="224"/>
      <c r="O158" s="583"/>
      <c r="P158" s="570"/>
      <c r="Q158" s="570"/>
      <c r="R158" s="571"/>
      <c r="S158" s="583"/>
      <c r="T158" s="569"/>
      <c r="U158" s="570"/>
      <c r="V158" s="224"/>
      <c r="W158" s="224"/>
      <c r="X158" s="224"/>
      <c r="Y158" s="224"/>
      <c r="Z158" s="224"/>
      <c r="AA158" s="224"/>
      <c r="AB158" s="224"/>
      <c r="AC158" s="224"/>
      <c r="AD158" s="224"/>
      <c r="AE158" s="224"/>
      <c r="AF158" s="224"/>
      <c r="AG158" s="224"/>
      <c r="AH158" s="224"/>
      <c r="AI158" s="224"/>
      <c r="AJ158" s="224"/>
    </row>
    <row r="159" spans="1:496" x14ac:dyDescent="0.2">
      <c r="A159" s="224"/>
      <c r="B159" s="224"/>
      <c r="C159" s="224"/>
      <c r="D159" s="224"/>
      <c r="E159" s="224"/>
      <c r="F159" s="569"/>
      <c r="G159" s="224"/>
      <c r="H159" s="570"/>
      <c r="I159" s="570"/>
      <c r="J159" s="224"/>
      <c r="K159" s="224"/>
      <c r="L159" s="224"/>
      <c r="M159" s="570"/>
      <c r="N159" s="224"/>
      <c r="O159" s="583"/>
      <c r="P159" s="570"/>
      <c r="Q159" s="570"/>
      <c r="R159" s="571"/>
      <c r="S159" s="583"/>
      <c r="T159" s="569"/>
      <c r="U159" s="570"/>
      <c r="V159" s="224"/>
      <c r="W159" s="224"/>
      <c r="X159" s="224"/>
      <c r="Y159" s="224"/>
      <c r="Z159" s="224"/>
      <c r="AA159" s="224"/>
      <c r="AB159" s="224"/>
      <c r="AC159" s="224"/>
      <c r="AD159" s="224"/>
      <c r="AE159" s="224"/>
      <c r="AF159" s="224"/>
      <c r="AG159" s="224"/>
      <c r="AH159" s="224"/>
      <c r="AI159" s="224"/>
      <c r="AJ159" s="224"/>
    </row>
    <row r="160" spans="1:496" x14ac:dyDescent="0.2">
      <c r="A160" s="224"/>
      <c r="B160" s="224"/>
      <c r="C160" s="224"/>
      <c r="D160" s="224"/>
      <c r="E160" s="224"/>
      <c r="F160" s="569"/>
      <c r="G160" s="224"/>
      <c r="H160" s="570"/>
      <c r="I160" s="570"/>
      <c r="J160" s="224"/>
      <c r="K160" s="224"/>
      <c r="L160" s="224"/>
      <c r="M160" s="570"/>
      <c r="N160" s="224"/>
      <c r="O160" s="583"/>
      <c r="P160" s="570"/>
      <c r="Q160" s="570"/>
      <c r="R160" s="571"/>
      <c r="S160" s="583"/>
      <c r="T160" s="569"/>
      <c r="U160" s="570"/>
      <c r="V160" s="224"/>
      <c r="W160" s="224"/>
      <c r="X160" s="224"/>
      <c r="Y160" s="224"/>
      <c r="Z160" s="224"/>
      <c r="AA160" s="224"/>
      <c r="AB160" s="224"/>
      <c r="AC160" s="224"/>
      <c r="AD160" s="224"/>
      <c r="AE160" s="224"/>
      <c r="AF160" s="224"/>
      <c r="AG160" s="224"/>
      <c r="AH160" s="224"/>
      <c r="AI160" s="224"/>
      <c r="AJ160" s="224"/>
    </row>
    <row r="161" spans="1:36" x14ac:dyDescent="0.2">
      <c r="A161" s="224"/>
      <c r="B161" s="224"/>
      <c r="C161" s="224"/>
      <c r="D161" s="224"/>
      <c r="E161" s="224"/>
      <c r="F161" s="569"/>
      <c r="G161" s="224"/>
      <c r="H161" s="570"/>
      <c r="I161" s="570"/>
      <c r="J161" s="224"/>
      <c r="K161" s="224"/>
      <c r="L161" s="224"/>
      <c r="M161" s="570"/>
      <c r="N161" s="224"/>
      <c r="O161" s="583"/>
      <c r="P161" s="570"/>
      <c r="Q161" s="570"/>
      <c r="R161" s="571"/>
      <c r="S161" s="583"/>
      <c r="T161" s="569"/>
      <c r="U161" s="570"/>
      <c r="V161" s="224"/>
      <c r="W161" s="224"/>
      <c r="X161" s="224"/>
      <c r="Y161" s="224"/>
      <c r="Z161" s="224"/>
      <c r="AA161" s="224"/>
      <c r="AB161" s="224"/>
      <c r="AC161" s="224"/>
      <c r="AD161" s="224"/>
      <c r="AE161" s="224"/>
      <c r="AF161" s="224"/>
      <c r="AG161" s="224"/>
      <c r="AH161" s="224"/>
      <c r="AI161" s="224"/>
      <c r="AJ161" s="224"/>
    </row>
    <row r="162" spans="1:36" x14ac:dyDescent="0.2">
      <c r="A162" s="224"/>
      <c r="B162" s="224"/>
      <c r="C162" s="224"/>
      <c r="D162" s="224"/>
      <c r="E162" s="224"/>
      <c r="F162" s="569"/>
      <c r="G162" s="224"/>
      <c r="H162" s="570"/>
      <c r="I162" s="570"/>
      <c r="J162" s="224"/>
      <c r="K162" s="224"/>
      <c r="L162" s="224"/>
      <c r="M162" s="570"/>
      <c r="N162" s="224"/>
      <c r="O162" s="583"/>
      <c r="P162" s="570"/>
      <c r="Q162" s="570"/>
      <c r="R162" s="571"/>
      <c r="S162" s="583"/>
      <c r="T162" s="569"/>
      <c r="U162" s="570"/>
      <c r="V162" s="224"/>
      <c r="W162" s="224"/>
      <c r="X162" s="224"/>
      <c r="Y162" s="224"/>
      <c r="Z162" s="224"/>
      <c r="AA162" s="224"/>
      <c r="AB162" s="224"/>
      <c r="AC162" s="224"/>
      <c r="AD162" s="224"/>
      <c r="AE162" s="224"/>
      <c r="AF162" s="224"/>
      <c r="AG162" s="224"/>
      <c r="AH162" s="224"/>
      <c r="AI162" s="224"/>
      <c r="AJ162" s="224"/>
    </row>
    <row r="163" spans="1:36" x14ac:dyDescent="0.2">
      <c r="A163" s="224"/>
      <c r="B163" s="224"/>
      <c r="C163" s="224"/>
      <c r="D163" s="224"/>
      <c r="E163" s="224"/>
      <c r="F163" s="569"/>
      <c r="G163" s="224"/>
      <c r="H163" s="570"/>
      <c r="I163" s="570"/>
      <c r="J163" s="224"/>
      <c r="K163" s="224"/>
      <c r="L163" s="224"/>
      <c r="M163" s="570"/>
      <c r="N163" s="224"/>
      <c r="O163" s="583"/>
      <c r="P163" s="570"/>
      <c r="Q163" s="570"/>
    </row>
    <row r="164" spans="1:36" x14ac:dyDescent="0.2">
      <c r="A164" s="224"/>
      <c r="B164" s="224"/>
      <c r="C164" s="224"/>
      <c r="D164" s="224"/>
      <c r="E164" s="224"/>
      <c r="F164" s="569"/>
      <c r="G164" s="224"/>
      <c r="H164" s="570"/>
      <c r="I164" s="570"/>
      <c r="J164" s="224"/>
      <c r="K164" s="224"/>
      <c r="L164" s="224"/>
      <c r="M164" s="570"/>
      <c r="N164" s="224"/>
      <c r="O164" s="583"/>
      <c r="P164" s="570"/>
      <c r="Q164" s="570"/>
    </row>
  </sheetData>
  <sheetProtection password="CBEB" sheet="1" objects="1" scenarios="1"/>
  <mergeCells count="468">
    <mergeCell ref="A1:AK4"/>
    <mergeCell ref="A5:M6"/>
    <mergeCell ref="N5:AM5"/>
    <mergeCell ref="A7:A8"/>
    <mergeCell ref="B7:B8"/>
    <mergeCell ref="C7:C8"/>
    <mergeCell ref="D7:D8"/>
    <mergeCell ref="E7:E8"/>
    <mergeCell ref="F7:F8"/>
    <mergeCell ref="G7:G8"/>
    <mergeCell ref="AK7:AK8"/>
    <mergeCell ref="AL7:AL8"/>
    <mergeCell ref="AM7:AM8"/>
    <mergeCell ref="V7:W7"/>
    <mergeCell ref="X7:AA7"/>
    <mergeCell ref="AB7:AG7"/>
    <mergeCell ref="AH7:AJ7"/>
    <mergeCell ref="E12:F19"/>
    <mergeCell ref="G12:G15"/>
    <mergeCell ref="H12:H15"/>
    <mergeCell ref="I12:I15"/>
    <mergeCell ref="J12:J15"/>
    <mergeCell ref="K12:K19"/>
    <mergeCell ref="L12:L19"/>
    <mergeCell ref="T7:T8"/>
    <mergeCell ref="U7:U8"/>
    <mergeCell ref="N7:N8"/>
    <mergeCell ref="O7:O8"/>
    <mergeCell ref="P7:P8"/>
    <mergeCell ref="Q7:Q8"/>
    <mergeCell ref="R7:R8"/>
    <mergeCell ref="S7:S8"/>
    <mergeCell ref="H7:H8"/>
    <mergeCell ref="I7:I8"/>
    <mergeCell ref="J7:J8"/>
    <mergeCell ref="K7:K8"/>
    <mergeCell ref="L7:L8"/>
    <mergeCell ref="M7:M8"/>
    <mergeCell ref="AF12:AF19"/>
    <mergeCell ref="U12:U19"/>
    <mergeCell ref="V12:V19"/>
    <mergeCell ref="W12:W19"/>
    <mergeCell ref="X12:X19"/>
    <mergeCell ref="Y12:Y19"/>
    <mergeCell ref="Z12:Z19"/>
    <mergeCell ref="M12:M19"/>
    <mergeCell ref="N12:N15"/>
    <mergeCell ref="O12:O19"/>
    <mergeCell ref="P12:P19"/>
    <mergeCell ref="Q12:Q15"/>
    <mergeCell ref="T12:T19"/>
    <mergeCell ref="G22:G30"/>
    <mergeCell ref="H22:H30"/>
    <mergeCell ref="I22:I30"/>
    <mergeCell ref="J22:J30"/>
    <mergeCell ref="K22:K30"/>
    <mergeCell ref="L22:L30"/>
    <mergeCell ref="AL12:AL19"/>
    <mergeCell ref="AM12:AM19"/>
    <mergeCell ref="G16:G19"/>
    <mergeCell ref="H16:H19"/>
    <mergeCell ref="I16:I19"/>
    <mergeCell ref="J16:J19"/>
    <mergeCell ref="N16:N19"/>
    <mergeCell ref="Q16:Q19"/>
    <mergeCell ref="AG12:AG19"/>
    <mergeCell ref="AH12:AH19"/>
    <mergeCell ref="AI12:AI19"/>
    <mergeCell ref="AJ12:AJ19"/>
    <mergeCell ref="AK12:AK19"/>
    <mergeCell ref="AA12:AA19"/>
    <mergeCell ref="AB12:AB19"/>
    <mergeCell ref="AC12:AC19"/>
    <mergeCell ref="AD12:AD19"/>
    <mergeCell ref="AE12:AE19"/>
    <mergeCell ref="X22:X30"/>
    <mergeCell ref="Y22:Y30"/>
    <mergeCell ref="Z22:Z30"/>
    <mergeCell ref="M22:M30"/>
    <mergeCell ref="N22:N30"/>
    <mergeCell ref="O22:O30"/>
    <mergeCell ref="P22:P30"/>
    <mergeCell ref="Q22:Q28"/>
    <mergeCell ref="T22:T30"/>
    <mergeCell ref="AL22:AL30"/>
    <mergeCell ref="AM22:AM30"/>
    <mergeCell ref="Q29:Q30"/>
    <mergeCell ref="G32:G39"/>
    <mergeCell ref="H32:H39"/>
    <mergeCell ref="I32:I39"/>
    <mergeCell ref="J32:J39"/>
    <mergeCell ref="L32:L45"/>
    <mergeCell ref="M32:M45"/>
    <mergeCell ref="N32:N39"/>
    <mergeCell ref="AG22:AG30"/>
    <mergeCell ref="AH22:AH30"/>
    <mergeCell ref="AI22:AI30"/>
    <mergeCell ref="AJ22:AJ30"/>
    <mergeCell ref="AK22:AK30"/>
    <mergeCell ref="AA22:AA30"/>
    <mergeCell ref="AB22:AB30"/>
    <mergeCell ref="AC22:AC30"/>
    <mergeCell ref="AD22:AD30"/>
    <mergeCell ref="AE22:AE30"/>
    <mergeCell ref="AF22:AF30"/>
    <mergeCell ref="U22:U30"/>
    <mergeCell ref="V22:V30"/>
    <mergeCell ref="W22:W30"/>
    <mergeCell ref="W32:W45"/>
    <mergeCell ref="X32:X45"/>
    <mergeCell ref="Y32:Y45"/>
    <mergeCell ref="Z32:Z45"/>
    <mergeCell ref="AA32:AA45"/>
    <mergeCell ref="AB32:AB45"/>
    <mergeCell ref="O32:O45"/>
    <mergeCell ref="P32:P45"/>
    <mergeCell ref="Q32:Q39"/>
    <mergeCell ref="T32:T37"/>
    <mergeCell ref="U32:U37"/>
    <mergeCell ref="V32:V45"/>
    <mergeCell ref="T39:T45"/>
    <mergeCell ref="U39:U45"/>
    <mergeCell ref="AI32:AI45"/>
    <mergeCell ref="AJ32:AJ45"/>
    <mergeCell ref="AK32:AK45"/>
    <mergeCell ref="AL32:AL45"/>
    <mergeCell ref="AM32:AM45"/>
    <mergeCell ref="AC32:AC45"/>
    <mergeCell ref="AD32:AD45"/>
    <mergeCell ref="AE32:AE45"/>
    <mergeCell ref="AF32:AF45"/>
    <mergeCell ref="AG32:AG45"/>
    <mergeCell ref="AH32:AH45"/>
    <mergeCell ref="G43:G45"/>
    <mergeCell ref="H43:H45"/>
    <mergeCell ref="I43:I45"/>
    <mergeCell ref="J43:J45"/>
    <mergeCell ref="N43:N45"/>
    <mergeCell ref="Q43:Q45"/>
    <mergeCell ref="G40:G42"/>
    <mergeCell ref="H40:H42"/>
    <mergeCell ref="I40:I42"/>
    <mergeCell ref="J40:J42"/>
    <mergeCell ref="N40:N42"/>
    <mergeCell ref="Q40:Q42"/>
    <mergeCell ref="M47:M58"/>
    <mergeCell ref="N47:N50"/>
    <mergeCell ref="O47:O58"/>
    <mergeCell ref="P47:P58"/>
    <mergeCell ref="Q47:Q50"/>
    <mergeCell ref="T47:T58"/>
    <mergeCell ref="N54:N58"/>
    <mergeCell ref="Q54:Q58"/>
    <mergeCell ref="G47:G50"/>
    <mergeCell ref="H47:H50"/>
    <mergeCell ref="I47:I50"/>
    <mergeCell ref="J47:J50"/>
    <mergeCell ref="K47:K58"/>
    <mergeCell ref="L47:L58"/>
    <mergeCell ref="I54:I58"/>
    <mergeCell ref="J54:J58"/>
    <mergeCell ref="AD47:AD58"/>
    <mergeCell ref="AE47:AE58"/>
    <mergeCell ref="AF47:AF58"/>
    <mergeCell ref="U47:U58"/>
    <mergeCell ref="V47:V58"/>
    <mergeCell ref="W47:W58"/>
    <mergeCell ref="X47:X58"/>
    <mergeCell ref="Y47:Y58"/>
    <mergeCell ref="Z47:Z58"/>
    <mergeCell ref="G60:G76"/>
    <mergeCell ref="H60:H76"/>
    <mergeCell ref="I60:I76"/>
    <mergeCell ref="J60:J76"/>
    <mergeCell ref="K60:K76"/>
    <mergeCell ref="L60:L76"/>
    <mergeCell ref="AL47:AL58"/>
    <mergeCell ref="AM47:AM58"/>
    <mergeCell ref="G51:G53"/>
    <mergeCell ref="H51:H53"/>
    <mergeCell ref="I51:I53"/>
    <mergeCell ref="J51:J53"/>
    <mergeCell ref="N51:N53"/>
    <mergeCell ref="Q51:Q53"/>
    <mergeCell ref="G54:G58"/>
    <mergeCell ref="H54:H58"/>
    <mergeCell ref="AG47:AG58"/>
    <mergeCell ref="AH47:AH58"/>
    <mergeCell ref="AI47:AI58"/>
    <mergeCell ref="AJ47:AJ58"/>
    <mergeCell ref="AK47:AK58"/>
    <mergeCell ref="AA47:AA58"/>
    <mergeCell ref="AB47:AB58"/>
    <mergeCell ref="AC47:AC58"/>
    <mergeCell ref="X60:X76"/>
    <mergeCell ref="Y60:Y76"/>
    <mergeCell ref="Z60:Z76"/>
    <mergeCell ref="M60:M76"/>
    <mergeCell ref="N60:N76"/>
    <mergeCell ref="O60:O76"/>
    <mergeCell ref="P60:P76"/>
    <mergeCell ref="Q60:Q63"/>
    <mergeCell ref="T60:T76"/>
    <mergeCell ref="AL60:AL76"/>
    <mergeCell ref="AM60:AM76"/>
    <mergeCell ref="Q64:Q76"/>
    <mergeCell ref="G79:G100"/>
    <mergeCell ref="H79:H100"/>
    <mergeCell ref="I79:I100"/>
    <mergeCell ref="J79:J100"/>
    <mergeCell ref="L79:L100"/>
    <mergeCell ref="M79:M100"/>
    <mergeCell ref="N79:N100"/>
    <mergeCell ref="AG60:AG76"/>
    <mergeCell ref="AH60:AH76"/>
    <mergeCell ref="AI60:AI76"/>
    <mergeCell ref="AJ60:AJ76"/>
    <mergeCell ref="AK60:AK76"/>
    <mergeCell ref="AA60:AA76"/>
    <mergeCell ref="AB60:AB76"/>
    <mergeCell ref="AC60:AC76"/>
    <mergeCell ref="AD60:AD76"/>
    <mergeCell ref="AE60:AE76"/>
    <mergeCell ref="AF60:AF76"/>
    <mergeCell ref="U60:U76"/>
    <mergeCell ref="V60:V76"/>
    <mergeCell ref="W60:W76"/>
    <mergeCell ref="AL79:AL100"/>
    <mergeCell ref="AM79:AM100"/>
    <mergeCell ref="AC79:AC100"/>
    <mergeCell ref="AD79:AD100"/>
    <mergeCell ref="AE79:AE100"/>
    <mergeCell ref="AF79:AF100"/>
    <mergeCell ref="AG79:AG100"/>
    <mergeCell ref="AH79:AH100"/>
    <mergeCell ref="W79:W100"/>
    <mergeCell ref="X79:X100"/>
    <mergeCell ref="Y79:Y100"/>
    <mergeCell ref="Z79:Z100"/>
    <mergeCell ref="AA79:AA100"/>
    <mergeCell ref="AB79:AB100"/>
    <mergeCell ref="AI79:AI100"/>
    <mergeCell ref="AJ79:AJ100"/>
    <mergeCell ref="AK79:AK100"/>
    <mergeCell ref="O79:O100"/>
    <mergeCell ref="P79:P100"/>
    <mergeCell ref="Q79:Q96"/>
    <mergeCell ref="T79:T100"/>
    <mergeCell ref="U79:U100"/>
    <mergeCell ref="V79:V100"/>
    <mergeCell ref="Q97:Q100"/>
    <mergeCell ref="AK101:AK104"/>
    <mergeCell ref="AA101:AA104"/>
    <mergeCell ref="AB101:AB104"/>
    <mergeCell ref="AC101:AC104"/>
    <mergeCell ref="AD101:AD104"/>
    <mergeCell ref="AE101:AE104"/>
    <mergeCell ref="AF101:AF104"/>
    <mergeCell ref="U101:U104"/>
    <mergeCell ref="V101:V104"/>
    <mergeCell ref="X101:X104"/>
    <mergeCell ref="Y101:Y104"/>
    <mergeCell ref="Z101:Z104"/>
    <mergeCell ref="G106:G107"/>
    <mergeCell ref="H106:H107"/>
    <mergeCell ref="I106:I107"/>
    <mergeCell ref="J106:J107"/>
    <mergeCell ref="K106:K107"/>
    <mergeCell ref="L106:L107"/>
    <mergeCell ref="M106:M107"/>
    <mergeCell ref="N106:N107"/>
    <mergeCell ref="AG101:AG104"/>
    <mergeCell ref="G101:G104"/>
    <mergeCell ref="H101:H104"/>
    <mergeCell ref="I101:I104"/>
    <mergeCell ref="J101:J104"/>
    <mergeCell ref="K101:K104"/>
    <mergeCell ref="L101:L104"/>
    <mergeCell ref="M101:M104"/>
    <mergeCell ref="N101:N104"/>
    <mergeCell ref="O101:O104"/>
    <mergeCell ref="P101:P104"/>
    <mergeCell ref="Q101:Q104"/>
    <mergeCell ref="M108:M109"/>
    <mergeCell ref="N108:N109"/>
    <mergeCell ref="O108:O109"/>
    <mergeCell ref="W101:W104"/>
    <mergeCell ref="AL106:AL107"/>
    <mergeCell ref="AM106:AM107"/>
    <mergeCell ref="AC106:AC107"/>
    <mergeCell ref="AD106:AD107"/>
    <mergeCell ref="AE106:AE107"/>
    <mergeCell ref="AF106:AF107"/>
    <mergeCell ref="AG106:AG107"/>
    <mergeCell ref="AH106:AH107"/>
    <mergeCell ref="W106:W107"/>
    <mergeCell ref="X106:X107"/>
    <mergeCell ref="Y106:Y107"/>
    <mergeCell ref="Z106:Z107"/>
    <mergeCell ref="AA106:AA107"/>
    <mergeCell ref="AB106:AB107"/>
    <mergeCell ref="T101:T104"/>
    <mergeCell ref="AL101:AL104"/>
    <mergeCell ref="AM101:AM104"/>
    <mergeCell ref="AH101:AH104"/>
    <mergeCell ref="AI101:AI104"/>
    <mergeCell ref="AJ101:AJ104"/>
    <mergeCell ref="AI106:AI107"/>
    <mergeCell ref="AJ106:AJ107"/>
    <mergeCell ref="AK106:AK107"/>
    <mergeCell ref="O106:O107"/>
    <mergeCell ref="P106:P107"/>
    <mergeCell ref="Q106:Q107"/>
    <mergeCell ref="T106:T107"/>
    <mergeCell ref="U106:U107"/>
    <mergeCell ref="V106:V107"/>
    <mergeCell ref="AM108:AM109"/>
    <mergeCell ref="G111:G113"/>
    <mergeCell ref="H111:H113"/>
    <mergeCell ref="I111:I113"/>
    <mergeCell ref="J111:J113"/>
    <mergeCell ref="K111:K113"/>
    <mergeCell ref="L111:L113"/>
    <mergeCell ref="M111:M113"/>
    <mergeCell ref="N111:N113"/>
    <mergeCell ref="O111:O113"/>
    <mergeCell ref="AH108:AH109"/>
    <mergeCell ref="AI108:AI109"/>
    <mergeCell ref="AJ108:AJ109"/>
    <mergeCell ref="AK108:AK109"/>
    <mergeCell ref="AL108:AL109"/>
    <mergeCell ref="AB108:AB109"/>
    <mergeCell ref="AC108:AC109"/>
    <mergeCell ref="AD108:AD109"/>
    <mergeCell ref="G108:G109"/>
    <mergeCell ref="H108:H109"/>
    <mergeCell ref="I108:I109"/>
    <mergeCell ref="J108:J109"/>
    <mergeCell ref="K108:K109"/>
    <mergeCell ref="L108:L109"/>
    <mergeCell ref="AG108:AG109"/>
    <mergeCell ref="AJ111:AJ113"/>
    <mergeCell ref="AK111:AK113"/>
    <mergeCell ref="AL111:AL113"/>
    <mergeCell ref="AM111:AM113"/>
    <mergeCell ref="G115:G117"/>
    <mergeCell ref="H115:H117"/>
    <mergeCell ref="I115:I117"/>
    <mergeCell ref="J115:J117"/>
    <mergeCell ref="K115:K117"/>
    <mergeCell ref="AD111:AD113"/>
    <mergeCell ref="AE111:AE113"/>
    <mergeCell ref="AF111:AF113"/>
    <mergeCell ref="AG111:AG113"/>
    <mergeCell ref="AH111:AH113"/>
    <mergeCell ref="AI111:AI113"/>
    <mergeCell ref="X111:X113"/>
    <mergeCell ref="Y111:Y113"/>
    <mergeCell ref="Z111:Z113"/>
    <mergeCell ref="AA111:AA113"/>
    <mergeCell ref="AB111:AB113"/>
    <mergeCell ref="AC111:AC113"/>
    <mergeCell ref="P108:P109"/>
    <mergeCell ref="T108:T109"/>
    <mergeCell ref="O115:O117"/>
    <mergeCell ref="P115:P117"/>
    <mergeCell ref="Q115:Q117"/>
    <mergeCell ref="Q121:Q124"/>
    <mergeCell ref="AE108:AE109"/>
    <mergeCell ref="AF108:AF109"/>
    <mergeCell ref="U108:U109"/>
    <mergeCell ref="U111:U113"/>
    <mergeCell ref="V111:V113"/>
    <mergeCell ref="W111:W113"/>
    <mergeCell ref="V108:V109"/>
    <mergeCell ref="W108:W109"/>
    <mergeCell ref="X108:X109"/>
    <mergeCell ref="Y108:Y109"/>
    <mergeCell ref="Z108:Z109"/>
    <mergeCell ref="AA108:AA109"/>
    <mergeCell ref="T115:T117"/>
    <mergeCell ref="U115:U117"/>
    <mergeCell ref="V115:V117"/>
    <mergeCell ref="W115:W117"/>
    <mergeCell ref="X115:X117"/>
    <mergeCell ref="Y115:Y117"/>
    <mergeCell ref="P111:P113"/>
    <mergeCell ref="Q111:Q113"/>
    <mergeCell ref="G119:G124"/>
    <mergeCell ref="H119:H124"/>
    <mergeCell ref="I119:I124"/>
    <mergeCell ref="J119:J124"/>
    <mergeCell ref="L119:L124"/>
    <mergeCell ref="M119:M124"/>
    <mergeCell ref="N119:N124"/>
    <mergeCell ref="L115:L117"/>
    <mergeCell ref="M115:M117"/>
    <mergeCell ref="N115:N117"/>
    <mergeCell ref="T111:T113"/>
    <mergeCell ref="Z119:Z124"/>
    <mergeCell ref="AA119:AA124"/>
    <mergeCell ref="AB119:AB124"/>
    <mergeCell ref="AC119:AC124"/>
    <mergeCell ref="AF115:AF117"/>
    <mergeCell ref="U119:U124"/>
    <mergeCell ref="V119:V124"/>
    <mergeCell ref="W119:W124"/>
    <mergeCell ref="AD119:AD124"/>
    <mergeCell ref="AE119:AE124"/>
    <mergeCell ref="AF119:AF124"/>
    <mergeCell ref="AG115:AG117"/>
    <mergeCell ref="Z115:Z117"/>
    <mergeCell ref="AA115:AA117"/>
    <mergeCell ref="AB115:AB117"/>
    <mergeCell ref="AC115:AC117"/>
    <mergeCell ref="AD115:AD117"/>
    <mergeCell ref="AE115:AE117"/>
    <mergeCell ref="AG119:AG124"/>
    <mergeCell ref="X119:X124"/>
    <mergeCell ref="Y119:Y124"/>
    <mergeCell ref="AK115:AK117"/>
    <mergeCell ref="AL115:AL117"/>
    <mergeCell ref="AM115:AM117"/>
    <mergeCell ref="AH115:AH117"/>
    <mergeCell ref="AI115:AI117"/>
    <mergeCell ref="AJ115:AJ117"/>
    <mergeCell ref="AJ119:AJ124"/>
    <mergeCell ref="AK119:AK124"/>
    <mergeCell ref="AL119:AL124"/>
    <mergeCell ref="AM119:AM124"/>
    <mergeCell ref="AH119:AH124"/>
    <mergeCell ref="AI119:AI124"/>
    <mergeCell ref="A138:N138"/>
    <mergeCell ref="B141:I141"/>
    <mergeCell ref="H145:I145"/>
    <mergeCell ref="H146:I146"/>
    <mergeCell ref="AJ127:AJ137"/>
    <mergeCell ref="AK127:AK137"/>
    <mergeCell ref="P127:P137"/>
    <mergeCell ref="Q127:Q137"/>
    <mergeCell ref="V127:V137"/>
    <mergeCell ref="C126:D137"/>
    <mergeCell ref="G127:G134"/>
    <mergeCell ref="H127:H134"/>
    <mergeCell ref="I127:I134"/>
    <mergeCell ref="J127:J134"/>
    <mergeCell ref="L127:L137"/>
    <mergeCell ref="O119:O124"/>
    <mergeCell ref="AL127:AL137"/>
    <mergeCell ref="AM127:AM137"/>
    <mergeCell ref="K136:K137"/>
    <mergeCell ref="AD127:AD137"/>
    <mergeCell ref="AE127:AE137"/>
    <mergeCell ref="AF127:AF137"/>
    <mergeCell ref="AG127:AG137"/>
    <mergeCell ref="AH127:AH137"/>
    <mergeCell ref="AI127:AI137"/>
    <mergeCell ref="W127:W137"/>
    <mergeCell ref="Y127:Y137"/>
    <mergeCell ref="Z127:Z137"/>
    <mergeCell ref="AA127:AA137"/>
    <mergeCell ref="AB127:AB137"/>
    <mergeCell ref="AC127:AC137"/>
    <mergeCell ref="M127:M137"/>
    <mergeCell ref="N127:N134"/>
    <mergeCell ref="O127:O137"/>
    <mergeCell ref="P119:P124"/>
    <mergeCell ref="Q119:Q120"/>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V27"/>
  <sheetViews>
    <sheetView showGridLines="0" topLeftCell="P1" zoomScale="50" zoomScaleNormal="50" workbookViewId="0">
      <selection activeCell="AQ1" sqref="AQ1"/>
    </sheetView>
  </sheetViews>
  <sheetFormatPr baseColWidth="10" defaultColWidth="11.42578125" defaultRowHeight="14.25" x14ac:dyDescent="0.2"/>
  <cols>
    <col min="1" max="1" width="13.28515625" style="884" customWidth="1"/>
    <col min="2" max="2" width="8.42578125" style="884" customWidth="1"/>
    <col min="3" max="3" width="10.42578125" style="884" customWidth="1"/>
    <col min="4" max="4" width="15.5703125" style="884" customWidth="1"/>
    <col min="5" max="5" width="8" style="884" customWidth="1"/>
    <col min="6" max="6" width="12.140625" style="884" customWidth="1"/>
    <col min="7" max="7" width="15.140625" style="884" customWidth="1"/>
    <col min="8" max="8" width="25.140625" style="884" customWidth="1"/>
    <col min="9" max="9" width="9.85546875" style="884" customWidth="1"/>
    <col min="10" max="10" width="16" style="884" customWidth="1"/>
    <col min="11" max="11" width="23" style="884" customWidth="1"/>
    <col min="12" max="12" width="20.5703125" style="884" customWidth="1"/>
    <col min="13" max="13" width="11.42578125" style="884" customWidth="1"/>
    <col min="14" max="14" width="37.140625" style="884" customWidth="1"/>
    <col min="15" max="15" width="21.7109375" style="884" customWidth="1"/>
    <col min="16" max="16" width="19.85546875" style="884" customWidth="1"/>
    <col min="17" max="17" width="14.28515625" style="884" customWidth="1"/>
    <col min="18" max="18" width="23.28515625" style="884" customWidth="1"/>
    <col min="19" max="19" width="19.140625" style="884" customWidth="1"/>
    <col min="20" max="20" width="26.5703125" style="884" customWidth="1"/>
    <col min="21" max="21" width="40" style="884" customWidth="1"/>
    <col min="22" max="22" width="23.85546875" style="884" customWidth="1"/>
    <col min="23" max="23" width="10.7109375" style="884" customWidth="1"/>
    <col min="24" max="24" width="14.85546875" style="884" customWidth="1"/>
    <col min="25" max="38" width="10.7109375" style="884" customWidth="1"/>
    <col min="39" max="39" width="18.85546875" style="884" customWidth="1"/>
    <col min="40" max="40" width="10.5703125" style="884" bestFit="1" customWidth="1"/>
    <col min="41" max="41" width="14.140625" style="884" customWidth="1"/>
    <col min="42" max="42" width="17" style="884" customWidth="1"/>
    <col min="43" max="43" width="24.42578125" style="884" customWidth="1"/>
    <col min="44" max="56" width="14.85546875" style="884" customWidth="1"/>
    <col min="57" max="16384" width="11.42578125" style="884"/>
  </cols>
  <sheetData>
    <row r="1" spans="1:48" s="409" customFormat="1" ht="9.75" customHeight="1" x14ac:dyDescent="0.25">
      <c r="A1" s="3258" t="s">
        <v>936</v>
      </c>
      <c r="B1" s="3258"/>
      <c r="C1" s="3258"/>
      <c r="D1" s="3258"/>
      <c r="E1" s="3258"/>
      <c r="F1" s="3258"/>
      <c r="G1" s="3258"/>
      <c r="H1" s="3258"/>
      <c r="I1" s="3258"/>
      <c r="J1" s="3258"/>
      <c r="K1" s="3258"/>
      <c r="L1" s="3258"/>
      <c r="M1" s="3258"/>
      <c r="N1" s="3258"/>
      <c r="O1" s="3258"/>
      <c r="P1" s="3258"/>
      <c r="Q1" s="3258"/>
      <c r="R1" s="3258"/>
      <c r="S1" s="3258"/>
      <c r="T1" s="3258"/>
      <c r="U1" s="3258"/>
      <c r="V1" s="3258"/>
      <c r="W1" s="3258"/>
      <c r="X1" s="3258"/>
      <c r="Y1" s="3258"/>
      <c r="Z1" s="3258"/>
      <c r="AA1" s="3258"/>
      <c r="AB1" s="3258"/>
      <c r="AC1" s="3258"/>
      <c r="AD1" s="3258"/>
      <c r="AE1" s="3258"/>
      <c r="AF1" s="3258"/>
      <c r="AG1" s="3258"/>
      <c r="AH1" s="3258"/>
      <c r="AI1" s="3258"/>
      <c r="AJ1" s="3258"/>
      <c r="AK1" s="3258"/>
      <c r="AL1" s="3258"/>
      <c r="AM1" s="3258"/>
      <c r="AN1" s="3258"/>
      <c r="AO1" s="3258"/>
      <c r="AP1" s="408" t="s">
        <v>231</v>
      </c>
      <c r="AQ1" s="408" t="s">
        <v>131</v>
      </c>
    </row>
    <row r="2" spans="1:48" s="409" customFormat="1" ht="15.75" x14ac:dyDescent="0.25">
      <c r="A2" s="3258"/>
      <c r="B2" s="3258"/>
      <c r="C2" s="3258"/>
      <c r="D2" s="3258"/>
      <c r="E2" s="3258"/>
      <c r="F2" s="3258"/>
      <c r="G2" s="3258"/>
      <c r="H2" s="3258"/>
      <c r="I2" s="3258"/>
      <c r="J2" s="3258"/>
      <c r="K2" s="3258"/>
      <c r="L2" s="3258"/>
      <c r="M2" s="3258"/>
      <c r="N2" s="3258"/>
      <c r="O2" s="3258"/>
      <c r="P2" s="3258"/>
      <c r="Q2" s="3258"/>
      <c r="R2" s="3258"/>
      <c r="S2" s="3258"/>
      <c r="T2" s="3258"/>
      <c r="U2" s="3258"/>
      <c r="V2" s="3258"/>
      <c r="W2" s="3258"/>
      <c r="X2" s="3258"/>
      <c r="Y2" s="3258"/>
      <c r="Z2" s="3258"/>
      <c r="AA2" s="3258"/>
      <c r="AB2" s="3258"/>
      <c r="AC2" s="3258"/>
      <c r="AD2" s="3258"/>
      <c r="AE2" s="3258"/>
      <c r="AF2" s="3258"/>
      <c r="AG2" s="3258"/>
      <c r="AH2" s="3258"/>
      <c r="AI2" s="3258"/>
      <c r="AJ2" s="3258"/>
      <c r="AK2" s="3258"/>
      <c r="AL2" s="3258"/>
      <c r="AM2" s="3258"/>
      <c r="AN2" s="3258"/>
      <c r="AO2" s="3258"/>
      <c r="AP2" s="410" t="s">
        <v>232</v>
      </c>
      <c r="AQ2" s="408" t="s">
        <v>135</v>
      </c>
    </row>
    <row r="3" spans="1:48" s="409" customFormat="1" ht="15.75" x14ac:dyDescent="0.25">
      <c r="A3" s="3258"/>
      <c r="B3" s="3258"/>
      <c r="C3" s="3258"/>
      <c r="D3" s="3258"/>
      <c r="E3" s="3258"/>
      <c r="F3" s="3258"/>
      <c r="G3" s="3258"/>
      <c r="H3" s="3258"/>
      <c r="I3" s="3258"/>
      <c r="J3" s="3258"/>
      <c r="K3" s="3258"/>
      <c r="L3" s="3258"/>
      <c r="M3" s="3258"/>
      <c r="N3" s="3258"/>
      <c r="O3" s="3258"/>
      <c r="P3" s="3258"/>
      <c r="Q3" s="3258"/>
      <c r="R3" s="3258"/>
      <c r="S3" s="3258"/>
      <c r="T3" s="3258"/>
      <c r="U3" s="3258"/>
      <c r="V3" s="3258"/>
      <c r="W3" s="3258"/>
      <c r="X3" s="3258"/>
      <c r="Y3" s="3258"/>
      <c r="Z3" s="3258"/>
      <c r="AA3" s="3258"/>
      <c r="AB3" s="3258"/>
      <c r="AC3" s="3258"/>
      <c r="AD3" s="3258"/>
      <c r="AE3" s="3258"/>
      <c r="AF3" s="3258"/>
      <c r="AG3" s="3258"/>
      <c r="AH3" s="3258"/>
      <c r="AI3" s="3258"/>
      <c r="AJ3" s="3258"/>
      <c r="AK3" s="3258"/>
      <c r="AL3" s="3258"/>
      <c r="AM3" s="3258"/>
      <c r="AN3" s="3258"/>
      <c r="AO3" s="3258"/>
      <c r="AP3" s="408" t="s">
        <v>233</v>
      </c>
      <c r="AQ3" s="411" t="s">
        <v>136</v>
      </c>
    </row>
    <row r="4" spans="1:48" s="409" customFormat="1" ht="30.75" customHeight="1" x14ac:dyDescent="0.25">
      <c r="A4" s="3258"/>
      <c r="B4" s="3258"/>
      <c r="C4" s="3258"/>
      <c r="D4" s="3258"/>
      <c r="E4" s="3258"/>
      <c r="F4" s="3258"/>
      <c r="G4" s="3258"/>
      <c r="H4" s="3258"/>
      <c r="I4" s="3258"/>
      <c r="J4" s="3258"/>
      <c r="K4" s="3258"/>
      <c r="L4" s="3258"/>
      <c r="M4" s="3258"/>
      <c r="N4" s="3258"/>
      <c r="O4" s="3258"/>
      <c r="P4" s="3258"/>
      <c r="Q4" s="3258"/>
      <c r="R4" s="3258"/>
      <c r="S4" s="3258"/>
      <c r="T4" s="3258"/>
      <c r="U4" s="3258"/>
      <c r="V4" s="3258"/>
      <c r="W4" s="3258"/>
      <c r="X4" s="3258"/>
      <c r="Y4" s="3258"/>
      <c r="Z4" s="3258"/>
      <c r="AA4" s="3258"/>
      <c r="AB4" s="3258"/>
      <c r="AC4" s="3258"/>
      <c r="AD4" s="3258"/>
      <c r="AE4" s="3258"/>
      <c r="AF4" s="3258"/>
      <c r="AG4" s="3258"/>
      <c r="AH4" s="3258"/>
      <c r="AI4" s="3258"/>
      <c r="AJ4" s="3258"/>
      <c r="AK4" s="3258"/>
      <c r="AL4" s="3258"/>
      <c r="AM4" s="3258"/>
      <c r="AN4" s="3258"/>
      <c r="AO4" s="3258"/>
      <c r="AP4" s="408" t="s">
        <v>234</v>
      </c>
      <c r="AQ4" s="412" t="s">
        <v>1</v>
      </c>
    </row>
    <row r="5" spans="1:48" s="409" customFormat="1" ht="15.75" x14ac:dyDescent="0.25">
      <c r="A5" s="2258" t="s">
        <v>2</v>
      </c>
      <c r="B5" s="2258"/>
      <c r="C5" s="2258"/>
      <c r="D5" s="2258"/>
      <c r="E5" s="2258"/>
      <c r="F5" s="2258"/>
      <c r="G5" s="2258"/>
      <c r="H5" s="2258"/>
      <c r="I5" s="2258"/>
      <c r="J5" s="2258"/>
      <c r="K5" s="2258"/>
      <c r="L5" s="2258"/>
      <c r="M5" s="2258"/>
      <c r="N5" s="2258" t="s">
        <v>3</v>
      </c>
      <c r="O5" s="2258"/>
      <c r="P5" s="2258"/>
      <c r="Q5" s="2258"/>
      <c r="R5" s="2258"/>
      <c r="S5" s="2258"/>
      <c r="T5" s="2258"/>
      <c r="U5" s="2258"/>
      <c r="V5" s="2258"/>
      <c r="W5" s="2258"/>
      <c r="X5" s="2258"/>
      <c r="Y5" s="2258"/>
      <c r="Z5" s="2258"/>
      <c r="AA5" s="2258"/>
      <c r="AB5" s="2258"/>
      <c r="AC5" s="2258"/>
      <c r="AD5" s="2258"/>
      <c r="AE5" s="2258"/>
      <c r="AF5" s="2258"/>
      <c r="AG5" s="2258"/>
      <c r="AH5" s="2258"/>
      <c r="AI5" s="2258"/>
      <c r="AJ5" s="2258"/>
      <c r="AK5" s="2258"/>
      <c r="AL5" s="2258"/>
      <c r="AM5" s="2258"/>
      <c r="AN5" s="2258"/>
      <c r="AO5" s="2258"/>
      <c r="AP5" s="2258"/>
      <c r="AQ5" s="2258"/>
    </row>
    <row r="6" spans="1:48" s="409" customFormat="1" ht="15.75" x14ac:dyDescent="0.25">
      <c r="A6" s="2258"/>
      <c r="B6" s="2258"/>
      <c r="C6" s="2258"/>
      <c r="D6" s="2258"/>
      <c r="E6" s="2258"/>
      <c r="F6" s="2258"/>
      <c r="G6" s="2258"/>
      <c r="H6" s="2258"/>
      <c r="I6" s="2258"/>
      <c r="J6" s="2258"/>
      <c r="K6" s="2258"/>
      <c r="L6" s="2258"/>
      <c r="M6" s="2258"/>
      <c r="N6" s="880"/>
      <c r="O6" s="880"/>
      <c r="P6" s="880"/>
      <c r="Q6" s="880"/>
      <c r="R6" s="880"/>
      <c r="S6" s="880"/>
      <c r="T6" s="880"/>
      <c r="U6" s="880"/>
      <c r="V6" s="880"/>
      <c r="W6" s="880"/>
      <c r="X6" s="880"/>
      <c r="Y6" s="2258" t="s">
        <v>4</v>
      </c>
      <c r="Z6" s="2258"/>
      <c r="AA6" s="2258"/>
      <c r="AB6" s="2258"/>
      <c r="AC6" s="2258"/>
      <c r="AD6" s="2258"/>
      <c r="AE6" s="2258"/>
      <c r="AF6" s="2258"/>
      <c r="AG6" s="2258"/>
      <c r="AH6" s="2258"/>
      <c r="AI6" s="2258"/>
      <c r="AJ6" s="2258"/>
      <c r="AK6" s="2258"/>
      <c r="AL6" s="2258"/>
      <c r="AM6" s="2258"/>
      <c r="AN6" s="2258"/>
      <c r="AO6" s="2258"/>
      <c r="AP6" s="2258"/>
      <c r="AQ6" s="2258"/>
    </row>
    <row r="7" spans="1:48" s="110" customFormat="1" ht="24.75" customHeight="1" x14ac:dyDescent="0.2">
      <c r="A7" s="3227" t="s">
        <v>5</v>
      </c>
      <c r="B7" s="3220" t="s">
        <v>6</v>
      </c>
      <c r="C7" s="3227"/>
      <c r="D7" s="3214" t="s">
        <v>5</v>
      </c>
      <c r="E7" s="3220" t="s">
        <v>7</v>
      </c>
      <c r="F7" s="3227"/>
      <c r="G7" s="3214" t="s">
        <v>5</v>
      </c>
      <c r="H7" s="3220" t="s">
        <v>8</v>
      </c>
      <c r="I7" s="3227"/>
      <c r="J7" s="3214" t="s">
        <v>5</v>
      </c>
      <c r="K7" s="3214" t="s">
        <v>9</v>
      </c>
      <c r="L7" s="3214" t="s">
        <v>10</v>
      </c>
      <c r="M7" s="3220" t="s">
        <v>259</v>
      </c>
      <c r="N7" s="3214" t="s">
        <v>12</v>
      </c>
      <c r="O7" s="3214" t="s">
        <v>182</v>
      </c>
      <c r="P7" s="3214" t="s">
        <v>3</v>
      </c>
      <c r="Q7" s="3214" t="s">
        <v>14</v>
      </c>
      <c r="R7" s="3216" t="s">
        <v>15</v>
      </c>
      <c r="S7" s="3214" t="s">
        <v>16</v>
      </c>
      <c r="T7" s="3214" t="s">
        <v>17</v>
      </c>
      <c r="U7" s="3214" t="s">
        <v>18</v>
      </c>
      <c r="V7" s="3218" t="s">
        <v>15</v>
      </c>
      <c r="W7" s="3214" t="s">
        <v>5</v>
      </c>
      <c r="X7" s="3214" t="s">
        <v>19</v>
      </c>
      <c r="Y7" s="3249" t="s">
        <v>20</v>
      </c>
      <c r="Z7" s="3249"/>
      <c r="AA7" s="3249" t="s">
        <v>21</v>
      </c>
      <c r="AB7" s="3249"/>
      <c r="AC7" s="3249"/>
      <c r="AD7" s="3249"/>
      <c r="AE7" s="3250" t="s">
        <v>22</v>
      </c>
      <c r="AF7" s="3251"/>
      <c r="AG7" s="3251"/>
      <c r="AH7" s="3251"/>
      <c r="AI7" s="3251"/>
      <c r="AJ7" s="3251"/>
      <c r="AK7" s="3249" t="s">
        <v>23</v>
      </c>
      <c r="AL7" s="3249"/>
      <c r="AM7" s="3249"/>
      <c r="AN7" s="3252" t="s">
        <v>937</v>
      </c>
      <c r="AO7" s="3254" t="s">
        <v>25</v>
      </c>
      <c r="AP7" s="3231" t="s">
        <v>26</v>
      </c>
      <c r="AQ7" s="3233" t="s">
        <v>27</v>
      </c>
      <c r="AR7" s="204"/>
      <c r="AS7" s="204"/>
      <c r="AT7" s="204"/>
      <c r="AU7" s="204"/>
      <c r="AV7" s="204"/>
    </row>
    <row r="8" spans="1:48" s="110" customFormat="1" ht="127.5" customHeight="1" x14ac:dyDescent="0.2">
      <c r="A8" s="3227"/>
      <c r="B8" s="3256"/>
      <c r="C8" s="3257"/>
      <c r="D8" s="3214"/>
      <c r="E8" s="3256"/>
      <c r="F8" s="3257"/>
      <c r="G8" s="3214"/>
      <c r="H8" s="3256"/>
      <c r="I8" s="3257"/>
      <c r="J8" s="3214"/>
      <c r="K8" s="3214"/>
      <c r="L8" s="3214"/>
      <c r="M8" s="3220"/>
      <c r="N8" s="3214"/>
      <c r="O8" s="3214"/>
      <c r="P8" s="3214"/>
      <c r="Q8" s="3214"/>
      <c r="R8" s="3216"/>
      <c r="S8" s="3214"/>
      <c r="T8" s="3214"/>
      <c r="U8" s="3214"/>
      <c r="V8" s="3218"/>
      <c r="W8" s="3214"/>
      <c r="X8" s="3214"/>
      <c r="Y8" s="822" t="s">
        <v>28</v>
      </c>
      <c r="Z8" s="324" t="s">
        <v>29</v>
      </c>
      <c r="AA8" s="822" t="s">
        <v>30</v>
      </c>
      <c r="AB8" s="822" t="s">
        <v>31</v>
      </c>
      <c r="AC8" s="822" t="s">
        <v>235</v>
      </c>
      <c r="AD8" s="822" t="s">
        <v>32</v>
      </c>
      <c r="AE8" s="822" t="s">
        <v>33</v>
      </c>
      <c r="AF8" s="822" t="s">
        <v>34</v>
      </c>
      <c r="AG8" s="822" t="s">
        <v>35</v>
      </c>
      <c r="AH8" s="822" t="s">
        <v>36</v>
      </c>
      <c r="AI8" s="822" t="s">
        <v>37</v>
      </c>
      <c r="AJ8" s="822" t="s">
        <v>38</v>
      </c>
      <c r="AK8" s="822" t="s">
        <v>39</v>
      </c>
      <c r="AL8" s="822" t="s">
        <v>40</v>
      </c>
      <c r="AM8" s="822" t="s">
        <v>41</v>
      </c>
      <c r="AN8" s="3253"/>
      <c r="AO8" s="3228"/>
      <c r="AP8" s="3255"/>
      <c r="AQ8" s="3233"/>
      <c r="AR8" s="204"/>
      <c r="AS8" s="204"/>
      <c r="AT8" s="204"/>
      <c r="AU8" s="204"/>
      <c r="AV8" s="204"/>
    </row>
    <row r="9" spans="1:48" ht="15.75" x14ac:dyDescent="0.2">
      <c r="A9" s="881">
        <v>5</v>
      </c>
      <c r="B9" s="127" t="s">
        <v>43</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882"/>
      <c r="AH9" s="882"/>
      <c r="AI9" s="882"/>
      <c r="AJ9" s="882"/>
      <c r="AK9" s="882"/>
      <c r="AL9" s="882"/>
      <c r="AM9" s="882"/>
      <c r="AN9" s="882"/>
      <c r="AO9" s="882"/>
      <c r="AP9" s="882"/>
      <c r="AQ9" s="883"/>
    </row>
    <row r="10" spans="1:48" s="888" customFormat="1" ht="15.75" x14ac:dyDescent="0.2">
      <c r="A10" s="3242"/>
      <c r="B10" s="2874"/>
      <c r="C10" s="2874"/>
      <c r="D10" s="885">
        <v>25</v>
      </c>
      <c r="E10" s="3244" t="s">
        <v>183</v>
      </c>
      <c r="F10" s="3244"/>
      <c r="G10" s="3244"/>
      <c r="H10" s="3244"/>
      <c r="I10" s="3244"/>
      <c r="J10" s="3244"/>
      <c r="K10" s="3244"/>
      <c r="L10" s="3244"/>
      <c r="M10" s="3244"/>
      <c r="N10" s="3244"/>
      <c r="O10" s="3244"/>
      <c r="P10" s="3244"/>
      <c r="Q10" s="3244"/>
      <c r="R10" s="3244"/>
      <c r="S10" s="3244"/>
      <c r="T10" s="3244"/>
      <c r="U10" s="3244"/>
      <c r="V10" s="3244"/>
      <c r="W10" s="3244"/>
      <c r="X10" s="3244"/>
      <c r="Y10" s="3244"/>
      <c r="Z10" s="3244"/>
      <c r="AA10" s="3244"/>
      <c r="AB10" s="3244"/>
      <c r="AC10" s="3244"/>
      <c r="AD10" s="3244"/>
      <c r="AE10" s="3244"/>
      <c r="AF10" s="3244"/>
      <c r="AG10" s="886"/>
      <c r="AH10" s="886"/>
      <c r="AI10" s="886"/>
      <c r="AJ10" s="886"/>
      <c r="AK10" s="886"/>
      <c r="AL10" s="886"/>
      <c r="AM10" s="886"/>
      <c r="AN10" s="886"/>
      <c r="AO10" s="886"/>
      <c r="AP10" s="886"/>
      <c r="AQ10" s="887"/>
    </row>
    <row r="11" spans="1:48" s="888" customFormat="1" ht="15.75" x14ac:dyDescent="0.2">
      <c r="A11" s="3242"/>
      <c r="B11" s="2874"/>
      <c r="C11" s="2874"/>
      <c r="D11" s="2874"/>
      <c r="E11" s="2874"/>
      <c r="F11" s="2874"/>
      <c r="G11" s="889">
        <v>83</v>
      </c>
      <c r="H11" s="3245" t="s">
        <v>733</v>
      </c>
      <c r="I11" s="3246"/>
      <c r="J11" s="3246"/>
      <c r="K11" s="3246"/>
      <c r="L11" s="3246"/>
      <c r="M11" s="3246"/>
      <c r="N11" s="3246"/>
      <c r="O11" s="3246"/>
      <c r="P11" s="3246"/>
      <c r="Q11" s="3246"/>
      <c r="R11" s="3246"/>
      <c r="S11" s="3246"/>
      <c r="T11" s="3246"/>
      <c r="U11" s="3246"/>
      <c r="V11" s="3246"/>
      <c r="W11" s="3246"/>
      <c r="X11" s="3246"/>
      <c r="Y11" s="3246"/>
      <c r="Z11" s="3246"/>
      <c r="AA11" s="3246"/>
      <c r="AB11" s="3246"/>
      <c r="AC11" s="3246"/>
      <c r="AD11" s="3246"/>
      <c r="AE11" s="3246"/>
      <c r="AF11" s="3246"/>
      <c r="AG11" s="890"/>
      <c r="AH11" s="890"/>
      <c r="AI11" s="890"/>
      <c r="AJ11" s="890"/>
      <c r="AK11" s="890"/>
      <c r="AL11" s="890"/>
      <c r="AM11" s="890"/>
      <c r="AN11" s="890"/>
      <c r="AO11" s="890"/>
      <c r="AP11" s="890"/>
      <c r="AQ11" s="891"/>
    </row>
    <row r="12" spans="1:48" ht="168" customHeight="1" x14ac:dyDescent="0.2">
      <c r="A12" s="3242"/>
      <c r="B12" s="2874"/>
      <c r="C12" s="2874"/>
      <c r="D12" s="2874"/>
      <c r="E12" s="2874"/>
      <c r="F12" s="2874"/>
      <c r="G12" s="2874"/>
      <c r="H12" s="2874"/>
      <c r="I12" s="2874"/>
      <c r="J12" s="2772">
        <v>243</v>
      </c>
      <c r="K12" s="3247" t="s">
        <v>938</v>
      </c>
      <c r="L12" s="2783" t="s">
        <v>939</v>
      </c>
      <c r="M12" s="2874">
        <v>6</v>
      </c>
      <c r="N12" s="2783" t="s">
        <v>940</v>
      </c>
      <c r="O12" s="2772" t="s">
        <v>941</v>
      </c>
      <c r="P12" s="2783" t="s">
        <v>942</v>
      </c>
      <c r="Q12" s="3240">
        <v>1</v>
      </c>
      <c r="R12" s="2824">
        <v>72000000</v>
      </c>
      <c r="S12" s="2783" t="s">
        <v>943</v>
      </c>
      <c r="T12" s="2118" t="s">
        <v>944</v>
      </c>
      <c r="U12" s="2783" t="s">
        <v>945</v>
      </c>
      <c r="V12" s="2824">
        <v>18000000</v>
      </c>
      <c r="W12" s="2843">
        <v>20</v>
      </c>
      <c r="X12" s="2772" t="s">
        <v>946</v>
      </c>
      <c r="Y12" s="2812">
        <v>282326</v>
      </c>
      <c r="Z12" s="2785">
        <v>292684</v>
      </c>
      <c r="AA12" s="2785">
        <v>135912</v>
      </c>
      <c r="AB12" s="2785">
        <v>45122</v>
      </c>
      <c r="AC12" s="2785">
        <v>307101</v>
      </c>
      <c r="AD12" s="2785">
        <v>86875</v>
      </c>
      <c r="AE12" s="2785">
        <v>2145</v>
      </c>
      <c r="AF12" s="2785">
        <v>12718</v>
      </c>
      <c r="AG12" s="2785">
        <v>26</v>
      </c>
      <c r="AH12" s="2785">
        <v>37</v>
      </c>
      <c r="AI12" s="2812"/>
      <c r="AJ12" s="2812"/>
      <c r="AK12" s="2785">
        <v>43029</v>
      </c>
      <c r="AL12" s="2785">
        <v>16982</v>
      </c>
      <c r="AM12" s="2785">
        <v>60013</v>
      </c>
      <c r="AN12" s="2785">
        <f>+Y12+Z12</f>
        <v>575010</v>
      </c>
      <c r="AO12" s="3235">
        <v>43102</v>
      </c>
      <c r="AP12" s="3235">
        <v>43465</v>
      </c>
      <c r="AQ12" s="3237" t="s">
        <v>947</v>
      </c>
    </row>
    <row r="13" spans="1:48" ht="15" customHeight="1" x14ac:dyDescent="0.2">
      <c r="A13" s="3242"/>
      <c r="B13" s="2874"/>
      <c r="C13" s="2874"/>
      <c r="D13" s="2874"/>
      <c r="E13" s="2874"/>
      <c r="F13" s="2874"/>
      <c r="G13" s="2874"/>
      <c r="H13" s="2874"/>
      <c r="I13" s="2874"/>
      <c r="J13" s="2773"/>
      <c r="K13" s="3248"/>
      <c r="L13" s="2793"/>
      <c r="M13" s="2874"/>
      <c r="N13" s="2793"/>
      <c r="O13" s="2773"/>
      <c r="P13" s="2793"/>
      <c r="Q13" s="3241"/>
      <c r="R13" s="2825"/>
      <c r="S13" s="2793"/>
      <c r="T13" s="2818"/>
      <c r="U13" s="2784"/>
      <c r="V13" s="2826"/>
      <c r="W13" s="2807"/>
      <c r="X13" s="2773"/>
      <c r="Y13" s="2396"/>
      <c r="Z13" s="2822"/>
      <c r="AA13" s="2822"/>
      <c r="AB13" s="2822"/>
      <c r="AC13" s="2822"/>
      <c r="AD13" s="2822"/>
      <c r="AE13" s="2822"/>
      <c r="AF13" s="2822"/>
      <c r="AG13" s="2822"/>
      <c r="AH13" s="2822"/>
      <c r="AI13" s="2396"/>
      <c r="AJ13" s="2396"/>
      <c r="AK13" s="2822"/>
      <c r="AL13" s="2822"/>
      <c r="AM13" s="2822"/>
      <c r="AN13" s="2822"/>
      <c r="AO13" s="3236"/>
      <c r="AP13" s="3236"/>
      <c r="AQ13" s="2838"/>
    </row>
    <row r="14" spans="1:48" ht="83.25" customHeight="1" x14ac:dyDescent="0.2">
      <c r="A14" s="3242"/>
      <c r="B14" s="2874"/>
      <c r="C14" s="2874"/>
      <c r="D14" s="2874"/>
      <c r="E14" s="2874"/>
      <c r="F14" s="2874"/>
      <c r="G14" s="2874"/>
      <c r="H14" s="2874"/>
      <c r="I14" s="2874"/>
      <c r="J14" s="2773"/>
      <c r="K14" s="3248"/>
      <c r="L14" s="2793"/>
      <c r="M14" s="2874"/>
      <c r="N14" s="2793"/>
      <c r="O14" s="2773"/>
      <c r="P14" s="2793"/>
      <c r="Q14" s="3241"/>
      <c r="R14" s="2825"/>
      <c r="S14" s="2793"/>
      <c r="T14" s="2818"/>
      <c r="U14" s="2783" t="s">
        <v>948</v>
      </c>
      <c r="V14" s="2824">
        <v>18000000</v>
      </c>
      <c r="W14" s="2807"/>
      <c r="X14" s="2773"/>
      <c r="Y14" s="2396"/>
      <c r="Z14" s="2822"/>
      <c r="AA14" s="2822"/>
      <c r="AB14" s="2822"/>
      <c r="AC14" s="2822"/>
      <c r="AD14" s="2822"/>
      <c r="AE14" s="2822"/>
      <c r="AF14" s="2822"/>
      <c r="AG14" s="2822"/>
      <c r="AH14" s="2822"/>
      <c r="AI14" s="2396"/>
      <c r="AJ14" s="2396"/>
      <c r="AK14" s="2822"/>
      <c r="AL14" s="2822"/>
      <c r="AM14" s="2822"/>
      <c r="AN14" s="2822"/>
      <c r="AO14" s="3236"/>
      <c r="AP14" s="3236"/>
      <c r="AQ14" s="2838"/>
    </row>
    <row r="15" spans="1:48" ht="14.25" customHeight="1" x14ac:dyDescent="0.2">
      <c r="A15" s="3242"/>
      <c r="B15" s="2874"/>
      <c r="C15" s="2874"/>
      <c r="D15" s="2874"/>
      <c r="E15" s="2874"/>
      <c r="F15" s="2874"/>
      <c r="G15" s="2874"/>
      <c r="H15" s="2874"/>
      <c r="I15" s="2874"/>
      <c r="J15" s="2773"/>
      <c r="K15" s="3248"/>
      <c r="L15" s="2793"/>
      <c r="M15" s="2874"/>
      <c r="N15" s="2793"/>
      <c r="O15" s="2773"/>
      <c r="P15" s="2793"/>
      <c r="Q15" s="3241"/>
      <c r="R15" s="2825"/>
      <c r="S15" s="2793"/>
      <c r="T15" s="2119"/>
      <c r="U15" s="2784"/>
      <c r="V15" s="2826"/>
      <c r="W15" s="2807"/>
      <c r="X15" s="2773"/>
      <c r="Y15" s="2396"/>
      <c r="Z15" s="2822"/>
      <c r="AA15" s="2822"/>
      <c r="AB15" s="2822"/>
      <c r="AC15" s="2822"/>
      <c r="AD15" s="2822"/>
      <c r="AE15" s="2822"/>
      <c r="AF15" s="2822"/>
      <c r="AG15" s="2822"/>
      <c r="AH15" s="2822"/>
      <c r="AI15" s="2396"/>
      <c r="AJ15" s="2396"/>
      <c r="AK15" s="2822"/>
      <c r="AL15" s="2822"/>
      <c r="AM15" s="2822"/>
      <c r="AN15" s="2822"/>
      <c r="AO15" s="3236"/>
      <c r="AP15" s="3236"/>
      <c r="AQ15" s="2838"/>
    </row>
    <row r="16" spans="1:48" ht="14.25" customHeight="1" x14ac:dyDescent="0.2">
      <c r="A16" s="3242"/>
      <c r="B16" s="2874"/>
      <c r="C16" s="2874"/>
      <c r="D16" s="2874"/>
      <c r="E16" s="2874"/>
      <c r="F16" s="2874"/>
      <c r="G16" s="2874"/>
      <c r="H16" s="2874"/>
      <c r="I16" s="2874"/>
      <c r="J16" s="2773"/>
      <c r="K16" s="3248"/>
      <c r="L16" s="2793"/>
      <c r="M16" s="2874"/>
      <c r="N16" s="2793"/>
      <c r="O16" s="2773"/>
      <c r="P16" s="2793"/>
      <c r="Q16" s="3241"/>
      <c r="R16" s="2825"/>
      <c r="S16" s="2793"/>
      <c r="T16" s="2783" t="s">
        <v>949</v>
      </c>
      <c r="U16" s="2783" t="s">
        <v>950</v>
      </c>
      <c r="V16" s="2824">
        <v>18000000</v>
      </c>
      <c r="W16" s="2807"/>
      <c r="X16" s="2773"/>
      <c r="Y16" s="2396"/>
      <c r="Z16" s="2822"/>
      <c r="AA16" s="2822"/>
      <c r="AB16" s="2822"/>
      <c r="AC16" s="2822"/>
      <c r="AD16" s="2822"/>
      <c r="AE16" s="2822"/>
      <c r="AF16" s="2822"/>
      <c r="AG16" s="2822"/>
      <c r="AH16" s="2822"/>
      <c r="AI16" s="2396"/>
      <c r="AJ16" s="2396"/>
      <c r="AK16" s="2822"/>
      <c r="AL16" s="2822"/>
      <c r="AM16" s="2822"/>
      <c r="AN16" s="2822"/>
      <c r="AO16" s="3236"/>
      <c r="AP16" s="3236"/>
      <c r="AQ16" s="2838"/>
    </row>
    <row r="17" spans="1:43" ht="101.25" customHeight="1" x14ac:dyDescent="0.2">
      <c r="A17" s="3242"/>
      <c r="B17" s="2874"/>
      <c r="C17" s="2874"/>
      <c r="D17" s="2874"/>
      <c r="E17" s="2874"/>
      <c r="F17" s="2874"/>
      <c r="G17" s="2874"/>
      <c r="H17" s="2874"/>
      <c r="I17" s="2874"/>
      <c r="J17" s="2773"/>
      <c r="K17" s="3248"/>
      <c r="L17" s="2793"/>
      <c r="M17" s="2874"/>
      <c r="N17" s="2793"/>
      <c r="O17" s="2773"/>
      <c r="P17" s="2793"/>
      <c r="Q17" s="3241"/>
      <c r="R17" s="2825"/>
      <c r="S17" s="2793"/>
      <c r="T17" s="2793"/>
      <c r="U17" s="2784"/>
      <c r="V17" s="2826"/>
      <c r="W17" s="2807"/>
      <c r="X17" s="2773"/>
      <c r="Y17" s="2396"/>
      <c r="Z17" s="2822"/>
      <c r="AA17" s="2822"/>
      <c r="AB17" s="2822"/>
      <c r="AC17" s="2822"/>
      <c r="AD17" s="2822"/>
      <c r="AE17" s="2822"/>
      <c r="AF17" s="2822"/>
      <c r="AG17" s="2822"/>
      <c r="AH17" s="2822"/>
      <c r="AI17" s="2396"/>
      <c r="AJ17" s="2396"/>
      <c r="AK17" s="2822"/>
      <c r="AL17" s="2822"/>
      <c r="AM17" s="2822"/>
      <c r="AN17" s="2822"/>
      <c r="AO17" s="3236"/>
      <c r="AP17" s="3236"/>
      <c r="AQ17" s="2838"/>
    </row>
    <row r="18" spans="1:43" ht="14.25" customHeight="1" x14ac:dyDescent="0.2">
      <c r="A18" s="3242"/>
      <c r="B18" s="2874"/>
      <c r="C18" s="2874"/>
      <c r="D18" s="2874"/>
      <c r="E18" s="2874"/>
      <c r="F18" s="2874"/>
      <c r="G18" s="2874"/>
      <c r="H18" s="2874"/>
      <c r="I18" s="2874"/>
      <c r="J18" s="2773"/>
      <c r="K18" s="3248"/>
      <c r="L18" s="2793"/>
      <c r="M18" s="2874"/>
      <c r="N18" s="2793"/>
      <c r="O18" s="2773"/>
      <c r="P18" s="2793"/>
      <c r="Q18" s="3241"/>
      <c r="R18" s="2825"/>
      <c r="S18" s="2793"/>
      <c r="T18" s="2793"/>
      <c r="U18" s="2783" t="s">
        <v>951</v>
      </c>
      <c r="V18" s="2824">
        <v>18000000</v>
      </c>
      <c r="W18" s="2807"/>
      <c r="X18" s="2773"/>
      <c r="Y18" s="2396"/>
      <c r="Z18" s="2822"/>
      <c r="AA18" s="2822"/>
      <c r="AB18" s="2822"/>
      <c r="AC18" s="2822"/>
      <c r="AD18" s="2822"/>
      <c r="AE18" s="2822"/>
      <c r="AF18" s="2822"/>
      <c r="AG18" s="2822"/>
      <c r="AH18" s="2822"/>
      <c r="AI18" s="2396"/>
      <c r="AJ18" s="2396"/>
      <c r="AK18" s="2822"/>
      <c r="AL18" s="2822"/>
      <c r="AM18" s="2822"/>
      <c r="AN18" s="2822"/>
      <c r="AO18" s="3236"/>
      <c r="AP18" s="3236"/>
      <c r="AQ18" s="2838"/>
    </row>
    <row r="19" spans="1:43" ht="54.75" customHeight="1" thickBot="1" x14ac:dyDescent="0.25">
      <c r="A19" s="3243"/>
      <c r="B19" s="2772"/>
      <c r="C19" s="2772"/>
      <c r="D19" s="2772"/>
      <c r="E19" s="2772"/>
      <c r="F19" s="2772"/>
      <c r="G19" s="2772"/>
      <c r="H19" s="2772"/>
      <c r="I19" s="2772"/>
      <c r="J19" s="2773"/>
      <c r="K19" s="3248"/>
      <c r="L19" s="2793"/>
      <c r="M19" s="2772"/>
      <c r="N19" s="2793"/>
      <c r="O19" s="2773"/>
      <c r="P19" s="2793"/>
      <c r="Q19" s="3241"/>
      <c r="R19" s="2826"/>
      <c r="S19" s="2784"/>
      <c r="T19" s="2784"/>
      <c r="U19" s="2784"/>
      <c r="V19" s="2826"/>
      <c r="W19" s="2864"/>
      <c r="X19" s="2774"/>
      <c r="Y19" s="3238"/>
      <c r="Z19" s="3239"/>
      <c r="AA19" s="3239"/>
      <c r="AB19" s="2786"/>
      <c r="AC19" s="2786"/>
      <c r="AD19" s="2786"/>
      <c r="AE19" s="2786"/>
      <c r="AF19" s="2786"/>
      <c r="AG19" s="2786"/>
      <c r="AH19" s="2786"/>
      <c r="AI19" s="3238"/>
      <c r="AJ19" s="3238"/>
      <c r="AK19" s="2786"/>
      <c r="AL19" s="2786"/>
      <c r="AM19" s="2786"/>
      <c r="AN19" s="2786"/>
      <c r="AO19" s="3236"/>
      <c r="AP19" s="3236"/>
      <c r="AQ19" s="2838"/>
    </row>
    <row r="20" spans="1:43" s="895" customFormat="1" ht="16.5" thickBot="1" x14ac:dyDescent="0.3">
      <c r="A20" s="291"/>
      <c r="B20" s="292"/>
      <c r="C20" s="292"/>
      <c r="D20" s="292"/>
      <c r="E20" s="893"/>
      <c r="F20" s="893"/>
      <c r="G20" s="3001" t="s">
        <v>221</v>
      </c>
      <c r="H20" s="3001"/>
      <c r="I20" s="3001"/>
      <c r="J20" s="3001"/>
      <c r="K20" s="3001"/>
      <c r="L20" s="3001"/>
      <c r="M20" s="3001"/>
      <c r="N20" s="3001"/>
      <c r="O20" s="3001"/>
      <c r="P20" s="3001"/>
      <c r="Q20" s="3002"/>
      <c r="R20" s="894">
        <f>SUM(R12)</f>
        <v>72000000</v>
      </c>
      <c r="S20" s="291"/>
      <c r="T20" s="292"/>
      <c r="U20" s="295"/>
      <c r="V20" s="294">
        <f>SUM(V12:V19)</f>
        <v>72000000</v>
      </c>
      <c r="W20" s="297"/>
      <c r="X20" s="298"/>
      <c r="Y20" s="298"/>
      <c r="Z20" s="298"/>
      <c r="AA20" s="298"/>
      <c r="AB20" s="298"/>
      <c r="AC20" s="298"/>
      <c r="AD20" s="298"/>
      <c r="AE20" s="298"/>
      <c r="AF20" s="298"/>
      <c r="AG20" s="298"/>
      <c r="AH20" s="298"/>
      <c r="AI20" s="298"/>
      <c r="AJ20" s="298"/>
      <c r="AK20" s="298"/>
      <c r="AL20" s="298"/>
      <c r="AM20" s="298"/>
      <c r="AN20" s="298"/>
      <c r="AO20" s="299"/>
      <c r="AP20" s="300"/>
      <c r="AQ20" s="301"/>
    </row>
    <row r="21" spans="1:43" ht="14.25" customHeight="1" x14ac:dyDescent="0.2">
      <c r="R21" s="896"/>
    </row>
    <row r="22" spans="1:43" x14ac:dyDescent="0.2">
      <c r="R22" s="897"/>
    </row>
    <row r="23" spans="1:43" x14ac:dyDescent="0.2">
      <c r="V23" s="897"/>
    </row>
    <row r="26" spans="1:43" ht="15.75" x14ac:dyDescent="0.25">
      <c r="M26" s="307" t="s">
        <v>952</v>
      </c>
      <c r="N26" s="898"/>
      <c r="O26" s="898"/>
      <c r="P26" s="898"/>
      <c r="S26" s="899"/>
    </row>
    <row r="27" spans="1:43" ht="15.75" x14ac:dyDescent="0.25">
      <c r="M27" s="308" t="s">
        <v>947</v>
      </c>
      <c r="S27" s="899"/>
    </row>
  </sheetData>
  <sheetProtection password="CBEB" sheet="1" objects="1" scenarios="1"/>
  <mergeCells count="84">
    <mergeCell ref="A7:A8"/>
    <mergeCell ref="B7:C8"/>
    <mergeCell ref="D7:D8"/>
    <mergeCell ref="E7:F8"/>
    <mergeCell ref="G7:G8"/>
    <mergeCell ref="A1:AO4"/>
    <mergeCell ref="A5:M6"/>
    <mergeCell ref="N5:AQ5"/>
    <mergeCell ref="Y6:AM6"/>
    <mergeCell ref="AN6:AQ6"/>
    <mergeCell ref="T7:T8"/>
    <mergeCell ref="H7:I8"/>
    <mergeCell ref="J7:J8"/>
    <mergeCell ref="K7:K8"/>
    <mergeCell ref="L7:L8"/>
    <mergeCell ref="M7:M8"/>
    <mergeCell ref="N7:N8"/>
    <mergeCell ref="O7:O8"/>
    <mergeCell ref="P7:P8"/>
    <mergeCell ref="Q7:Q8"/>
    <mergeCell ref="R7:R8"/>
    <mergeCell ref="S7:S8"/>
    <mergeCell ref="AQ7:AQ8"/>
    <mergeCell ref="U7:U8"/>
    <mergeCell ref="V7:V8"/>
    <mergeCell ref="W7:W8"/>
    <mergeCell ref="X7:X8"/>
    <mergeCell ref="Y7:Z7"/>
    <mergeCell ref="AA7:AD7"/>
    <mergeCell ref="AE7:AJ7"/>
    <mergeCell ref="AK7:AM7"/>
    <mergeCell ref="AN7:AN8"/>
    <mergeCell ref="AO7:AO8"/>
    <mergeCell ref="AP7:AP8"/>
    <mergeCell ref="A10:A19"/>
    <mergeCell ref="B10:C19"/>
    <mergeCell ref="E10:AF10"/>
    <mergeCell ref="D11:D19"/>
    <mergeCell ref="E11:F19"/>
    <mergeCell ref="H11:AF11"/>
    <mergeCell ref="G12:G19"/>
    <mergeCell ref="H12:I19"/>
    <mergeCell ref="J12:J19"/>
    <mergeCell ref="K12:K19"/>
    <mergeCell ref="W12:W19"/>
    <mergeCell ref="L12:L19"/>
    <mergeCell ref="M12:M19"/>
    <mergeCell ref="N12:N19"/>
    <mergeCell ref="O12:O19"/>
    <mergeCell ref="P12:P19"/>
    <mergeCell ref="Q12:Q19"/>
    <mergeCell ref="R12:R19"/>
    <mergeCell ref="S12:S19"/>
    <mergeCell ref="T12:T15"/>
    <mergeCell ref="U12:U13"/>
    <mergeCell ref="V12:V13"/>
    <mergeCell ref="AI12:AI19"/>
    <mergeCell ref="X12:X19"/>
    <mergeCell ref="Y12:Y19"/>
    <mergeCell ref="Z12:Z19"/>
    <mergeCell ref="AA12:AA19"/>
    <mergeCell ref="AB12:AB19"/>
    <mergeCell ref="AC12:AC19"/>
    <mergeCell ref="AD12:AD19"/>
    <mergeCell ref="AE12:AE19"/>
    <mergeCell ref="AF12:AF19"/>
    <mergeCell ref="AG12:AG19"/>
    <mergeCell ref="AH12:AH19"/>
    <mergeCell ref="G20:Q20"/>
    <mergeCell ref="AP12:AP19"/>
    <mergeCell ref="AQ12:AQ19"/>
    <mergeCell ref="U14:U15"/>
    <mergeCell ref="V14:V15"/>
    <mergeCell ref="T16:T19"/>
    <mergeCell ref="U16:U17"/>
    <mergeCell ref="V16:V17"/>
    <mergeCell ref="U18:U19"/>
    <mergeCell ref="V18:V19"/>
    <mergeCell ref="AJ12:AJ19"/>
    <mergeCell ref="AK12:AK19"/>
    <mergeCell ref="AL12:AL19"/>
    <mergeCell ref="AM12:AM19"/>
    <mergeCell ref="AN12:AN19"/>
    <mergeCell ref="AO12:AO19"/>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MI273"/>
  <sheetViews>
    <sheetView showGridLines="0" topLeftCell="U1" zoomScale="55" zoomScaleNormal="55" workbookViewId="0">
      <selection sqref="A1:AO4"/>
    </sheetView>
  </sheetViews>
  <sheetFormatPr baseColWidth="10" defaultColWidth="11.42578125" defaultRowHeight="15" x14ac:dyDescent="0.2"/>
  <cols>
    <col min="1" max="1" width="16.5703125" style="1507" customWidth="1"/>
    <col min="2" max="2" width="5.42578125" style="1507" customWidth="1"/>
    <col min="3" max="3" width="20.42578125" style="1507" customWidth="1"/>
    <col min="4" max="4" width="18" style="1507" customWidth="1"/>
    <col min="5" max="5" width="7.42578125" style="1507" customWidth="1"/>
    <col min="6" max="6" width="19.42578125" style="1507" customWidth="1"/>
    <col min="7" max="7" width="23.28515625" style="1507" customWidth="1"/>
    <col min="8" max="8" width="26.140625" style="1507" customWidth="1"/>
    <col min="9" max="9" width="3" style="1507" customWidth="1"/>
    <col min="10" max="10" width="20" style="1507" customWidth="1"/>
    <col min="11" max="11" width="31.7109375" style="1697" customWidth="1"/>
    <col min="12" max="12" width="23.85546875" style="1539" customWidth="1"/>
    <col min="13" max="13" width="27.5703125" style="1539" customWidth="1"/>
    <col min="14" max="14" width="34.28515625" style="1601" customWidth="1"/>
    <col min="15" max="15" width="8.28515625" style="1539" customWidth="1"/>
    <col min="16" max="16" width="21.42578125" style="1697" customWidth="1"/>
    <col min="17" max="17" width="22" style="1698" customWidth="1"/>
    <col min="18" max="18" width="29" style="1539" customWidth="1"/>
    <col min="19" max="19" width="31" style="1539" customWidth="1"/>
    <col min="20" max="20" width="37.7109375" style="1697" customWidth="1"/>
    <col min="21" max="21" width="50.85546875" style="1699" customWidth="1"/>
    <col min="22" max="22" width="28.5703125" style="1699" customWidth="1"/>
    <col min="23" max="23" width="22.140625" style="1698" customWidth="1"/>
    <col min="24" max="24" width="25.5703125" style="1698" customWidth="1"/>
    <col min="25" max="26" width="11.140625" style="1701" customWidth="1"/>
    <col min="27" max="27" width="11.42578125" style="1175" customWidth="1"/>
    <col min="28" max="28" width="11.42578125" style="1701" customWidth="1"/>
    <col min="29" max="29" width="15" style="1701" customWidth="1"/>
    <col min="30" max="30" width="11.42578125" style="1701" customWidth="1"/>
    <col min="31" max="31" width="11.140625" style="1701" customWidth="1"/>
    <col min="32" max="32" width="11.140625" style="1702" customWidth="1"/>
    <col min="33" max="33" width="11.140625" style="1701" customWidth="1"/>
    <col min="34" max="34" width="11.140625" style="1175" customWidth="1"/>
    <col min="35" max="36" width="11.140625" style="1701" customWidth="1"/>
    <col min="37" max="40" width="11.140625" style="1175" customWidth="1"/>
    <col min="41" max="41" width="26.28515625" style="1507" customWidth="1"/>
    <col min="42" max="42" width="21.85546875" style="1507" customWidth="1"/>
    <col min="43" max="43" width="22.140625" style="1507" customWidth="1"/>
    <col min="44" max="16384" width="11.42578125" style="1507"/>
  </cols>
  <sheetData>
    <row r="1" spans="1:43" s="110" customFormat="1" ht="15" customHeight="1" x14ac:dyDescent="0.25">
      <c r="A1" s="2323" t="s">
        <v>2505</v>
      </c>
      <c r="B1" s="2324"/>
      <c r="C1" s="2324"/>
      <c r="D1" s="2324"/>
      <c r="E1" s="2324"/>
      <c r="F1" s="2324"/>
      <c r="G1" s="2324"/>
      <c r="H1" s="2324"/>
      <c r="I1" s="2324"/>
      <c r="J1" s="2324"/>
      <c r="K1" s="2324"/>
      <c r="L1" s="2324"/>
      <c r="M1" s="2324"/>
      <c r="N1" s="2324"/>
      <c r="O1" s="2324"/>
      <c r="P1" s="2324"/>
      <c r="Q1" s="2324"/>
      <c r="R1" s="2324"/>
      <c r="S1" s="2324"/>
      <c r="T1" s="2324"/>
      <c r="U1" s="2324"/>
      <c r="V1" s="2324"/>
      <c r="W1" s="2324"/>
      <c r="X1" s="2324"/>
      <c r="Y1" s="2324"/>
      <c r="Z1" s="2324"/>
      <c r="AA1" s="2324"/>
      <c r="AB1" s="2324"/>
      <c r="AC1" s="2324"/>
      <c r="AD1" s="2324"/>
      <c r="AE1" s="2324"/>
      <c r="AF1" s="2324"/>
      <c r="AG1" s="2324"/>
      <c r="AH1" s="2324"/>
      <c r="AI1" s="2324"/>
      <c r="AJ1" s="2324"/>
      <c r="AK1" s="2324"/>
      <c r="AL1" s="2324"/>
      <c r="AM1" s="2324"/>
      <c r="AN1" s="2324"/>
      <c r="AO1" s="2324"/>
      <c r="AP1" s="1491" t="s">
        <v>231</v>
      </c>
      <c r="AQ1" s="1492" t="s">
        <v>134</v>
      </c>
    </row>
    <row r="2" spans="1:43" s="110" customFormat="1" ht="20.25" customHeight="1" x14ac:dyDescent="0.25">
      <c r="A2" s="2326"/>
      <c r="B2" s="3259"/>
      <c r="C2" s="3259"/>
      <c r="D2" s="3259"/>
      <c r="E2" s="3259"/>
      <c r="F2" s="3259"/>
      <c r="G2" s="3259"/>
      <c r="H2" s="3259"/>
      <c r="I2" s="3259"/>
      <c r="J2" s="3259"/>
      <c r="K2" s="3259"/>
      <c r="L2" s="3259"/>
      <c r="M2" s="3259"/>
      <c r="N2" s="3259"/>
      <c r="O2" s="3259"/>
      <c r="P2" s="3259"/>
      <c r="Q2" s="3259"/>
      <c r="R2" s="3259"/>
      <c r="S2" s="3259"/>
      <c r="T2" s="3259"/>
      <c r="U2" s="3259"/>
      <c r="V2" s="3259"/>
      <c r="W2" s="3259"/>
      <c r="X2" s="3259"/>
      <c r="Y2" s="3259"/>
      <c r="Z2" s="3259"/>
      <c r="AA2" s="3259"/>
      <c r="AB2" s="3259"/>
      <c r="AC2" s="3259"/>
      <c r="AD2" s="3259"/>
      <c r="AE2" s="3259"/>
      <c r="AF2" s="3259"/>
      <c r="AG2" s="3259"/>
      <c r="AH2" s="3259"/>
      <c r="AI2" s="3259"/>
      <c r="AJ2" s="3259"/>
      <c r="AK2" s="3259"/>
      <c r="AL2" s="3259"/>
      <c r="AM2" s="3259"/>
      <c r="AN2" s="3259"/>
      <c r="AO2" s="3259"/>
      <c r="AP2" s="1493" t="s">
        <v>232</v>
      </c>
      <c r="AQ2" s="1494">
        <v>6</v>
      </c>
    </row>
    <row r="3" spans="1:43" s="110" customFormat="1" ht="15.75" customHeight="1" x14ac:dyDescent="0.25">
      <c r="A3" s="2326"/>
      <c r="B3" s="3259"/>
      <c r="C3" s="3259"/>
      <c r="D3" s="3259"/>
      <c r="E3" s="3259"/>
      <c r="F3" s="3259"/>
      <c r="G3" s="3259"/>
      <c r="H3" s="3259"/>
      <c r="I3" s="3259"/>
      <c r="J3" s="3259"/>
      <c r="K3" s="3259"/>
      <c r="L3" s="3259"/>
      <c r="M3" s="3259"/>
      <c r="N3" s="3259"/>
      <c r="O3" s="3259"/>
      <c r="P3" s="3259"/>
      <c r="Q3" s="3259"/>
      <c r="R3" s="3259"/>
      <c r="S3" s="3259"/>
      <c r="T3" s="3259"/>
      <c r="U3" s="3259"/>
      <c r="V3" s="3259"/>
      <c r="W3" s="3259"/>
      <c r="X3" s="3259"/>
      <c r="Y3" s="3259"/>
      <c r="Z3" s="3259"/>
      <c r="AA3" s="3259"/>
      <c r="AB3" s="3259"/>
      <c r="AC3" s="3259"/>
      <c r="AD3" s="3259"/>
      <c r="AE3" s="3259"/>
      <c r="AF3" s="3259"/>
      <c r="AG3" s="3259"/>
      <c r="AH3" s="3259"/>
      <c r="AI3" s="3259"/>
      <c r="AJ3" s="3259"/>
      <c r="AK3" s="3259"/>
      <c r="AL3" s="3259"/>
      <c r="AM3" s="3259"/>
      <c r="AN3" s="3259"/>
      <c r="AO3" s="3259"/>
      <c r="AP3" s="1495" t="s">
        <v>233</v>
      </c>
      <c r="AQ3" s="1496" t="s">
        <v>136</v>
      </c>
    </row>
    <row r="4" spans="1:43" s="224" customFormat="1" ht="15.75" customHeight="1" x14ac:dyDescent="0.2">
      <c r="A4" s="2327"/>
      <c r="B4" s="2254"/>
      <c r="C4" s="2254"/>
      <c r="D4" s="2254"/>
      <c r="E4" s="2254"/>
      <c r="F4" s="2254"/>
      <c r="G4" s="2254"/>
      <c r="H4" s="2254"/>
      <c r="I4" s="2254"/>
      <c r="J4" s="2254"/>
      <c r="K4" s="2254"/>
      <c r="L4" s="2254"/>
      <c r="M4" s="2254"/>
      <c r="N4" s="2254"/>
      <c r="O4" s="2254"/>
      <c r="P4" s="2254"/>
      <c r="Q4" s="2254"/>
      <c r="R4" s="2254"/>
      <c r="S4" s="2254"/>
      <c r="T4" s="2254"/>
      <c r="U4" s="2254"/>
      <c r="V4" s="2254"/>
      <c r="W4" s="2254"/>
      <c r="X4" s="2254"/>
      <c r="Y4" s="2254"/>
      <c r="Z4" s="2254"/>
      <c r="AA4" s="2254"/>
      <c r="AB4" s="2254"/>
      <c r="AC4" s="2254"/>
      <c r="AD4" s="2254"/>
      <c r="AE4" s="2254"/>
      <c r="AF4" s="2254"/>
      <c r="AG4" s="2254"/>
      <c r="AH4" s="2254"/>
      <c r="AI4" s="2254"/>
      <c r="AJ4" s="2254"/>
      <c r="AK4" s="2254"/>
      <c r="AL4" s="2254"/>
      <c r="AM4" s="2254"/>
      <c r="AN4" s="2254"/>
      <c r="AO4" s="2254"/>
      <c r="AP4" s="880" t="s">
        <v>234</v>
      </c>
      <c r="AQ4" s="1497" t="s">
        <v>181</v>
      </c>
    </row>
    <row r="5" spans="1:43" s="110" customFormat="1" ht="15" customHeight="1" x14ac:dyDescent="0.2">
      <c r="A5" s="2328" t="s">
        <v>2</v>
      </c>
      <c r="B5" s="2329"/>
      <c r="C5" s="2329"/>
      <c r="D5" s="2329"/>
      <c r="E5" s="2329"/>
      <c r="F5" s="2329"/>
      <c r="G5" s="2329"/>
      <c r="H5" s="2329"/>
      <c r="I5" s="2329"/>
      <c r="J5" s="2329"/>
      <c r="K5" s="2329"/>
      <c r="L5" s="2329"/>
      <c r="M5" s="2329"/>
      <c r="N5" s="2329"/>
      <c r="O5" s="3225"/>
      <c r="P5" s="2975" t="s">
        <v>3</v>
      </c>
      <c r="Q5" s="2329"/>
      <c r="R5" s="2329"/>
      <c r="S5" s="2329"/>
      <c r="T5" s="2329"/>
      <c r="U5" s="2329"/>
      <c r="V5" s="2329"/>
      <c r="W5" s="2329"/>
      <c r="X5" s="2329"/>
      <c r="Y5" s="2329"/>
      <c r="Z5" s="2329"/>
      <c r="AA5" s="2329"/>
      <c r="AB5" s="2329"/>
      <c r="AC5" s="2329"/>
      <c r="AD5" s="2329"/>
      <c r="AE5" s="2329"/>
      <c r="AF5" s="2329"/>
      <c r="AG5" s="2329"/>
      <c r="AH5" s="2329"/>
      <c r="AI5" s="2329"/>
      <c r="AJ5" s="2329"/>
      <c r="AK5" s="2329"/>
      <c r="AL5" s="2329"/>
      <c r="AM5" s="2329"/>
      <c r="AN5" s="2329"/>
      <c r="AO5" s="2329"/>
      <c r="AP5" s="2329"/>
      <c r="AQ5" s="3260"/>
    </row>
    <row r="6" spans="1:43" s="110" customFormat="1" ht="15.75" customHeight="1" x14ac:dyDescent="0.2">
      <c r="A6" s="2330"/>
      <c r="B6" s="2331"/>
      <c r="C6" s="2331"/>
      <c r="D6" s="2331"/>
      <c r="E6" s="2331"/>
      <c r="F6" s="2331"/>
      <c r="G6" s="2331"/>
      <c r="H6" s="2331"/>
      <c r="I6" s="2331"/>
      <c r="J6" s="2331"/>
      <c r="K6" s="2331"/>
      <c r="L6" s="2331"/>
      <c r="M6" s="2331"/>
      <c r="N6" s="2331"/>
      <c r="O6" s="2334"/>
      <c r="P6" s="3261"/>
      <c r="Q6" s="2286"/>
      <c r="R6" s="2286"/>
      <c r="S6" s="2286"/>
      <c r="T6" s="2286"/>
      <c r="U6" s="2286"/>
      <c r="V6" s="2286"/>
      <c r="W6" s="2286"/>
      <c r="X6" s="2286"/>
      <c r="Y6" s="2286"/>
      <c r="Z6" s="2286"/>
      <c r="AA6" s="2286"/>
      <c r="AB6" s="2286"/>
      <c r="AC6" s="2286"/>
      <c r="AD6" s="2286"/>
      <c r="AE6" s="2286"/>
      <c r="AF6" s="2286"/>
      <c r="AG6" s="2286"/>
      <c r="AH6" s="2286"/>
      <c r="AI6" s="2286"/>
      <c r="AJ6" s="2286"/>
      <c r="AK6" s="2286"/>
      <c r="AL6" s="2286"/>
      <c r="AM6" s="2286"/>
      <c r="AN6" s="2286"/>
      <c r="AO6" s="2286"/>
      <c r="AP6" s="2286"/>
      <c r="AQ6" s="3262"/>
    </row>
    <row r="7" spans="1:43" s="409" customFormat="1" ht="14.25" customHeight="1" x14ac:dyDescent="0.25">
      <c r="A7" s="3263" t="s">
        <v>5</v>
      </c>
      <c r="B7" s="2545" t="s">
        <v>6</v>
      </c>
      <c r="C7" s="2545"/>
      <c r="D7" s="2545" t="s">
        <v>5</v>
      </c>
      <c r="E7" s="2545" t="s">
        <v>7</v>
      </c>
      <c r="F7" s="2545"/>
      <c r="G7" s="2545" t="s">
        <v>5</v>
      </c>
      <c r="H7" s="2545" t="s">
        <v>8</v>
      </c>
      <c r="I7" s="2545"/>
      <c r="J7" s="2545" t="s">
        <v>5</v>
      </c>
      <c r="K7" s="2545" t="s">
        <v>9</v>
      </c>
      <c r="L7" s="2545" t="s">
        <v>10</v>
      </c>
      <c r="M7" s="3273" t="s">
        <v>11</v>
      </c>
      <c r="N7" s="2545" t="s">
        <v>12</v>
      </c>
      <c r="O7" s="2238" t="s">
        <v>182</v>
      </c>
      <c r="P7" s="2545" t="s">
        <v>3</v>
      </c>
      <c r="Q7" s="2545" t="s">
        <v>14</v>
      </c>
      <c r="R7" s="2545" t="s">
        <v>15</v>
      </c>
      <c r="S7" s="2545" t="s">
        <v>16</v>
      </c>
      <c r="T7" s="2545" t="s">
        <v>17</v>
      </c>
      <c r="U7" s="2545" t="s">
        <v>18</v>
      </c>
      <c r="V7" s="3273" t="s">
        <v>15</v>
      </c>
      <c r="W7" s="2238" t="s">
        <v>5</v>
      </c>
      <c r="X7" s="2545" t="s">
        <v>19</v>
      </c>
      <c r="Y7" s="3023" t="s">
        <v>20</v>
      </c>
      <c r="Z7" s="3024"/>
      <c r="AA7" s="3018" t="s">
        <v>21</v>
      </c>
      <c r="AB7" s="3019"/>
      <c r="AC7" s="3019"/>
      <c r="AD7" s="3019"/>
      <c r="AE7" s="2540" t="s">
        <v>22</v>
      </c>
      <c r="AF7" s="2541"/>
      <c r="AG7" s="2541"/>
      <c r="AH7" s="2541"/>
      <c r="AI7" s="2541"/>
      <c r="AJ7" s="2541"/>
      <c r="AK7" s="3018" t="s">
        <v>23</v>
      </c>
      <c r="AL7" s="3019"/>
      <c r="AM7" s="3019"/>
      <c r="AN7" s="2550" t="s">
        <v>24</v>
      </c>
      <c r="AO7" s="3015" t="s">
        <v>25</v>
      </c>
      <c r="AP7" s="3015" t="s">
        <v>26</v>
      </c>
      <c r="AQ7" s="2339" t="s">
        <v>27</v>
      </c>
    </row>
    <row r="8" spans="1:43" s="409" customFormat="1" ht="134.25" customHeight="1" x14ac:dyDescent="0.25">
      <c r="A8" s="3263"/>
      <c r="B8" s="2545"/>
      <c r="C8" s="2545"/>
      <c r="D8" s="2545"/>
      <c r="E8" s="2545"/>
      <c r="F8" s="2545"/>
      <c r="G8" s="2545"/>
      <c r="H8" s="2545"/>
      <c r="I8" s="2545"/>
      <c r="J8" s="2545"/>
      <c r="K8" s="2545"/>
      <c r="L8" s="2545"/>
      <c r="M8" s="3275"/>
      <c r="N8" s="2545"/>
      <c r="O8" s="2239"/>
      <c r="P8" s="2545"/>
      <c r="Q8" s="2545"/>
      <c r="R8" s="2545"/>
      <c r="S8" s="2545"/>
      <c r="T8" s="2545"/>
      <c r="U8" s="2545"/>
      <c r="V8" s="3274"/>
      <c r="W8" s="2239"/>
      <c r="X8" s="2545"/>
      <c r="Y8" s="1498" t="s">
        <v>28</v>
      </c>
      <c r="Z8" s="1498" t="s">
        <v>29</v>
      </c>
      <c r="AA8" s="1498" t="s">
        <v>30</v>
      </c>
      <c r="AB8" s="1498" t="s">
        <v>31</v>
      </c>
      <c r="AC8" s="1498" t="s">
        <v>138</v>
      </c>
      <c r="AD8" s="1498" t="s">
        <v>32</v>
      </c>
      <c r="AE8" s="1498" t="s">
        <v>33</v>
      </c>
      <c r="AF8" s="1498" t="s">
        <v>34</v>
      </c>
      <c r="AG8" s="1498" t="s">
        <v>35</v>
      </c>
      <c r="AH8" s="1498" t="s">
        <v>36</v>
      </c>
      <c r="AI8" s="1498" t="s">
        <v>37</v>
      </c>
      <c r="AJ8" s="1498" t="s">
        <v>38</v>
      </c>
      <c r="AK8" s="1498" t="s">
        <v>39</v>
      </c>
      <c r="AL8" s="1498" t="s">
        <v>40</v>
      </c>
      <c r="AM8" s="1498" t="s">
        <v>41</v>
      </c>
      <c r="AN8" s="2551"/>
      <c r="AO8" s="3016"/>
      <c r="AP8" s="3016"/>
      <c r="AQ8" s="2340"/>
    </row>
    <row r="9" spans="1:43" ht="27.75" customHeight="1" x14ac:dyDescent="0.2">
      <c r="A9" s="1499">
        <v>3</v>
      </c>
      <c r="B9" s="1500" t="s">
        <v>706</v>
      </c>
      <c r="C9" s="1500"/>
      <c r="D9" s="1500"/>
      <c r="E9" s="1500"/>
      <c r="F9" s="1500"/>
      <c r="G9" s="1500"/>
      <c r="H9" s="1500"/>
      <c r="I9" s="1500"/>
      <c r="J9" s="1500"/>
      <c r="K9" s="1501"/>
      <c r="L9" s="1500"/>
      <c r="M9" s="1500"/>
      <c r="N9" s="1502"/>
      <c r="O9" s="1500"/>
      <c r="P9" s="1501"/>
      <c r="Q9" s="1500"/>
      <c r="R9" s="1500"/>
      <c r="S9" s="1500"/>
      <c r="T9" s="1501"/>
      <c r="U9" s="1501"/>
      <c r="V9" s="1503"/>
      <c r="W9" s="1502"/>
      <c r="X9" s="1502"/>
      <c r="Y9" s="1504"/>
      <c r="Z9" s="1504"/>
      <c r="AA9" s="1129"/>
      <c r="AB9" s="1504"/>
      <c r="AC9" s="1504"/>
      <c r="AD9" s="1504"/>
      <c r="AE9" s="1504"/>
      <c r="AF9" s="1505"/>
      <c r="AG9" s="1504"/>
      <c r="AH9" s="1129"/>
      <c r="AI9" s="1504"/>
      <c r="AJ9" s="1504"/>
      <c r="AK9" s="1129"/>
      <c r="AL9" s="1129"/>
      <c r="AM9" s="1129"/>
      <c r="AN9" s="1129"/>
      <c r="AO9" s="1500"/>
      <c r="AP9" s="1500"/>
      <c r="AQ9" s="1506"/>
    </row>
    <row r="10" spans="1:43" ht="24.75" customHeight="1" x14ac:dyDescent="0.2">
      <c r="A10" s="3264"/>
      <c r="B10" s="3265"/>
      <c r="C10" s="3266"/>
      <c r="D10" s="1508">
        <v>11</v>
      </c>
      <c r="E10" s="1509" t="s">
        <v>707</v>
      </c>
      <c r="F10" s="1509"/>
      <c r="G10" s="1510"/>
      <c r="H10" s="1510"/>
      <c r="I10" s="1510"/>
      <c r="J10" s="1510"/>
      <c r="K10" s="1511"/>
      <c r="L10" s="1510"/>
      <c r="M10" s="1510"/>
      <c r="N10" s="1512"/>
      <c r="O10" s="1510"/>
      <c r="P10" s="1511"/>
      <c r="Q10" s="1510"/>
      <c r="R10" s="1510"/>
      <c r="S10" s="1510"/>
      <c r="T10" s="1511"/>
      <c r="U10" s="1511"/>
      <c r="V10" s="1513"/>
      <c r="W10" s="1512"/>
      <c r="X10" s="1512"/>
      <c r="Y10" s="1514"/>
      <c r="Z10" s="1514"/>
      <c r="AA10" s="1515"/>
      <c r="AB10" s="1514"/>
      <c r="AC10" s="1514"/>
      <c r="AD10" s="1514"/>
      <c r="AE10" s="1514"/>
      <c r="AF10" s="1516"/>
      <c r="AG10" s="1514"/>
      <c r="AH10" s="1515"/>
      <c r="AI10" s="1514"/>
      <c r="AJ10" s="1514"/>
      <c r="AK10" s="1515"/>
      <c r="AL10" s="1515"/>
      <c r="AM10" s="1515"/>
      <c r="AN10" s="1515"/>
      <c r="AO10" s="1510"/>
      <c r="AP10" s="1510"/>
      <c r="AQ10" s="1517"/>
    </row>
    <row r="11" spans="1:43" ht="27.75" customHeight="1" x14ac:dyDescent="0.2">
      <c r="A11" s="1518"/>
      <c r="B11" s="1519"/>
      <c r="C11" s="1520"/>
      <c r="D11" s="1521"/>
      <c r="E11" s="1521"/>
      <c r="F11" s="1522"/>
      <c r="G11" s="1523">
        <v>35</v>
      </c>
      <c r="H11" s="1524" t="s">
        <v>1802</v>
      </c>
      <c r="I11" s="1524"/>
      <c r="J11" s="1524"/>
      <c r="K11" s="1525"/>
      <c r="L11" s="1524"/>
      <c r="M11" s="1524"/>
      <c r="N11" s="1526"/>
      <c r="O11" s="1524"/>
      <c r="P11" s="1525"/>
      <c r="Q11" s="1524"/>
      <c r="R11" s="1524"/>
      <c r="S11" s="1524"/>
      <c r="T11" s="1525"/>
      <c r="U11" s="1525"/>
      <c r="V11" s="1527"/>
      <c r="W11" s="1526"/>
      <c r="X11" s="1526"/>
      <c r="Y11" s="1528"/>
      <c r="Z11" s="1528"/>
      <c r="AA11" s="1529"/>
      <c r="AB11" s="1528"/>
      <c r="AC11" s="1528"/>
      <c r="AD11" s="1528"/>
      <c r="AE11" s="1528"/>
      <c r="AF11" s="1530"/>
      <c r="AG11" s="1528"/>
      <c r="AH11" s="1529"/>
      <c r="AI11" s="1528"/>
      <c r="AJ11" s="1528"/>
      <c r="AK11" s="1529"/>
      <c r="AL11" s="1529"/>
      <c r="AM11" s="1529"/>
      <c r="AN11" s="1529"/>
      <c r="AO11" s="1524"/>
      <c r="AP11" s="1524"/>
      <c r="AQ11" s="1531"/>
    </row>
    <row r="12" spans="1:43" s="1539" customFormat="1" ht="80.25" customHeight="1" x14ac:dyDescent="0.2">
      <c r="A12" s="1532"/>
      <c r="B12" s="1533"/>
      <c r="C12" s="1534"/>
      <c r="D12" s="1533"/>
      <c r="E12" s="1533"/>
      <c r="F12" s="1534"/>
      <c r="G12" s="1535"/>
      <c r="H12" s="1536"/>
      <c r="I12" s="1537"/>
      <c r="J12" s="3267">
        <v>127</v>
      </c>
      <c r="K12" s="3270" t="s">
        <v>1803</v>
      </c>
      <c r="L12" s="3267" t="s">
        <v>1804</v>
      </c>
      <c r="M12" s="3267">
        <v>1</v>
      </c>
      <c r="N12" s="3267" t="s">
        <v>1805</v>
      </c>
      <c r="O12" s="3267">
        <v>132</v>
      </c>
      <c r="P12" s="3270" t="s">
        <v>1806</v>
      </c>
      <c r="Q12" s="2797">
        <f>+(V12+V13+V14+V15+V16+V17)/R12</f>
        <v>0.50625953193403628</v>
      </c>
      <c r="R12" s="2824">
        <f>SUM(V12:V28)</f>
        <v>182282000</v>
      </c>
      <c r="S12" s="3270" t="s">
        <v>1807</v>
      </c>
      <c r="T12" s="3282" t="s">
        <v>1808</v>
      </c>
      <c r="U12" s="1538" t="s">
        <v>1809</v>
      </c>
      <c r="V12" s="535">
        <v>61282000</v>
      </c>
      <c r="W12" s="3292">
        <v>61</v>
      </c>
      <c r="X12" s="3267" t="s">
        <v>1810</v>
      </c>
      <c r="Y12" s="3267" t="s">
        <v>1811</v>
      </c>
      <c r="Z12" s="3267" t="s">
        <v>1811</v>
      </c>
      <c r="AA12" s="3276">
        <v>64149</v>
      </c>
      <c r="AB12" s="3279" t="s">
        <v>1811</v>
      </c>
      <c r="AC12" s="2877" t="s">
        <v>1811</v>
      </c>
      <c r="AD12" s="3279" t="s">
        <v>1811</v>
      </c>
      <c r="AE12" s="3279" t="s">
        <v>1811</v>
      </c>
      <c r="AF12" s="3279" t="s">
        <v>1811</v>
      </c>
      <c r="AG12" s="3279" t="s">
        <v>1811</v>
      </c>
      <c r="AH12" s="3279" t="s">
        <v>1811</v>
      </c>
      <c r="AI12" s="3279" t="s">
        <v>1811</v>
      </c>
      <c r="AJ12" s="2877" t="s">
        <v>1811</v>
      </c>
      <c r="AK12" s="3279" t="s">
        <v>1811</v>
      </c>
      <c r="AL12" s="3279" t="s">
        <v>1811</v>
      </c>
      <c r="AM12" s="2877" t="s">
        <v>1811</v>
      </c>
      <c r="AN12" s="2877" t="s">
        <v>1811</v>
      </c>
      <c r="AO12" s="3285">
        <v>43101</v>
      </c>
      <c r="AP12" s="3285">
        <v>43465</v>
      </c>
      <c r="AQ12" s="3288" t="s">
        <v>1812</v>
      </c>
    </row>
    <row r="13" spans="1:43" s="1539" customFormat="1" ht="91.5" customHeight="1" x14ac:dyDescent="0.2">
      <c r="A13" s="1532"/>
      <c r="B13" s="1533"/>
      <c r="C13" s="1534"/>
      <c r="D13" s="1533"/>
      <c r="E13" s="1533"/>
      <c r="F13" s="1534"/>
      <c r="G13" s="1540"/>
      <c r="H13" s="1533"/>
      <c r="I13" s="1534"/>
      <c r="J13" s="3268"/>
      <c r="K13" s="3271"/>
      <c r="L13" s="3268"/>
      <c r="M13" s="3268"/>
      <c r="N13" s="3268"/>
      <c r="O13" s="3268"/>
      <c r="P13" s="3271"/>
      <c r="Q13" s="2798"/>
      <c r="R13" s="2825"/>
      <c r="S13" s="3271"/>
      <c r="T13" s="3283"/>
      <c r="U13" s="1538" t="s">
        <v>1813</v>
      </c>
      <c r="V13" s="535">
        <v>5000000</v>
      </c>
      <c r="W13" s="3293"/>
      <c r="X13" s="3268"/>
      <c r="Y13" s="3268"/>
      <c r="Z13" s="3268"/>
      <c r="AA13" s="3277"/>
      <c r="AB13" s="3280"/>
      <c r="AC13" s="2878"/>
      <c r="AD13" s="3280"/>
      <c r="AE13" s="3280"/>
      <c r="AF13" s="3280"/>
      <c r="AG13" s="3280"/>
      <c r="AH13" s="3280"/>
      <c r="AI13" s="3280"/>
      <c r="AJ13" s="2878"/>
      <c r="AK13" s="3280"/>
      <c r="AL13" s="3280"/>
      <c r="AM13" s="2878"/>
      <c r="AN13" s="2878"/>
      <c r="AO13" s="3286"/>
      <c r="AP13" s="3286"/>
      <c r="AQ13" s="3289"/>
    </row>
    <row r="14" spans="1:43" s="1539" customFormat="1" ht="48" customHeight="1" x14ac:dyDescent="0.2">
      <c r="A14" s="1532"/>
      <c r="B14" s="1533"/>
      <c r="C14" s="1534"/>
      <c r="D14" s="1533"/>
      <c r="E14" s="1533"/>
      <c r="F14" s="1534"/>
      <c r="G14" s="1540"/>
      <c r="H14" s="1533"/>
      <c r="I14" s="1534"/>
      <c r="J14" s="3268"/>
      <c r="K14" s="3271"/>
      <c r="L14" s="3268"/>
      <c r="M14" s="3268"/>
      <c r="N14" s="3268"/>
      <c r="O14" s="3268"/>
      <c r="P14" s="3271"/>
      <c r="Q14" s="2798"/>
      <c r="R14" s="2825"/>
      <c r="S14" s="3271"/>
      <c r="T14" s="3283"/>
      <c r="U14" s="1538" t="s">
        <v>1814</v>
      </c>
      <c r="V14" s="535">
        <v>5000000</v>
      </c>
      <c r="W14" s="3293"/>
      <c r="X14" s="3268"/>
      <c r="Y14" s="3268"/>
      <c r="Z14" s="3268"/>
      <c r="AA14" s="3277"/>
      <c r="AB14" s="3280"/>
      <c r="AC14" s="2878"/>
      <c r="AD14" s="3280"/>
      <c r="AE14" s="3280"/>
      <c r="AF14" s="3280"/>
      <c r="AG14" s="3280"/>
      <c r="AH14" s="3280"/>
      <c r="AI14" s="3280"/>
      <c r="AJ14" s="2878"/>
      <c r="AK14" s="3280"/>
      <c r="AL14" s="3280"/>
      <c r="AM14" s="2878"/>
      <c r="AN14" s="2878"/>
      <c r="AO14" s="3286"/>
      <c r="AP14" s="3286"/>
      <c r="AQ14" s="3289"/>
    </row>
    <row r="15" spans="1:43" s="1539" customFormat="1" ht="72.75" customHeight="1" x14ac:dyDescent="0.2">
      <c r="A15" s="1532"/>
      <c r="B15" s="1533"/>
      <c r="C15" s="1534"/>
      <c r="D15" s="1533"/>
      <c r="E15" s="1533"/>
      <c r="F15" s="1534"/>
      <c r="G15" s="1540"/>
      <c r="H15" s="1533"/>
      <c r="I15" s="1534"/>
      <c r="J15" s="3268"/>
      <c r="K15" s="3271"/>
      <c r="L15" s="3268"/>
      <c r="M15" s="3268"/>
      <c r="N15" s="3268"/>
      <c r="O15" s="3268"/>
      <c r="P15" s="3271"/>
      <c r="Q15" s="2798"/>
      <c r="R15" s="2825"/>
      <c r="S15" s="3271"/>
      <c r="T15" s="3283"/>
      <c r="U15" s="1538" t="s">
        <v>1815</v>
      </c>
      <c r="V15" s="535">
        <v>1000000</v>
      </c>
      <c r="W15" s="3293"/>
      <c r="X15" s="3268"/>
      <c r="Y15" s="3268"/>
      <c r="Z15" s="3268"/>
      <c r="AA15" s="3277"/>
      <c r="AB15" s="3280"/>
      <c r="AC15" s="2878"/>
      <c r="AD15" s="3280"/>
      <c r="AE15" s="3280"/>
      <c r="AF15" s="3280"/>
      <c r="AG15" s="3280"/>
      <c r="AH15" s="3280"/>
      <c r="AI15" s="3280"/>
      <c r="AJ15" s="2878"/>
      <c r="AK15" s="3280"/>
      <c r="AL15" s="3280"/>
      <c r="AM15" s="2878"/>
      <c r="AN15" s="2878"/>
      <c r="AO15" s="3286"/>
      <c r="AP15" s="3286"/>
      <c r="AQ15" s="3289"/>
    </row>
    <row r="16" spans="1:43" s="1539" customFormat="1" ht="60" x14ac:dyDescent="0.2">
      <c r="A16" s="1532"/>
      <c r="B16" s="1533"/>
      <c r="C16" s="1534"/>
      <c r="D16" s="1533"/>
      <c r="E16" s="1533"/>
      <c r="F16" s="1534"/>
      <c r="G16" s="1540"/>
      <c r="H16" s="1533"/>
      <c r="I16" s="1534"/>
      <c r="J16" s="3268"/>
      <c r="K16" s="3271"/>
      <c r="L16" s="3268"/>
      <c r="M16" s="3268"/>
      <c r="N16" s="3268"/>
      <c r="O16" s="3268"/>
      <c r="P16" s="3271"/>
      <c r="Q16" s="2798"/>
      <c r="R16" s="2825"/>
      <c r="S16" s="3271"/>
      <c r="T16" s="3283"/>
      <c r="U16" s="1538" t="s">
        <v>1816</v>
      </c>
      <c r="V16" s="535">
        <v>10000000</v>
      </c>
      <c r="W16" s="3293"/>
      <c r="X16" s="3268"/>
      <c r="Y16" s="3268"/>
      <c r="Z16" s="3268"/>
      <c r="AA16" s="3277"/>
      <c r="AB16" s="3280"/>
      <c r="AC16" s="2878"/>
      <c r="AD16" s="3280"/>
      <c r="AE16" s="3280"/>
      <c r="AF16" s="3280"/>
      <c r="AG16" s="3280"/>
      <c r="AH16" s="3280"/>
      <c r="AI16" s="3280"/>
      <c r="AJ16" s="2878"/>
      <c r="AK16" s="3280"/>
      <c r="AL16" s="3280"/>
      <c r="AM16" s="2878"/>
      <c r="AN16" s="2878"/>
      <c r="AO16" s="3286"/>
      <c r="AP16" s="3286"/>
      <c r="AQ16" s="3289"/>
    </row>
    <row r="17" spans="1:43" s="1539" customFormat="1" ht="60" x14ac:dyDescent="0.2">
      <c r="A17" s="1532"/>
      <c r="B17" s="1533"/>
      <c r="C17" s="1534"/>
      <c r="D17" s="1533"/>
      <c r="E17" s="1533"/>
      <c r="F17" s="1534"/>
      <c r="G17" s="1540"/>
      <c r="H17" s="1533"/>
      <c r="I17" s="1534"/>
      <c r="J17" s="3269"/>
      <c r="K17" s="3272"/>
      <c r="L17" s="3269"/>
      <c r="M17" s="3269"/>
      <c r="N17" s="3268"/>
      <c r="O17" s="3268"/>
      <c r="P17" s="3271"/>
      <c r="Q17" s="2799"/>
      <c r="R17" s="2825"/>
      <c r="S17" s="3271"/>
      <c r="T17" s="3284"/>
      <c r="U17" s="1538" t="s">
        <v>1817</v>
      </c>
      <c r="V17" s="535">
        <v>10000000</v>
      </c>
      <c r="W17" s="3293"/>
      <c r="X17" s="3268"/>
      <c r="Y17" s="3268"/>
      <c r="Z17" s="3268"/>
      <c r="AA17" s="3277"/>
      <c r="AB17" s="3280"/>
      <c r="AC17" s="2878"/>
      <c r="AD17" s="3280"/>
      <c r="AE17" s="3280"/>
      <c r="AF17" s="3280"/>
      <c r="AG17" s="3280"/>
      <c r="AH17" s="3280"/>
      <c r="AI17" s="3280"/>
      <c r="AJ17" s="2878"/>
      <c r="AK17" s="3280"/>
      <c r="AL17" s="3280"/>
      <c r="AM17" s="2878"/>
      <c r="AN17" s="2878"/>
      <c r="AO17" s="3286"/>
      <c r="AP17" s="3286"/>
      <c r="AQ17" s="3289"/>
    </row>
    <row r="18" spans="1:43" s="1539" customFormat="1" ht="75" x14ac:dyDescent="0.2">
      <c r="A18" s="1532"/>
      <c r="B18" s="1533"/>
      <c r="C18" s="1534"/>
      <c r="D18" s="1533"/>
      <c r="E18" s="1533"/>
      <c r="F18" s="1534"/>
      <c r="G18" s="1540"/>
      <c r="H18" s="1533"/>
      <c r="I18" s="1534"/>
      <c r="J18" s="3267">
        <v>128</v>
      </c>
      <c r="K18" s="3270" t="s">
        <v>1818</v>
      </c>
      <c r="L18" s="3267" t="s">
        <v>1804</v>
      </c>
      <c r="M18" s="3267">
        <v>1</v>
      </c>
      <c r="N18" s="3268"/>
      <c r="O18" s="3268"/>
      <c r="P18" s="3271"/>
      <c r="Q18" s="2797">
        <f>+(V18+V19+V20+V21+V22)/R12</f>
        <v>0.20298219242711843</v>
      </c>
      <c r="R18" s="2825"/>
      <c r="S18" s="3271"/>
      <c r="T18" s="3270" t="s">
        <v>1819</v>
      </c>
      <c r="U18" s="1541" t="s">
        <v>1820</v>
      </c>
      <c r="V18" s="535">
        <v>7400000</v>
      </c>
      <c r="W18" s="3293"/>
      <c r="X18" s="3268"/>
      <c r="Y18" s="3268"/>
      <c r="Z18" s="3268"/>
      <c r="AA18" s="3277"/>
      <c r="AB18" s="3280"/>
      <c r="AC18" s="2878"/>
      <c r="AD18" s="3280"/>
      <c r="AE18" s="3280"/>
      <c r="AF18" s="3280"/>
      <c r="AG18" s="3280"/>
      <c r="AH18" s="3280"/>
      <c r="AI18" s="3280"/>
      <c r="AJ18" s="2878"/>
      <c r="AK18" s="3280"/>
      <c r="AL18" s="3280"/>
      <c r="AM18" s="2878"/>
      <c r="AN18" s="2878"/>
      <c r="AO18" s="3286"/>
      <c r="AP18" s="3286"/>
      <c r="AQ18" s="3289"/>
    </row>
    <row r="19" spans="1:43" s="1539" customFormat="1" ht="37.5" customHeight="1" x14ac:dyDescent="0.2">
      <c r="A19" s="1532"/>
      <c r="B19" s="1533"/>
      <c r="C19" s="1534"/>
      <c r="D19" s="1533"/>
      <c r="E19" s="1533"/>
      <c r="F19" s="1534"/>
      <c r="G19" s="1540"/>
      <c r="H19" s="1533"/>
      <c r="I19" s="1534"/>
      <c r="J19" s="3268"/>
      <c r="K19" s="3271"/>
      <c r="L19" s="3268"/>
      <c r="M19" s="3268"/>
      <c r="N19" s="3268"/>
      <c r="O19" s="3268"/>
      <c r="P19" s="3271"/>
      <c r="Q19" s="2798"/>
      <c r="R19" s="2825"/>
      <c r="S19" s="3271"/>
      <c r="T19" s="3271"/>
      <c r="U19" s="1541" t="s">
        <v>1821</v>
      </c>
      <c r="V19" s="535">
        <v>7400000</v>
      </c>
      <c r="W19" s="3293"/>
      <c r="X19" s="3268"/>
      <c r="Y19" s="3268"/>
      <c r="Z19" s="3268"/>
      <c r="AA19" s="3277"/>
      <c r="AB19" s="3280"/>
      <c r="AC19" s="2878"/>
      <c r="AD19" s="3280"/>
      <c r="AE19" s="3280"/>
      <c r="AF19" s="3280"/>
      <c r="AG19" s="3280"/>
      <c r="AH19" s="3280"/>
      <c r="AI19" s="3280"/>
      <c r="AJ19" s="2878"/>
      <c r="AK19" s="3280"/>
      <c r="AL19" s="3280"/>
      <c r="AM19" s="2878"/>
      <c r="AN19" s="2878"/>
      <c r="AO19" s="3286"/>
      <c r="AP19" s="3286"/>
      <c r="AQ19" s="3289"/>
    </row>
    <row r="20" spans="1:43" s="1539" customFormat="1" ht="41.25" customHeight="1" x14ac:dyDescent="0.2">
      <c r="A20" s="1532"/>
      <c r="B20" s="1533"/>
      <c r="C20" s="1534"/>
      <c r="D20" s="1533"/>
      <c r="E20" s="1533"/>
      <c r="F20" s="1534"/>
      <c r="G20" s="1540"/>
      <c r="H20" s="1533"/>
      <c r="I20" s="1534"/>
      <c r="J20" s="3268"/>
      <c r="K20" s="3271"/>
      <c r="L20" s="3268"/>
      <c r="M20" s="3268"/>
      <c r="N20" s="3268"/>
      <c r="O20" s="3268"/>
      <c r="P20" s="3271"/>
      <c r="Q20" s="2798"/>
      <c r="R20" s="2825"/>
      <c r="S20" s="3271"/>
      <c r="T20" s="3271"/>
      <c r="U20" s="1541" t="s">
        <v>1822</v>
      </c>
      <c r="V20" s="535">
        <v>7400000</v>
      </c>
      <c r="W20" s="3293"/>
      <c r="X20" s="3268"/>
      <c r="Y20" s="3268"/>
      <c r="Z20" s="3268"/>
      <c r="AA20" s="3277"/>
      <c r="AB20" s="3280"/>
      <c r="AC20" s="2878"/>
      <c r="AD20" s="3280"/>
      <c r="AE20" s="3280"/>
      <c r="AF20" s="3280"/>
      <c r="AG20" s="3280"/>
      <c r="AH20" s="3280"/>
      <c r="AI20" s="3280"/>
      <c r="AJ20" s="2878"/>
      <c r="AK20" s="3280"/>
      <c r="AL20" s="3280"/>
      <c r="AM20" s="2878"/>
      <c r="AN20" s="2878"/>
      <c r="AO20" s="3286"/>
      <c r="AP20" s="3286"/>
      <c r="AQ20" s="3289"/>
    </row>
    <row r="21" spans="1:43" s="1539" customFormat="1" ht="39.75" customHeight="1" x14ac:dyDescent="0.2">
      <c r="A21" s="1532"/>
      <c r="B21" s="1533"/>
      <c r="C21" s="1534"/>
      <c r="D21" s="1533"/>
      <c r="E21" s="1533"/>
      <c r="F21" s="1534"/>
      <c r="G21" s="1540"/>
      <c r="H21" s="1533"/>
      <c r="I21" s="1534"/>
      <c r="J21" s="3268"/>
      <c r="K21" s="3271"/>
      <c r="L21" s="3268"/>
      <c r="M21" s="3268"/>
      <c r="N21" s="3268"/>
      <c r="O21" s="3268"/>
      <c r="P21" s="3271"/>
      <c r="Q21" s="2798"/>
      <c r="R21" s="2825"/>
      <c r="S21" s="3271"/>
      <c r="T21" s="3271"/>
      <c r="U21" s="1541" t="s">
        <v>1823</v>
      </c>
      <c r="V21" s="535">
        <v>7400000</v>
      </c>
      <c r="W21" s="3293"/>
      <c r="X21" s="3268"/>
      <c r="Y21" s="3268"/>
      <c r="Z21" s="3268"/>
      <c r="AA21" s="3277"/>
      <c r="AB21" s="3280"/>
      <c r="AC21" s="2878"/>
      <c r="AD21" s="3280"/>
      <c r="AE21" s="3280"/>
      <c r="AF21" s="3280"/>
      <c r="AG21" s="3280"/>
      <c r="AH21" s="3280"/>
      <c r="AI21" s="3280"/>
      <c r="AJ21" s="2878"/>
      <c r="AK21" s="3280"/>
      <c r="AL21" s="3280"/>
      <c r="AM21" s="2878"/>
      <c r="AN21" s="2878"/>
      <c r="AO21" s="3286"/>
      <c r="AP21" s="3286"/>
      <c r="AQ21" s="3289"/>
    </row>
    <row r="22" spans="1:43" s="1539" customFormat="1" ht="69" customHeight="1" x14ac:dyDescent="0.2">
      <c r="A22" s="1532"/>
      <c r="B22" s="1533"/>
      <c r="C22" s="1534"/>
      <c r="D22" s="1533"/>
      <c r="E22" s="1533"/>
      <c r="F22" s="1534"/>
      <c r="G22" s="1540"/>
      <c r="H22" s="1533"/>
      <c r="I22" s="1534"/>
      <c r="J22" s="3268"/>
      <c r="K22" s="3271"/>
      <c r="L22" s="3268"/>
      <c r="M22" s="3268"/>
      <c r="N22" s="3268"/>
      <c r="O22" s="3268"/>
      <c r="P22" s="3271"/>
      <c r="Q22" s="2798"/>
      <c r="R22" s="2825"/>
      <c r="S22" s="3271"/>
      <c r="T22" s="3271"/>
      <c r="U22" s="1541" t="s">
        <v>1824</v>
      </c>
      <c r="V22" s="535">
        <v>7400000</v>
      </c>
      <c r="W22" s="3293"/>
      <c r="X22" s="3268"/>
      <c r="Y22" s="3268"/>
      <c r="Z22" s="3268"/>
      <c r="AA22" s="3277"/>
      <c r="AB22" s="3280"/>
      <c r="AC22" s="2878"/>
      <c r="AD22" s="3280"/>
      <c r="AE22" s="3280"/>
      <c r="AF22" s="3280"/>
      <c r="AG22" s="3280"/>
      <c r="AH22" s="3280"/>
      <c r="AI22" s="3280"/>
      <c r="AJ22" s="2878"/>
      <c r="AK22" s="3280"/>
      <c r="AL22" s="3280"/>
      <c r="AM22" s="2878"/>
      <c r="AN22" s="2878"/>
      <c r="AO22" s="3286"/>
      <c r="AP22" s="3286"/>
      <c r="AQ22" s="3289"/>
    </row>
    <row r="23" spans="1:43" s="1539" customFormat="1" ht="73.5" customHeight="1" x14ac:dyDescent="0.2">
      <c r="A23" s="1532"/>
      <c r="B23" s="1533"/>
      <c r="C23" s="1534"/>
      <c r="D23" s="1533"/>
      <c r="E23" s="1533"/>
      <c r="F23" s="1534"/>
      <c r="G23" s="1540"/>
      <c r="H23" s="1533"/>
      <c r="I23" s="1534"/>
      <c r="J23" s="3291">
        <v>129</v>
      </c>
      <c r="K23" s="3270" t="s">
        <v>1825</v>
      </c>
      <c r="L23" s="3267" t="s">
        <v>1804</v>
      </c>
      <c r="M23" s="3267">
        <v>6</v>
      </c>
      <c r="N23" s="3268"/>
      <c r="O23" s="3268"/>
      <c r="P23" s="3271"/>
      <c r="Q23" s="2797">
        <f>+(V23+V24+V25+V26+V27+V28)/R12</f>
        <v>0.29075827563884532</v>
      </c>
      <c r="R23" s="2825"/>
      <c r="S23" s="3271"/>
      <c r="T23" s="3270" t="s">
        <v>1826</v>
      </c>
      <c r="U23" s="1541" t="s">
        <v>1827</v>
      </c>
      <c r="V23" s="535">
        <v>9000000</v>
      </c>
      <c r="W23" s="3293"/>
      <c r="X23" s="3268"/>
      <c r="Y23" s="3268"/>
      <c r="Z23" s="3268"/>
      <c r="AA23" s="3277"/>
      <c r="AB23" s="3280"/>
      <c r="AC23" s="2878"/>
      <c r="AD23" s="3280"/>
      <c r="AE23" s="3280"/>
      <c r="AF23" s="3280"/>
      <c r="AG23" s="3280"/>
      <c r="AH23" s="3280"/>
      <c r="AI23" s="3280"/>
      <c r="AJ23" s="2878"/>
      <c r="AK23" s="3280"/>
      <c r="AL23" s="3280"/>
      <c r="AM23" s="2878"/>
      <c r="AN23" s="2878"/>
      <c r="AO23" s="3286"/>
      <c r="AP23" s="3286"/>
      <c r="AQ23" s="3289"/>
    </row>
    <row r="24" spans="1:43" s="1539" customFormat="1" ht="51" customHeight="1" x14ac:dyDescent="0.2">
      <c r="A24" s="1532"/>
      <c r="B24" s="1533"/>
      <c r="C24" s="1534"/>
      <c r="D24" s="1533"/>
      <c r="E24" s="1533"/>
      <c r="F24" s="1534"/>
      <c r="G24" s="1540"/>
      <c r="H24" s="1533"/>
      <c r="I24" s="1534"/>
      <c r="J24" s="3291"/>
      <c r="K24" s="3271"/>
      <c r="L24" s="3268"/>
      <c r="M24" s="3268"/>
      <c r="N24" s="3268"/>
      <c r="O24" s="3268"/>
      <c r="P24" s="3271"/>
      <c r="Q24" s="2798"/>
      <c r="R24" s="2825"/>
      <c r="S24" s="3271"/>
      <c r="T24" s="3271"/>
      <c r="U24" s="1541" t="s">
        <v>1828</v>
      </c>
      <c r="V24" s="535">
        <v>9000000</v>
      </c>
      <c r="W24" s="3293"/>
      <c r="X24" s="3268"/>
      <c r="Y24" s="3268"/>
      <c r="Z24" s="3268"/>
      <c r="AA24" s="3277"/>
      <c r="AB24" s="3280"/>
      <c r="AC24" s="2878"/>
      <c r="AD24" s="3280"/>
      <c r="AE24" s="3280"/>
      <c r="AF24" s="3280"/>
      <c r="AG24" s="3280"/>
      <c r="AH24" s="3280"/>
      <c r="AI24" s="3280"/>
      <c r="AJ24" s="2878"/>
      <c r="AK24" s="3280"/>
      <c r="AL24" s="3280"/>
      <c r="AM24" s="2878"/>
      <c r="AN24" s="2878"/>
      <c r="AO24" s="3286"/>
      <c r="AP24" s="3286"/>
      <c r="AQ24" s="3289"/>
    </row>
    <row r="25" spans="1:43" s="1539" customFormat="1" ht="58.5" customHeight="1" x14ac:dyDescent="0.2">
      <c r="A25" s="1532"/>
      <c r="B25" s="1533"/>
      <c r="C25" s="1534"/>
      <c r="D25" s="1533"/>
      <c r="E25" s="1533"/>
      <c r="F25" s="1534"/>
      <c r="G25" s="1540"/>
      <c r="H25" s="1533"/>
      <c r="I25" s="1534"/>
      <c r="J25" s="3291"/>
      <c r="K25" s="3271"/>
      <c r="L25" s="3268"/>
      <c r="M25" s="3268"/>
      <c r="N25" s="3268"/>
      <c r="O25" s="3268"/>
      <c r="P25" s="3271"/>
      <c r="Q25" s="2798"/>
      <c r="R25" s="2825"/>
      <c r="S25" s="3271"/>
      <c r="T25" s="3271"/>
      <c r="U25" s="1541" t="s">
        <v>1829</v>
      </c>
      <c r="V25" s="535">
        <v>9000000</v>
      </c>
      <c r="W25" s="3293"/>
      <c r="X25" s="3268"/>
      <c r="Y25" s="3268"/>
      <c r="Z25" s="3268"/>
      <c r="AA25" s="3277"/>
      <c r="AB25" s="3280"/>
      <c r="AC25" s="2878"/>
      <c r="AD25" s="3280"/>
      <c r="AE25" s="3280"/>
      <c r="AF25" s="3280"/>
      <c r="AG25" s="3280"/>
      <c r="AH25" s="3280"/>
      <c r="AI25" s="3280"/>
      <c r="AJ25" s="2878"/>
      <c r="AK25" s="3280"/>
      <c r="AL25" s="3280"/>
      <c r="AM25" s="2878"/>
      <c r="AN25" s="2878"/>
      <c r="AO25" s="3286"/>
      <c r="AP25" s="3286"/>
      <c r="AQ25" s="3289"/>
    </row>
    <row r="26" spans="1:43" s="1539" customFormat="1" ht="67.5" customHeight="1" x14ac:dyDescent="0.2">
      <c r="A26" s="1532"/>
      <c r="B26" s="1533"/>
      <c r="C26" s="1534"/>
      <c r="D26" s="1533"/>
      <c r="E26" s="1533"/>
      <c r="F26" s="1534"/>
      <c r="G26" s="1540"/>
      <c r="H26" s="1533"/>
      <c r="I26" s="1534"/>
      <c r="J26" s="3291"/>
      <c r="K26" s="3271"/>
      <c r="L26" s="3268"/>
      <c r="M26" s="3268"/>
      <c r="N26" s="3268"/>
      <c r="O26" s="3268"/>
      <c r="P26" s="3271"/>
      <c r="Q26" s="2798"/>
      <c r="R26" s="2825"/>
      <c r="S26" s="3271"/>
      <c r="T26" s="3271"/>
      <c r="U26" s="1541" t="s">
        <v>1830</v>
      </c>
      <c r="V26" s="535">
        <v>9000000</v>
      </c>
      <c r="W26" s="3293"/>
      <c r="X26" s="3268"/>
      <c r="Y26" s="3268"/>
      <c r="Z26" s="3268"/>
      <c r="AA26" s="3277"/>
      <c r="AB26" s="3280"/>
      <c r="AC26" s="2878"/>
      <c r="AD26" s="3280"/>
      <c r="AE26" s="3280"/>
      <c r="AF26" s="3280"/>
      <c r="AG26" s="3280"/>
      <c r="AH26" s="3280"/>
      <c r="AI26" s="3280"/>
      <c r="AJ26" s="2878"/>
      <c r="AK26" s="3280"/>
      <c r="AL26" s="3280"/>
      <c r="AM26" s="2878"/>
      <c r="AN26" s="2878"/>
      <c r="AO26" s="3286"/>
      <c r="AP26" s="3286"/>
      <c r="AQ26" s="3289"/>
    </row>
    <row r="27" spans="1:43" s="1539" customFormat="1" ht="54" customHeight="1" x14ac:dyDescent="0.2">
      <c r="A27" s="1532"/>
      <c r="B27" s="1533"/>
      <c r="C27" s="1534"/>
      <c r="D27" s="1533"/>
      <c r="E27" s="1533"/>
      <c r="F27" s="1534"/>
      <c r="G27" s="1540"/>
      <c r="H27" s="1533"/>
      <c r="I27" s="1534"/>
      <c r="J27" s="3291"/>
      <c r="K27" s="3271"/>
      <c r="L27" s="3268"/>
      <c r="M27" s="3268"/>
      <c r="N27" s="3268"/>
      <c r="O27" s="3268"/>
      <c r="P27" s="3271"/>
      <c r="Q27" s="2798"/>
      <c r="R27" s="2825"/>
      <c r="S27" s="3271"/>
      <c r="T27" s="3271"/>
      <c r="U27" s="1541" t="s">
        <v>1831</v>
      </c>
      <c r="V27" s="535">
        <v>9000000</v>
      </c>
      <c r="W27" s="3293"/>
      <c r="X27" s="3268"/>
      <c r="Y27" s="3268"/>
      <c r="Z27" s="3268"/>
      <c r="AA27" s="3277"/>
      <c r="AB27" s="3280"/>
      <c r="AC27" s="2878"/>
      <c r="AD27" s="3280"/>
      <c r="AE27" s="3280"/>
      <c r="AF27" s="3280"/>
      <c r="AG27" s="3280"/>
      <c r="AH27" s="3280"/>
      <c r="AI27" s="3280"/>
      <c r="AJ27" s="2878"/>
      <c r="AK27" s="3280"/>
      <c r="AL27" s="3280"/>
      <c r="AM27" s="2878"/>
      <c r="AN27" s="2878"/>
      <c r="AO27" s="3286"/>
      <c r="AP27" s="3286"/>
      <c r="AQ27" s="3289"/>
    </row>
    <row r="28" spans="1:43" s="1539" customFormat="1" ht="54.75" customHeight="1" x14ac:dyDescent="0.2">
      <c r="A28" s="1532"/>
      <c r="B28" s="1533"/>
      <c r="C28" s="1534"/>
      <c r="D28" s="1542"/>
      <c r="E28" s="1542"/>
      <c r="F28" s="1543"/>
      <c r="G28" s="1544"/>
      <c r="H28" s="1542"/>
      <c r="I28" s="1543"/>
      <c r="J28" s="3291"/>
      <c r="K28" s="3272"/>
      <c r="L28" s="3269"/>
      <c r="M28" s="3269"/>
      <c r="N28" s="3269"/>
      <c r="O28" s="3269"/>
      <c r="P28" s="3272"/>
      <c r="Q28" s="2799"/>
      <c r="R28" s="2826"/>
      <c r="S28" s="3272"/>
      <c r="T28" s="3272"/>
      <c r="U28" s="1541" t="s">
        <v>1832</v>
      </c>
      <c r="V28" s="535">
        <v>8000000</v>
      </c>
      <c r="W28" s="3294"/>
      <c r="X28" s="3269"/>
      <c r="Y28" s="3269"/>
      <c r="Z28" s="3269"/>
      <c r="AA28" s="3278"/>
      <c r="AB28" s="3281"/>
      <c r="AC28" s="2879"/>
      <c r="AD28" s="3281"/>
      <c r="AE28" s="3281"/>
      <c r="AF28" s="3281"/>
      <c r="AG28" s="3281"/>
      <c r="AH28" s="3281"/>
      <c r="AI28" s="3281"/>
      <c r="AJ28" s="2879"/>
      <c r="AK28" s="3281"/>
      <c r="AL28" s="3281"/>
      <c r="AM28" s="2879"/>
      <c r="AN28" s="2879"/>
      <c r="AO28" s="3287"/>
      <c r="AP28" s="3287"/>
      <c r="AQ28" s="3290"/>
    </row>
    <row r="29" spans="1:43" ht="36" customHeight="1" x14ac:dyDescent="0.2">
      <c r="A29" s="1518"/>
      <c r="C29" s="1545"/>
      <c r="D29" s="1546">
        <v>12</v>
      </c>
      <c r="E29" s="1547" t="s">
        <v>1833</v>
      </c>
      <c r="F29" s="1548"/>
      <c r="G29" s="1510"/>
      <c r="H29" s="1510"/>
      <c r="I29" s="1510"/>
      <c r="J29" s="1510"/>
      <c r="K29" s="1511"/>
      <c r="L29" s="1510"/>
      <c r="M29" s="1510"/>
      <c r="N29" s="1512"/>
      <c r="O29" s="1510"/>
      <c r="P29" s="1511"/>
      <c r="Q29" s="1510"/>
      <c r="R29" s="488"/>
      <c r="S29" s="1510"/>
      <c r="T29" s="1511"/>
      <c r="U29" s="1511"/>
      <c r="V29" s="1549"/>
      <c r="W29" s="1550"/>
      <c r="X29" s="1512"/>
      <c r="Y29" s="1512"/>
      <c r="Z29" s="1512"/>
      <c r="AA29" s="1512"/>
      <c r="AB29" s="1512"/>
      <c r="AC29" s="1512"/>
      <c r="AD29" s="1512"/>
      <c r="AE29" s="1512"/>
      <c r="AF29" s="1512"/>
      <c r="AG29" s="1512"/>
      <c r="AH29" s="1512"/>
      <c r="AI29" s="1512"/>
      <c r="AJ29" s="1512"/>
      <c r="AK29" s="1512"/>
      <c r="AL29" s="1512"/>
      <c r="AM29" s="1512"/>
      <c r="AN29" s="1512"/>
      <c r="AO29" s="1510"/>
      <c r="AP29" s="1510"/>
      <c r="AQ29" s="1517"/>
    </row>
    <row r="30" spans="1:43" ht="36" customHeight="1" x14ac:dyDescent="0.2">
      <c r="A30" s="1518"/>
      <c r="B30" s="1519"/>
      <c r="C30" s="1520"/>
      <c r="D30" s="1521"/>
      <c r="E30" s="1521"/>
      <c r="F30" s="1522"/>
      <c r="G30" s="1551">
        <v>36</v>
      </c>
      <c r="H30" s="1524" t="s">
        <v>1834</v>
      </c>
      <c r="I30" s="1524"/>
      <c r="J30" s="1524"/>
      <c r="K30" s="1525"/>
      <c r="L30" s="1524"/>
      <c r="M30" s="1524"/>
      <c r="N30" s="1526"/>
      <c r="O30" s="1524"/>
      <c r="P30" s="1525"/>
      <c r="Q30" s="1524"/>
      <c r="R30" s="1552"/>
      <c r="S30" s="1524"/>
      <c r="T30" s="1525"/>
      <c r="U30" s="1525"/>
      <c r="V30" s="1553"/>
      <c r="W30" s="1554"/>
      <c r="X30" s="1526"/>
      <c r="Y30" s="1526"/>
      <c r="Z30" s="1526"/>
      <c r="AA30" s="1526"/>
      <c r="AB30" s="1526"/>
      <c r="AC30" s="1526"/>
      <c r="AD30" s="1526"/>
      <c r="AE30" s="1526"/>
      <c r="AF30" s="1526"/>
      <c r="AG30" s="1526"/>
      <c r="AH30" s="1526"/>
      <c r="AI30" s="1526"/>
      <c r="AJ30" s="1526"/>
      <c r="AK30" s="1526"/>
      <c r="AL30" s="1526"/>
      <c r="AM30" s="1526"/>
      <c r="AN30" s="1526"/>
      <c r="AO30" s="1524"/>
      <c r="AP30" s="1524"/>
      <c r="AQ30" s="1531"/>
    </row>
    <row r="31" spans="1:43" s="1539" customFormat="1" ht="79.5" customHeight="1" x14ac:dyDescent="0.2">
      <c r="A31" s="1532"/>
      <c r="B31" s="1533"/>
      <c r="C31" s="1534"/>
      <c r="D31" s="1533"/>
      <c r="E31" s="1533"/>
      <c r="F31" s="1534"/>
      <c r="G31" s="1535"/>
      <c r="H31" s="1536"/>
      <c r="I31" s="1537"/>
      <c r="J31" s="3267">
        <v>130</v>
      </c>
      <c r="K31" s="3270" t="s">
        <v>1835</v>
      </c>
      <c r="L31" s="3267" t="s">
        <v>1804</v>
      </c>
      <c r="M31" s="3267">
        <v>1</v>
      </c>
      <c r="N31" s="3267" t="s">
        <v>1836</v>
      </c>
      <c r="O31" s="3267">
        <v>133</v>
      </c>
      <c r="P31" s="3270" t="s">
        <v>1837</v>
      </c>
      <c r="Q31" s="2797">
        <f>(V31+V33+V32)/R31</f>
        <v>0.64137931034482754</v>
      </c>
      <c r="R31" s="2824">
        <f>SUM(V31:V35)</f>
        <v>145000000</v>
      </c>
      <c r="S31" s="3270" t="s">
        <v>1838</v>
      </c>
      <c r="T31" s="3270" t="s">
        <v>1839</v>
      </c>
      <c r="U31" s="1555" t="s">
        <v>1840</v>
      </c>
      <c r="V31" s="535">
        <v>20000000</v>
      </c>
      <c r="W31" s="3292">
        <v>61</v>
      </c>
      <c r="X31" s="3267" t="s">
        <v>1810</v>
      </c>
      <c r="Y31" s="3276">
        <v>292684</v>
      </c>
      <c r="Z31" s="3276">
        <v>282326</v>
      </c>
      <c r="AA31" s="3295">
        <v>135912</v>
      </c>
      <c r="AB31" s="2168">
        <v>45122</v>
      </c>
      <c r="AC31" s="2168">
        <v>307101</v>
      </c>
      <c r="AD31" s="2168">
        <v>86875</v>
      </c>
      <c r="AE31" s="2168">
        <v>2145</v>
      </c>
      <c r="AF31" s="2168">
        <v>12718</v>
      </c>
      <c r="AG31" s="2168">
        <v>26</v>
      </c>
      <c r="AH31" s="2168">
        <v>37</v>
      </c>
      <c r="AI31" s="2168">
        <v>16897</v>
      </c>
      <c r="AJ31" s="2168" t="s">
        <v>1811</v>
      </c>
      <c r="AK31" s="2168">
        <v>53164</v>
      </c>
      <c r="AL31" s="2168">
        <v>16982</v>
      </c>
      <c r="AM31" s="2168">
        <v>60013</v>
      </c>
      <c r="AN31" s="3298">
        <v>575010</v>
      </c>
      <c r="AO31" s="3285">
        <v>43101</v>
      </c>
      <c r="AP31" s="3285">
        <v>43465</v>
      </c>
      <c r="AQ31" s="3288" t="s">
        <v>1812</v>
      </c>
    </row>
    <row r="32" spans="1:43" s="1539" customFormat="1" ht="54.75" customHeight="1" x14ac:dyDescent="0.2">
      <c r="A32" s="1532"/>
      <c r="B32" s="1533"/>
      <c r="C32" s="1534"/>
      <c r="D32" s="1533"/>
      <c r="E32" s="1533"/>
      <c r="F32" s="1534"/>
      <c r="G32" s="1540"/>
      <c r="H32" s="1533"/>
      <c r="I32" s="1534"/>
      <c r="J32" s="3268"/>
      <c r="K32" s="3271"/>
      <c r="L32" s="3268"/>
      <c r="M32" s="3268"/>
      <c r="N32" s="3268"/>
      <c r="O32" s="3268"/>
      <c r="P32" s="3271"/>
      <c r="Q32" s="2798"/>
      <c r="R32" s="2825"/>
      <c r="S32" s="3271"/>
      <c r="T32" s="3271"/>
      <c r="U32" s="1555" t="s">
        <v>1841</v>
      </c>
      <c r="V32" s="535">
        <v>20000000</v>
      </c>
      <c r="W32" s="3293"/>
      <c r="X32" s="3268"/>
      <c r="Y32" s="3277"/>
      <c r="Z32" s="3277"/>
      <c r="AA32" s="3296"/>
      <c r="AB32" s="2168"/>
      <c r="AC32" s="2168"/>
      <c r="AD32" s="2168"/>
      <c r="AE32" s="2168"/>
      <c r="AF32" s="2168"/>
      <c r="AG32" s="2168"/>
      <c r="AH32" s="2168"/>
      <c r="AI32" s="2168"/>
      <c r="AJ32" s="2168"/>
      <c r="AK32" s="2168"/>
      <c r="AL32" s="2168"/>
      <c r="AM32" s="2168"/>
      <c r="AN32" s="3299"/>
      <c r="AO32" s="3286"/>
      <c r="AP32" s="3286"/>
      <c r="AQ32" s="3289"/>
    </row>
    <row r="33" spans="1:43" s="1539" customFormat="1" ht="140.25" customHeight="1" x14ac:dyDescent="0.2">
      <c r="A33" s="1532"/>
      <c r="B33" s="1533"/>
      <c r="C33" s="1534"/>
      <c r="D33" s="1533"/>
      <c r="E33" s="1533"/>
      <c r="F33" s="1534"/>
      <c r="G33" s="1540"/>
      <c r="H33" s="1533"/>
      <c r="I33" s="1534"/>
      <c r="J33" s="3269"/>
      <c r="K33" s="3272"/>
      <c r="L33" s="3269"/>
      <c r="M33" s="3269"/>
      <c r="N33" s="3268"/>
      <c r="O33" s="3268"/>
      <c r="P33" s="3271"/>
      <c r="Q33" s="2799"/>
      <c r="R33" s="2825"/>
      <c r="S33" s="3271"/>
      <c r="T33" s="3272"/>
      <c r="U33" s="1555" t="s">
        <v>1842</v>
      </c>
      <c r="V33" s="535">
        <v>53000000</v>
      </c>
      <c r="W33" s="3293"/>
      <c r="X33" s="3268"/>
      <c r="Y33" s="3277"/>
      <c r="Z33" s="3277"/>
      <c r="AA33" s="3296"/>
      <c r="AB33" s="2168"/>
      <c r="AC33" s="2168"/>
      <c r="AD33" s="2168"/>
      <c r="AE33" s="2168"/>
      <c r="AF33" s="2168"/>
      <c r="AG33" s="2168"/>
      <c r="AH33" s="2168"/>
      <c r="AI33" s="2168"/>
      <c r="AJ33" s="2168"/>
      <c r="AK33" s="2168"/>
      <c r="AL33" s="2168"/>
      <c r="AM33" s="2168"/>
      <c r="AN33" s="3299"/>
      <c r="AO33" s="3286"/>
      <c r="AP33" s="3286"/>
      <c r="AQ33" s="3289"/>
    </row>
    <row r="34" spans="1:43" s="1539" customFormat="1" ht="86.25" customHeight="1" x14ac:dyDescent="0.2">
      <c r="A34" s="1532"/>
      <c r="B34" s="1533"/>
      <c r="C34" s="1534"/>
      <c r="D34" s="1533"/>
      <c r="E34" s="1533"/>
      <c r="F34" s="1534"/>
      <c r="G34" s="1540"/>
      <c r="H34" s="1533"/>
      <c r="I34" s="1534"/>
      <c r="J34" s="3267">
        <v>131</v>
      </c>
      <c r="K34" s="3270" t="s">
        <v>1843</v>
      </c>
      <c r="L34" s="3267" t="s">
        <v>1804</v>
      </c>
      <c r="M34" s="3267">
        <v>5</v>
      </c>
      <c r="N34" s="3268"/>
      <c r="O34" s="3268"/>
      <c r="P34" s="3271"/>
      <c r="Q34" s="2797">
        <f>(V34+V35)/R31</f>
        <v>0.35862068965517241</v>
      </c>
      <c r="R34" s="2825"/>
      <c r="S34" s="3271"/>
      <c r="T34" s="3270" t="s">
        <v>1844</v>
      </c>
      <c r="U34" s="1555" t="s">
        <v>1845</v>
      </c>
      <c r="V34" s="535">
        <v>26000000</v>
      </c>
      <c r="W34" s="3293"/>
      <c r="X34" s="3268"/>
      <c r="Y34" s="3277"/>
      <c r="Z34" s="3277"/>
      <c r="AA34" s="3296"/>
      <c r="AB34" s="2168"/>
      <c r="AC34" s="2168"/>
      <c r="AD34" s="2168"/>
      <c r="AE34" s="2168"/>
      <c r="AF34" s="2168"/>
      <c r="AG34" s="2168"/>
      <c r="AH34" s="2168"/>
      <c r="AI34" s="2168"/>
      <c r="AJ34" s="2168"/>
      <c r="AK34" s="2168"/>
      <c r="AL34" s="2168"/>
      <c r="AM34" s="2168"/>
      <c r="AN34" s="3299"/>
      <c r="AO34" s="3286"/>
      <c r="AP34" s="3286"/>
      <c r="AQ34" s="3289"/>
    </row>
    <row r="35" spans="1:43" s="1539" customFormat="1" ht="72.75" customHeight="1" x14ac:dyDescent="0.2">
      <c r="A35" s="1532"/>
      <c r="B35" s="1533"/>
      <c r="C35" s="1534"/>
      <c r="D35" s="1533"/>
      <c r="E35" s="1533"/>
      <c r="F35" s="1534"/>
      <c r="G35" s="1544"/>
      <c r="H35" s="1542"/>
      <c r="I35" s="1543"/>
      <c r="J35" s="3269"/>
      <c r="K35" s="3272"/>
      <c r="L35" s="3269"/>
      <c r="M35" s="3269"/>
      <c r="N35" s="3269"/>
      <c r="O35" s="3269"/>
      <c r="P35" s="3272"/>
      <c r="Q35" s="2799"/>
      <c r="R35" s="2826"/>
      <c r="S35" s="3272"/>
      <c r="T35" s="3272"/>
      <c r="U35" s="1555" t="s">
        <v>1846</v>
      </c>
      <c r="V35" s="535">
        <v>26000000</v>
      </c>
      <c r="W35" s="3294"/>
      <c r="X35" s="3269"/>
      <c r="Y35" s="3278"/>
      <c r="Z35" s="3278"/>
      <c r="AA35" s="3297"/>
      <c r="AB35" s="2168"/>
      <c r="AC35" s="2168"/>
      <c r="AD35" s="2168"/>
      <c r="AE35" s="2168"/>
      <c r="AF35" s="2168"/>
      <c r="AG35" s="2168"/>
      <c r="AH35" s="2168"/>
      <c r="AI35" s="2168"/>
      <c r="AJ35" s="2168"/>
      <c r="AK35" s="2168"/>
      <c r="AL35" s="2168"/>
      <c r="AM35" s="2168"/>
      <c r="AN35" s="3300"/>
      <c r="AO35" s="3287"/>
      <c r="AP35" s="3287"/>
      <c r="AQ35" s="3290"/>
    </row>
    <row r="36" spans="1:43" ht="36" customHeight="1" x14ac:dyDescent="0.2">
      <c r="A36" s="1518"/>
      <c r="B36" s="1519"/>
      <c r="C36" s="1520"/>
      <c r="D36" s="1519"/>
      <c r="E36" s="1519"/>
      <c r="F36" s="1520"/>
      <c r="G36" s="1551">
        <v>37</v>
      </c>
      <c r="H36" s="1524" t="s">
        <v>1847</v>
      </c>
      <c r="I36" s="1524"/>
      <c r="J36" s="1524"/>
      <c r="K36" s="1525"/>
      <c r="L36" s="1524"/>
      <c r="M36" s="1524"/>
      <c r="N36" s="1526"/>
      <c r="O36" s="1524"/>
      <c r="P36" s="1525"/>
      <c r="Q36" s="1524"/>
      <c r="R36" s="1552"/>
      <c r="S36" s="1524"/>
      <c r="T36" s="1525"/>
      <c r="U36" s="1525"/>
      <c r="V36" s="1553"/>
      <c r="W36" s="1554"/>
      <c r="X36" s="1526"/>
      <c r="Y36" s="1526"/>
      <c r="Z36" s="1526"/>
      <c r="AA36" s="1526"/>
      <c r="AB36" s="1526"/>
      <c r="AC36" s="1526"/>
      <c r="AD36" s="1526"/>
      <c r="AE36" s="1526"/>
      <c r="AF36" s="1526"/>
      <c r="AG36" s="1526"/>
      <c r="AH36" s="1526"/>
      <c r="AI36" s="1526"/>
      <c r="AJ36" s="1526"/>
      <c r="AK36" s="1526"/>
      <c r="AL36" s="1526"/>
      <c r="AM36" s="1526"/>
      <c r="AN36" s="1526"/>
      <c r="AO36" s="1524"/>
      <c r="AP36" s="1524"/>
      <c r="AQ36" s="1531"/>
    </row>
    <row r="37" spans="1:43" s="1539" customFormat="1" ht="88.5" customHeight="1" x14ac:dyDescent="0.2">
      <c r="A37" s="1556"/>
      <c r="B37" s="1557"/>
      <c r="C37" s="1558"/>
      <c r="D37" s="1557"/>
      <c r="E37" s="1557"/>
      <c r="F37" s="1558"/>
      <c r="G37" s="1559"/>
      <c r="H37" s="1560"/>
      <c r="I37" s="1561"/>
      <c r="J37" s="3267">
        <v>132</v>
      </c>
      <c r="K37" s="3270" t="s">
        <v>1848</v>
      </c>
      <c r="L37" s="3267" t="s">
        <v>1804</v>
      </c>
      <c r="M37" s="3267">
        <v>8</v>
      </c>
      <c r="N37" s="3267" t="s">
        <v>1849</v>
      </c>
      <c r="O37" s="3267">
        <v>134</v>
      </c>
      <c r="P37" s="3270" t="s">
        <v>1850</v>
      </c>
      <c r="Q37" s="2797">
        <f>(V37+V38+V39)/R37</f>
        <v>0.22424242424242424</v>
      </c>
      <c r="R37" s="2824">
        <f>SUM(V37:V64)</f>
        <v>165000000</v>
      </c>
      <c r="S37" s="3270" t="s">
        <v>1851</v>
      </c>
      <c r="T37" s="3270" t="s">
        <v>1852</v>
      </c>
      <c r="U37" s="1555" t="s">
        <v>1853</v>
      </c>
      <c r="V37" s="535">
        <v>18000000</v>
      </c>
      <c r="W37" s="3292">
        <v>61</v>
      </c>
      <c r="X37" s="3267" t="s">
        <v>1810</v>
      </c>
      <c r="Y37" s="3267">
        <v>292684</v>
      </c>
      <c r="Z37" s="3267">
        <v>282326</v>
      </c>
      <c r="AA37" s="3279">
        <v>135912</v>
      </c>
      <c r="AB37" s="3279">
        <v>45122</v>
      </c>
      <c r="AC37" s="3279">
        <f>SUM(AC31)</f>
        <v>307101</v>
      </c>
      <c r="AD37" s="3279">
        <f>SUM(AD31)</f>
        <v>86875</v>
      </c>
      <c r="AE37" s="3301">
        <v>2145</v>
      </c>
      <c r="AF37" s="3301">
        <v>12718</v>
      </c>
      <c r="AG37" s="3304" t="e">
        <f>SUM(#REF!*0.25)</f>
        <v>#REF!</v>
      </c>
      <c r="AH37" s="3301">
        <v>37</v>
      </c>
      <c r="AI37" s="3301" t="s">
        <v>1811</v>
      </c>
      <c r="AJ37" s="3301" t="s">
        <v>1811</v>
      </c>
      <c r="AK37" s="3279">
        <v>53164</v>
      </c>
      <c r="AL37" s="3279">
        <v>16982</v>
      </c>
      <c r="AM37" s="3279">
        <v>60013</v>
      </c>
      <c r="AN37" s="3279">
        <v>575010</v>
      </c>
      <c r="AO37" s="3285">
        <v>43101</v>
      </c>
      <c r="AP37" s="3285">
        <v>43465</v>
      </c>
      <c r="AQ37" s="3288" t="s">
        <v>1812</v>
      </c>
    </row>
    <row r="38" spans="1:43" s="1539" customFormat="1" ht="75" x14ac:dyDescent="0.2">
      <c r="A38" s="1556"/>
      <c r="B38" s="1557"/>
      <c r="C38" s="1558"/>
      <c r="D38" s="1557"/>
      <c r="E38" s="1557"/>
      <c r="F38" s="1558"/>
      <c r="G38" s="1562"/>
      <c r="H38" s="1557"/>
      <c r="I38" s="1558"/>
      <c r="J38" s="3268"/>
      <c r="K38" s="3271"/>
      <c r="L38" s="3268"/>
      <c r="M38" s="3268"/>
      <c r="N38" s="3268"/>
      <c r="O38" s="3268"/>
      <c r="P38" s="3271"/>
      <c r="Q38" s="2798"/>
      <c r="R38" s="2825"/>
      <c r="S38" s="3271"/>
      <c r="T38" s="3271"/>
      <c r="U38" s="1555" t="s">
        <v>1854</v>
      </c>
      <c r="V38" s="535">
        <v>1000000</v>
      </c>
      <c r="W38" s="3293"/>
      <c r="X38" s="3268"/>
      <c r="Y38" s="3268"/>
      <c r="Z38" s="3268"/>
      <c r="AA38" s="3280"/>
      <c r="AB38" s="3280"/>
      <c r="AC38" s="3280"/>
      <c r="AD38" s="3280"/>
      <c r="AE38" s="3302"/>
      <c r="AF38" s="3302"/>
      <c r="AG38" s="3305"/>
      <c r="AH38" s="3302"/>
      <c r="AI38" s="3302"/>
      <c r="AJ38" s="3302"/>
      <c r="AK38" s="3280"/>
      <c r="AL38" s="3280"/>
      <c r="AM38" s="3280"/>
      <c r="AN38" s="3280"/>
      <c r="AO38" s="3286"/>
      <c r="AP38" s="3286"/>
      <c r="AQ38" s="3289"/>
    </row>
    <row r="39" spans="1:43" s="1539" customFormat="1" ht="60" x14ac:dyDescent="0.2">
      <c r="A39" s="1556"/>
      <c r="B39" s="1557"/>
      <c r="C39" s="1558"/>
      <c r="D39" s="1557"/>
      <c r="E39" s="1557"/>
      <c r="F39" s="1558"/>
      <c r="G39" s="1562"/>
      <c r="H39" s="1557"/>
      <c r="I39" s="1558"/>
      <c r="J39" s="3269"/>
      <c r="K39" s="3272"/>
      <c r="L39" s="3269"/>
      <c r="M39" s="3269"/>
      <c r="N39" s="3268"/>
      <c r="O39" s="3268"/>
      <c r="P39" s="3271"/>
      <c r="Q39" s="2799"/>
      <c r="R39" s="2825"/>
      <c r="S39" s="3271"/>
      <c r="T39" s="3271"/>
      <c r="U39" s="1555" t="s">
        <v>1855</v>
      </c>
      <c r="V39" s="535">
        <v>18000000</v>
      </c>
      <c r="W39" s="3293"/>
      <c r="X39" s="3268"/>
      <c r="Y39" s="3268"/>
      <c r="Z39" s="3268"/>
      <c r="AA39" s="3280"/>
      <c r="AB39" s="3280"/>
      <c r="AC39" s="3280"/>
      <c r="AD39" s="3280"/>
      <c r="AE39" s="3302"/>
      <c r="AF39" s="3302"/>
      <c r="AG39" s="3305"/>
      <c r="AH39" s="3302"/>
      <c r="AI39" s="3302"/>
      <c r="AJ39" s="3302"/>
      <c r="AK39" s="3280"/>
      <c r="AL39" s="3280"/>
      <c r="AM39" s="3280"/>
      <c r="AN39" s="3280"/>
      <c r="AO39" s="3286"/>
      <c r="AP39" s="3286"/>
      <c r="AQ39" s="3289"/>
    </row>
    <row r="40" spans="1:43" s="1539" customFormat="1" ht="90" x14ac:dyDescent="0.2">
      <c r="A40" s="1556"/>
      <c r="B40" s="1557"/>
      <c r="C40" s="1558"/>
      <c r="D40" s="1557"/>
      <c r="E40" s="1557"/>
      <c r="F40" s="1558"/>
      <c r="G40" s="1562"/>
      <c r="H40" s="1557"/>
      <c r="I40" s="1558"/>
      <c r="J40" s="3267">
        <v>133</v>
      </c>
      <c r="K40" s="3270" t="s">
        <v>1856</v>
      </c>
      <c r="L40" s="3267" t="s">
        <v>1804</v>
      </c>
      <c r="M40" s="3267">
        <v>12</v>
      </c>
      <c r="N40" s="3268"/>
      <c r="O40" s="3268"/>
      <c r="P40" s="3271"/>
      <c r="Q40" s="2797">
        <f>(V40+V41+V42+V46+V43+V44+V45)/R37</f>
        <v>0.1463030303030303</v>
      </c>
      <c r="R40" s="2825"/>
      <c r="S40" s="3271"/>
      <c r="T40" s="3271"/>
      <c r="U40" s="1555" t="s">
        <v>1857</v>
      </c>
      <c r="V40" s="535">
        <v>7640000</v>
      </c>
      <c r="W40" s="3293"/>
      <c r="X40" s="3268"/>
      <c r="Y40" s="3268"/>
      <c r="Z40" s="3268"/>
      <c r="AA40" s="3280"/>
      <c r="AB40" s="3280"/>
      <c r="AC40" s="3280"/>
      <c r="AD40" s="3280"/>
      <c r="AE40" s="3302"/>
      <c r="AF40" s="3302"/>
      <c r="AG40" s="3305"/>
      <c r="AH40" s="3302"/>
      <c r="AI40" s="3302"/>
      <c r="AJ40" s="3302"/>
      <c r="AK40" s="3280"/>
      <c r="AL40" s="3280"/>
      <c r="AM40" s="3280"/>
      <c r="AN40" s="3280"/>
      <c r="AO40" s="3286"/>
      <c r="AP40" s="3286"/>
      <c r="AQ40" s="3289"/>
    </row>
    <row r="41" spans="1:43" s="1539" customFormat="1" ht="90" x14ac:dyDescent="0.2">
      <c r="A41" s="1556"/>
      <c r="B41" s="1557"/>
      <c r="C41" s="1558"/>
      <c r="D41" s="1557"/>
      <c r="E41" s="1557"/>
      <c r="F41" s="1558"/>
      <c r="G41" s="1562"/>
      <c r="H41" s="1557"/>
      <c r="I41" s="1558"/>
      <c r="J41" s="3268"/>
      <c r="K41" s="3271"/>
      <c r="L41" s="3268"/>
      <c r="M41" s="3268"/>
      <c r="N41" s="3268"/>
      <c r="O41" s="3268"/>
      <c r="P41" s="3271"/>
      <c r="Q41" s="2798"/>
      <c r="R41" s="2825"/>
      <c r="S41" s="3271"/>
      <c r="T41" s="3271"/>
      <c r="U41" s="1555" t="s">
        <v>1858</v>
      </c>
      <c r="V41" s="535">
        <v>3500000</v>
      </c>
      <c r="W41" s="3293"/>
      <c r="X41" s="3268"/>
      <c r="Y41" s="3268"/>
      <c r="Z41" s="3268"/>
      <c r="AA41" s="3280"/>
      <c r="AB41" s="3280"/>
      <c r="AC41" s="3280"/>
      <c r="AD41" s="3280"/>
      <c r="AE41" s="3302"/>
      <c r="AF41" s="3302"/>
      <c r="AG41" s="3305"/>
      <c r="AH41" s="3302"/>
      <c r="AI41" s="3302"/>
      <c r="AJ41" s="3302"/>
      <c r="AK41" s="3280"/>
      <c r="AL41" s="3280"/>
      <c r="AM41" s="3280"/>
      <c r="AN41" s="3280"/>
      <c r="AO41" s="3286"/>
      <c r="AP41" s="3286"/>
      <c r="AQ41" s="3289"/>
    </row>
    <row r="42" spans="1:43" s="1539" customFormat="1" ht="66" customHeight="1" x14ac:dyDescent="0.2">
      <c r="A42" s="1556"/>
      <c r="B42" s="1557"/>
      <c r="C42" s="1558"/>
      <c r="D42" s="1557"/>
      <c r="E42" s="1557"/>
      <c r="F42" s="1558"/>
      <c r="G42" s="1562"/>
      <c r="H42" s="1557"/>
      <c r="I42" s="1558"/>
      <c r="J42" s="3268"/>
      <c r="K42" s="3271"/>
      <c r="L42" s="3268"/>
      <c r="M42" s="3268"/>
      <c r="N42" s="3268"/>
      <c r="O42" s="3268"/>
      <c r="P42" s="3271"/>
      <c r="Q42" s="2798"/>
      <c r="R42" s="2825"/>
      <c r="S42" s="3271"/>
      <c r="T42" s="3271"/>
      <c r="U42" s="1555" t="s">
        <v>1859</v>
      </c>
      <c r="V42" s="535">
        <v>3000000</v>
      </c>
      <c r="W42" s="3293"/>
      <c r="X42" s="3268"/>
      <c r="Y42" s="3268"/>
      <c r="Z42" s="3268"/>
      <c r="AA42" s="3280"/>
      <c r="AB42" s="3280"/>
      <c r="AC42" s="3280"/>
      <c r="AD42" s="3280"/>
      <c r="AE42" s="3302"/>
      <c r="AF42" s="3302"/>
      <c r="AG42" s="3305"/>
      <c r="AH42" s="3302"/>
      <c r="AI42" s="3302"/>
      <c r="AJ42" s="3302"/>
      <c r="AK42" s="3280"/>
      <c r="AL42" s="3280"/>
      <c r="AM42" s="3280"/>
      <c r="AN42" s="3280"/>
      <c r="AO42" s="3286"/>
      <c r="AP42" s="3286"/>
      <c r="AQ42" s="3289"/>
    </row>
    <row r="43" spans="1:43" s="1539" customFormat="1" ht="95.25" customHeight="1" x14ac:dyDescent="0.2">
      <c r="A43" s="1556"/>
      <c r="B43" s="1557"/>
      <c r="C43" s="1558"/>
      <c r="D43" s="1557"/>
      <c r="E43" s="1557"/>
      <c r="F43" s="1558"/>
      <c r="G43" s="1562"/>
      <c r="H43" s="1557"/>
      <c r="I43" s="1558"/>
      <c r="J43" s="3268"/>
      <c r="K43" s="3271"/>
      <c r="L43" s="3268"/>
      <c r="M43" s="3268"/>
      <c r="N43" s="3268"/>
      <c r="O43" s="3268"/>
      <c r="P43" s="3271"/>
      <c r="Q43" s="2798"/>
      <c r="R43" s="2825"/>
      <c r="S43" s="3271"/>
      <c r="T43" s="3271"/>
      <c r="U43" s="1555" t="s">
        <v>1860</v>
      </c>
      <c r="V43" s="535">
        <v>1000000</v>
      </c>
      <c r="W43" s="3293"/>
      <c r="X43" s="3268"/>
      <c r="Y43" s="3268"/>
      <c r="Z43" s="3268"/>
      <c r="AA43" s="3280"/>
      <c r="AB43" s="3280"/>
      <c r="AC43" s="3280"/>
      <c r="AD43" s="3280"/>
      <c r="AE43" s="3302"/>
      <c r="AF43" s="3302"/>
      <c r="AG43" s="3305"/>
      <c r="AH43" s="3302"/>
      <c r="AI43" s="3302"/>
      <c r="AJ43" s="3302"/>
      <c r="AK43" s="3280"/>
      <c r="AL43" s="3280"/>
      <c r="AM43" s="3280"/>
      <c r="AN43" s="3280"/>
      <c r="AO43" s="3286"/>
      <c r="AP43" s="3286"/>
      <c r="AQ43" s="3289"/>
    </row>
    <row r="44" spans="1:43" s="1539" customFormat="1" ht="84.75" customHeight="1" x14ac:dyDescent="0.2">
      <c r="A44" s="1556"/>
      <c r="B44" s="1557"/>
      <c r="C44" s="1558"/>
      <c r="D44" s="1557"/>
      <c r="E44" s="1557"/>
      <c r="F44" s="1558"/>
      <c r="G44" s="1562"/>
      <c r="H44" s="1557"/>
      <c r="I44" s="1558"/>
      <c r="J44" s="3268"/>
      <c r="K44" s="3271"/>
      <c r="L44" s="3268"/>
      <c r="M44" s="3268"/>
      <c r="N44" s="3268"/>
      <c r="O44" s="3268"/>
      <c r="P44" s="3271"/>
      <c r="Q44" s="2798"/>
      <c r="R44" s="2825"/>
      <c r="S44" s="3271"/>
      <c r="T44" s="3271"/>
      <c r="U44" s="1555" t="s">
        <v>1861</v>
      </c>
      <c r="V44" s="535">
        <v>3000000</v>
      </c>
      <c r="W44" s="3293"/>
      <c r="X44" s="3268"/>
      <c r="Y44" s="3268"/>
      <c r="Z44" s="3268"/>
      <c r="AA44" s="3280"/>
      <c r="AB44" s="3280"/>
      <c r="AC44" s="3280"/>
      <c r="AD44" s="3280"/>
      <c r="AE44" s="3302"/>
      <c r="AF44" s="3302"/>
      <c r="AG44" s="3305"/>
      <c r="AH44" s="3302"/>
      <c r="AI44" s="3302"/>
      <c r="AJ44" s="3302"/>
      <c r="AK44" s="3280"/>
      <c r="AL44" s="3280"/>
      <c r="AM44" s="3280"/>
      <c r="AN44" s="3280"/>
      <c r="AO44" s="3286"/>
      <c r="AP44" s="3286"/>
      <c r="AQ44" s="3289"/>
    </row>
    <row r="45" spans="1:43" s="1539" customFormat="1" ht="86.25" customHeight="1" x14ac:dyDescent="0.2">
      <c r="A45" s="1556"/>
      <c r="B45" s="1557"/>
      <c r="C45" s="1558"/>
      <c r="D45" s="1557"/>
      <c r="E45" s="1557"/>
      <c r="F45" s="1558"/>
      <c r="G45" s="1562"/>
      <c r="H45" s="1557"/>
      <c r="I45" s="1558"/>
      <c r="J45" s="3268"/>
      <c r="K45" s="3271"/>
      <c r="L45" s="3268"/>
      <c r="M45" s="3268"/>
      <c r="N45" s="3268"/>
      <c r="O45" s="3268"/>
      <c r="P45" s="3271"/>
      <c r="Q45" s="2798"/>
      <c r="R45" s="2825"/>
      <c r="S45" s="3271"/>
      <c r="T45" s="3271"/>
      <c r="U45" s="1555" t="s">
        <v>1862</v>
      </c>
      <c r="V45" s="535">
        <v>3000000</v>
      </c>
      <c r="W45" s="3293"/>
      <c r="X45" s="3268"/>
      <c r="Y45" s="3268"/>
      <c r="Z45" s="3268"/>
      <c r="AA45" s="3280"/>
      <c r="AB45" s="3280"/>
      <c r="AC45" s="3280"/>
      <c r="AD45" s="3280"/>
      <c r="AE45" s="3302"/>
      <c r="AF45" s="3302"/>
      <c r="AG45" s="3305"/>
      <c r="AH45" s="3302"/>
      <c r="AI45" s="3302"/>
      <c r="AJ45" s="3302"/>
      <c r="AK45" s="3280"/>
      <c r="AL45" s="3280"/>
      <c r="AM45" s="3280"/>
      <c r="AN45" s="3280"/>
      <c r="AO45" s="3286"/>
      <c r="AP45" s="3286"/>
      <c r="AQ45" s="3289"/>
    </row>
    <row r="46" spans="1:43" s="1539" customFormat="1" ht="75" customHeight="1" x14ac:dyDescent="0.2">
      <c r="A46" s="1556"/>
      <c r="B46" s="1557"/>
      <c r="C46" s="1558"/>
      <c r="D46" s="1557"/>
      <c r="E46" s="1557"/>
      <c r="F46" s="1558"/>
      <c r="G46" s="1562"/>
      <c r="H46" s="1557"/>
      <c r="I46" s="1558"/>
      <c r="J46" s="3269"/>
      <c r="K46" s="3272"/>
      <c r="L46" s="3269"/>
      <c r="M46" s="3269"/>
      <c r="N46" s="3268"/>
      <c r="O46" s="3268"/>
      <c r="P46" s="3271"/>
      <c r="Q46" s="2799"/>
      <c r="R46" s="2825"/>
      <c r="S46" s="3271"/>
      <c r="T46" s="3272"/>
      <c r="U46" s="1555" t="s">
        <v>1863</v>
      </c>
      <c r="V46" s="535">
        <v>3000000</v>
      </c>
      <c r="W46" s="3293"/>
      <c r="X46" s="3268"/>
      <c r="Y46" s="3268"/>
      <c r="Z46" s="3268"/>
      <c r="AA46" s="3280"/>
      <c r="AB46" s="3280"/>
      <c r="AC46" s="3280"/>
      <c r="AD46" s="3280"/>
      <c r="AE46" s="3302"/>
      <c r="AF46" s="3302"/>
      <c r="AG46" s="3305"/>
      <c r="AH46" s="3302"/>
      <c r="AI46" s="3302"/>
      <c r="AJ46" s="3302"/>
      <c r="AK46" s="3280"/>
      <c r="AL46" s="3280"/>
      <c r="AM46" s="3280"/>
      <c r="AN46" s="3280"/>
      <c r="AO46" s="3286"/>
      <c r="AP46" s="3286"/>
      <c r="AQ46" s="3289"/>
    </row>
    <row r="47" spans="1:43" s="1539" customFormat="1" ht="69.75" customHeight="1" x14ac:dyDescent="0.2">
      <c r="A47" s="1556"/>
      <c r="B47" s="1557"/>
      <c r="C47" s="1558"/>
      <c r="D47" s="1557"/>
      <c r="E47" s="1557"/>
      <c r="F47" s="1558"/>
      <c r="G47" s="1562"/>
      <c r="H47" s="1557"/>
      <c r="I47" s="1558"/>
      <c r="J47" s="3267">
        <v>134</v>
      </c>
      <c r="K47" s="3270" t="s">
        <v>1864</v>
      </c>
      <c r="L47" s="3267" t="s">
        <v>1804</v>
      </c>
      <c r="M47" s="3267">
        <v>4800</v>
      </c>
      <c r="N47" s="3268"/>
      <c r="O47" s="3268"/>
      <c r="P47" s="3271"/>
      <c r="Q47" s="2797">
        <f>(V47+V48+V49+V50+V51+V52+V53+V54+V55+V56+V57+V58)/R37</f>
        <v>0.41733333333333333</v>
      </c>
      <c r="R47" s="2825"/>
      <c r="S47" s="3271"/>
      <c r="T47" s="3270" t="s">
        <v>1865</v>
      </c>
      <c r="U47" s="1541" t="s">
        <v>1866</v>
      </c>
      <c r="V47" s="535">
        <v>7860000</v>
      </c>
      <c r="W47" s="3293"/>
      <c r="X47" s="3268"/>
      <c r="Y47" s="3268"/>
      <c r="Z47" s="3268"/>
      <c r="AA47" s="3280"/>
      <c r="AB47" s="3280"/>
      <c r="AC47" s="3280"/>
      <c r="AD47" s="3280"/>
      <c r="AE47" s="3302"/>
      <c r="AF47" s="3302"/>
      <c r="AG47" s="3305"/>
      <c r="AH47" s="3302"/>
      <c r="AI47" s="3302"/>
      <c r="AJ47" s="3302"/>
      <c r="AK47" s="3280"/>
      <c r="AL47" s="3280"/>
      <c r="AM47" s="3280"/>
      <c r="AN47" s="3280"/>
      <c r="AO47" s="3286"/>
      <c r="AP47" s="3286"/>
      <c r="AQ47" s="3289"/>
    </row>
    <row r="48" spans="1:43" s="1539" customFormat="1" ht="54.75" customHeight="1" x14ac:dyDescent="0.2">
      <c r="A48" s="1556"/>
      <c r="B48" s="1557"/>
      <c r="C48" s="1558"/>
      <c r="D48" s="1557"/>
      <c r="E48" s="1557"/>
      <c r="F48" s="1558"/>
      <c r="G48" s="1562"/>
      <c r="H48" s="1557"/>
      <c r="I48" s="1558"/>
      <c r="J48" s="3268"/>
      <c r="K48" s="3271"/>
      <c r="L48" s="3268"/>
      <c r="M48" s="3268"/>
      <c r="N48" s="3268"/>
      <c r="O48" s="3268"/>
      <c r="P48" s="3271"/>
      <c r="Q48" s="2798"/>
      <c r="R48" s="2825"/>
      <c r="S48" s="3271"/>
      <c r="T48" s="3271"/>
      <c r="U48" s="1541" t="s">
        <v>1867</v>
      </c>
      <c r="V48" s="535">
        <v>6000000</v>
      </c>
      <c r="W48" s="3293"/>
      <c r="X48" s="3268"/>
      <c r="Y48" s="3268"/>
      <c r="Z48" s="3268"/>
      <c r="AA48" s="3280"/>
      <c r="AB48" s="3280"/>
      <c r="AC48" s="3280"/>
      <c r="AD48" s="3280"/>
      <c r="AE48" s="3302"/>
      <c r="AF48" s="3302"/>
      <c r="AG48" s="3305"/>
      <c r="AH48" s="3302"/>
      <c r="AI48" s="3302"/>
      <c r="AJ48" s="3302"/>
      <c r="AK48" s="3280"/>
      <c r="AL48" s="3280"/>
      <c r="AM48" s="3280"/>
      <c r="AN48" s="3280"/>
      <c r="AO48" s="3286"/>
      <c r="AP48" s="3286"/>
      <c r="AQ48" s="3289"/>
    </row>
    <row r="49" spans="1:43" s="1539" customFormat="1" ht="84.75" customHeight="1" x14ac:dyDescent="0.2">
      <c r="A49" s="1556"/>
      <c r="B49" s="1557"/>
      <c r="C49" s="1558"/>
      <c r="D49" s="1557"/>
      <c r="E49" s="1557"/>
      <c r="F49" s="1558"/>
      <c r="G49" s="1562"/>
      <c r="H49" s="1557"/>
      <c r="I49" s="1558"/>
      <c r="J49" s="3268"/>
      <c r="K49" s="3271"/>
      <c r="L49" s="3268"/>
      <c r="M49" s="3268"/>
      <c r="N49" s="3268"/>
      <c r="O49" s="3268"/>
      <c r="P49" s="3271"/>
      <c r="Q49" s="2798"/>
      <c r="R49" s="2825"/>
      <c r="S49" s="3271"/>
      <c r="T49" s="3271"/>
      <c r="U49" s="1541" t="s">
        <v>1868</v>
      </c>
      <c r="V49" s="535">
        <v>6000000</v>
      </c>
      <c r="W49" s="3293"/>
      <c r="X49" s="3268"/>
      <c r="Y49" s="3268"/>
      <c r="Z49" s="3268"/>
      <c r="AA49" s="3280"/>
      <c r="AB49" s="3280"/>
      <c r="AC49" s="3280"/>
      <c r="AD49" s="3280"/>
      <c r="AE49" s="3302"/>
      <c r="AF49" s="3302"/>
      <c r="AG49" s="3305"/>
      <c r="AH49" s="3302"/>
      <c r="AI49" s="3302"/>
      <c r="AJ49" s="3302"/>
      <c r="AK49" s="3280"/>
      <c r="AL49" s="3280"/>
      <c r="AM49" s="3280"/>
      <c r="AN49" s="3280"/>
      <c r="AO49" s="3286"/>
      <c r="AP49" s="3286"/>
      <c r="AQ49" s="3289"/>
    </row>
    <row r="50" spans="1:43" s="1539" customFormat="1" ht="67.5" customHeight="1" x14ac:dyDescent="0.2">
      <c r="A50" s="1556"/>
      <c r="B50" s="1557"/>
      <c r="C50" s="1558"/>
      <c r="D50" s="1557"/>
      <c r="E50" s="1557"/>
      <c r="F50" s="1558"/>
      <c r="G50" s="1562"/>
      <c r="H50" s="1557"/>
      <c r="I50" s="1558"/>
      <c r="J50" s="3268"/>
      <c r="K50" s="3271"/>
      <c r="L50" s="3268"/>
      <c r="M50" s="3268"/>
      <c r="N50" s="3268"/>
      <c r="O50" s="3268"/>
      <c r="P50" s="3271"/>
      <c r="Q50" s="2798"/>
      <c r="R50" s="2825"/>
      <c r="S50" s="3271"/>
      <c r="T50" s="3271"/>
      <c r="U50" s="1541" t="s">
        <v>1869</v>
      </c>
      <c r="V50" s="535">
        <v>6000000</v>
      </c>
      <c r="W50" s="3293"/>
      <c r="X50" s="3268"/>
      <c r="Y50" s="3268"/>
      <c r="Z50" s="3268"/>
      <c r="AA50" s="3280"/>
      <c r="AB50" s="3280"/>
      <c r="AC50" s="3280"/>
      <c r="AD50" s="3280"/>
      <c r="AE50" s="3302"/>
      <c r="AF50" s="3302"/>
      <c r="AG50" s="3305"/>
      <c r="AH50" s="3302"/>
      <c r="AI50" s="3302"/>
      <c r="AJ50" s="3302"/>
      <c r="AK50" s="3280"/>
      <c r="AL50" s="3280"/>
      <c r="AM50" s="3280"/>
      <c r="AN50" s="3280"/>
      <c r="AO50" s="3286"/>
      <c r="AP50" s="3286"/>
      <c r="AQ50" s="3289"/>
    </row>
    <row r="51" spans="1:43" s="1539" customFormat="1" ht="75" x14ac:dyDescent="0.2">
      <c r="A51" s="1556"/>
      <c r="B51" s="1557"/>
      <c r="C51" s="1558"/>
      <c r="D51" s="1557"/>
      <c r="E51" s="1557"/>
      <c r="F51" s="1558"/>
      <c r="G51" s="1562"/>
      <c r="H51" s="1557"/>
      <c r="I51" s="1558"/>
      <c r="J51" s="3268"/>
      <c r="K51" s="3271"/>
      <c r="L51" s="3268"/>
      <c r="M51" s="3268"/>
      <c r="N51" s="3268"/>
      <c r="O51" s="3268"/>
      <c r="P51" s="3271"/>
      <c r="Q51" s="2798"/>
      <c r="R51" s="2825"/>
      <c r="S51" s="3271"/>
      <c r="T51" s="3271"/>
      <c r="U51" s="1541" t="s">
        <v>1870</v>
      </c>
      <c r="V51" s="535">
        <v>6000000</v>
      </c>
      <c r="W51" s="3293"/>
      <c r="X51" s="3268"/>
      <c r="Y51" s="3268"/>
      <c r="Z51" s="3268"/>
      <c r="AA51" s="3280"/>
      <c r="AB51" s="3280"/>
      <c r="AC51" s="3280"/>
      <c r="AD51" s="3280"/>
      <c r="AE51" s="3302"/>
      <c r="AF51" s="3302"/>
      <c r="AG51" s="3305"/>
      <c r="AH51" s="3302"/>
      <c r="AI51" s="3302"/>
      <c r="AJ51" s="3302"/>
      <c r="AK51" s="3280"/>
      <c r="AL51" s="3280"/>
      <c r="AM51" s="3280"/>
      <c r="AN51" s="3280"/>
      <c r="AO51" s="3286"/>
      <c r="AP51" s="3286"/>
      <c r="AQ51" s="3289"/>
    </row>
    <row r="52" spans="1:43" s="1539" customFormat="1" ht="45" x14ac:dyDescent="0.2">
      <c r="A52" s="1556"/>
      <c r="B52" s="1557"/>
      <c r="C52" s="1558"/>
      <c r="D52" s="1557"/>
      <c r="E52" s="1557"/>
      <c r="F52" s="1558"/>
      <c r="G52" s="1562"/>
      <c r="H52" s="1557"/>
      <c r="I52" s="1558"/>
      <c r="J52" s="3268"/>
      <c r="K52" s="3271"/>
      <c r="L52" s="3268"/>
      <c r="M52" s="3268"/>
      <c r="N52" s="3268"/>
      <c r="O52" s="3268"/>
      <c r="P52" s="3271"/>
      <c r="Q52" s="2798"/>
      <c r="R52" s="2825"/>
      <c r="S52" s="3271"/>
      <c r="T52" s="3271"/>
      <c r="U52" s="1541" t="s">
        <v>1871</v>
      </c>
      <c r="V52" s="535">
        <v>6000000</v>
      </c>
      <c r="W52" s="3293"/>
      <c r="X52" s="3268"/>
      <c r="Y52" s="3268"/>
      <c r="Z52" s="3268"/>
      <c r="AA52" s="3280"/>
      <c r="AB52" s="3280"/>
      <c r="AC52" s="3280"/>
      <c r="AD52" s="3280"/>
      <c r="AE52" s="3302"/>
      <c r="AF52" s="3302"/>
      <c r="AG52" s="3305"/>
      <c r="AH52" s="3302"/>
      <c r="AI52" s="3302"/>
      <c r="AJ52" s="3302"/>
      <c r="AK52" s="3280"/>
      <c r="AL52" s="3280"/>
      <c r="AM52" s="3280"/>
      <c r="AN52" s="3280"/>
      <c r="AO52" s="3286"/>
      <c r="AP52" s="3286"/>
      <c r="AQ52" s="3289"/>
    </row>
    <row r="53" spans="1:43" s="1539" customFormat="1" ht="75" x14ac:dyDescent="0.2">
      <c r="A53" s="1556"/>
      <c r="B53" s="1557"/>
      <c r="C53" s="1558"/>
      <c r="D53" s="1557"/>
      <c r="E53" s="1557"/>
      <c r="F53" s="1558"/>
      <c r="G53" s="1562"/>
      <c r="H53" s="1557"/>
      <c r="I53" s="1558"/>
      <c r="J53" s="3268"/>
      <c r="K53" s="3271"/>
      <c r="L53" s="3268"/>
      <c r="M53" s="3268"/>
      <c r="N53" s="3268"/>
      <c r="O53" s="3268"/>
      <c r="P53" s="3271"/>
      <c r="Q53" s="2798"/>
      <c r="R53" s="2825"/>
      <c r="S53" s="3271"/>
      <c r="T53" s="3271"/>
      <c r="U53" s="1541" t="s">
        <v>1872</v>
      </c>
      <c r="V53" s="535">
        <v>6000000</v>
      </c>
      <c r="W53" s="3293"/>
      <c r="X53" s="3268"/>
      <c r="Y53" s="3268"/>
      <c r="Z53" s="3268"/>
      <c r="AA53" s="3280"/>
      <c r="AB53" s="3280"/>
      <c r="AC53" s="3280"/>
      <c r="AD53" s="3280"/>
      <c r="AE53" s="3302"/>
      <c r="AF53" s="3302"/>
      <c r="AG53" s="3305"/>
      <c r="AH53" s="3302"/>
      <c r="AI53" s="3302"/>
      <c r="AJ53" s="3302"/>
      <c r="AK53" s="3280"/>
      <c r="AL53" s="3280"/>
      <c r="AM53" s="3280"/>
      <c r="AN53" s="3280"/>
      <c r="AO53" s="3286"/>
      <c r="AP53" s="3286"/>
      <c r="AQ53" s="3289"/>
    </row>
    <row r="54" spans="1:43" s="1539" customFormat="1" ht="60" x14ac:dyDescent="0.2">
      <c r="A54" s="1556"/>
      <c r="B54" s="1557"/>
      <c r="C54" s="1558"/>
      <c r="D54" s="1557"/>
      <c r="E54" s="1557"/>
      <c r="F54" s="1558"/>
      <c r="G54" s="1562"/>
      <c r="H54" s="1557"/>
      <c r="I54" s="1558"/>
      <c r="J54" s="3268"/>
      <c r="K54" s="3271"/>
      <c r="L54" s="3268"/>
      <c r="M54" s="3268"/>
      <c r="N54" s="3268"/>
      <c r="O54" s="3268"/>
      <c r="P54" s="3271"/>
      <c r="Q54" s="2798"/>
      <c r="R54" s="2825"/>
      <c r="S54" s="3271"/>
      <c r="T54" s="3271"/>
      <c r="U54" s="1541" t="s">
        <v>1873</v>
      </c>
      <c r="V54" s="535">
        <v>6000000</v>
      </c>
      <c r="W54" s="3293"/>
      <c r="X54" s="3268"/>
      <c r="Y54" s="3268"/>
      <c r="Z54" s="3268"/>
      <c r="AA54" s="3280"/>
      <c r="AB54" s="3280"/>
      <c r="AC54" s="3280"/>
      <c r="AD54" s="3280"/>
      <c r="AE54" s="3302"/>
      <c r="AF54" s="3302"/>
      <c r="AG54" s="3305"/>
      <c r="AH54" s="3302"/>
      <c r="AI54" s="3302"/>
      <c r="AJ54" s="3302"/>
      <c r="AK54" s="3280"/>
      <c r="AL54" s="3280"/>
      <c r="AM54" s="3280"/>
      <c r="AN54" s="3280"/>
      <c r="AO54" s="3286"/>
      <c r="AP54" s="3286"/>
      <c r="AQ54" s="3289"/>
    </row>
    <row r="55" spans="1:43" s="1539" customFormat="1" ht="45" x14ac:dyDescent="0.2">
      <c r="A55" s="1556"/>
      <c r="B55" s="1557"/>
      <c r="C55" s="1558"/>
      <c r="D55" s="1557"/>
      <c r="E55" s="1557"/>
      <c r="F55" s="1558"/>
      <c r="G55" s="1562"/>
      <c r="H55" s="1557"/>
      <c r="I55" s="1558"/>
      <c r="J55" s="3268"/>
      <c r="K55" s="3271"/>
      <c r="L55" s="3268"/>
      <c r="M55" s="3268"/>
      <c r="N55" s="3268"/>
      <c r="O55" s="3268"/>
      <c r="P55" s="3271"/>
      <c r="Q55" s="2798"/>
      <c r="R55" s="2825"/>
      <c r="S55" s="3271"/>
      <c r="T55" s="3271"/>
      <c r="U55" s="1541" t="s">
        <v>1874</v>
      </c>
      <c r="V55" s="535">
        <v>6000000</v>
      </c>
      <c r="W55" s="3293"/>
      <c r="X55" s="3268"/>
      <c r="Y55" s="3268"/>
      <c r="Z55" s="3268"/>
      <c r="AA55" s="3280"/>
      <c r="AB55" s="3280"/>
      <c r="AC55" s="3280"/>
      <c r="AD55" s="3280"/>
      <c r="AE55" s="3302"/>
      <c r="AF55" s="3302"/>
      <c r="AG55" s="3305"/>
      <c r="AH55" s="3302"/>
      <c r="AI55" s="3302"/>
      <c r="AJ55" s="3302"/>
      <c r="AK55" s="3280"/>
      <c r="AL55" s="3280"/>
      <c r="AM55" s="3280"/>
      <c r="AN55" s="3280"/>
      <c r="AO55" s="3286"/>
      <c r="AP55" s="3286"/>
      <c r="AQ55" s="3289"/>
    </row>
    <row r="56" spans="1:43" s="1539" customFormat="1" ht="75" x14ac:dyDescent="0.2">
      <c r="A56" s="1556"/>
      <c r="B56" s="1557"/>
      <c r="C56" s="1558"/>
      <c r="D56" s="1557"/>
      <c r="E56" s="1557"/>
      <c r="F56" s="1558"/>
      <c r="G56" s="1562"/>
      <c r="H56" s="1557"/>
      <c r="I56" s="1558"/>
      <c r="J56" s="3268"/>
      <c r="K56" s="3271"/>
      <c r="L56" s="3268"/>
      <c r="M56" s="3268"/>
      <c r="N56" s="3268"/>
      <c r="O56" s="3268"/>
      <c r="P56" s="3271"/>
      <c r="Q56" s="2798"/>
      <c r="R56" s="2825"/>
      <c r="S56" s="3271"/>
      <c r="T56" s="3271"/>
      <c r="U56" s="1541" t="s">
        <v>1868</v>
      </c>
      <c r="V56" s="535">
        <v>6000000</v>
      </c>
      <c r="W56" s="3293"/>
      <c r="X56" s="3268"/>
      <c r="Y56" s="3268"/>
      <c r="Z56" s="3268"/>
      <c r="AA56" s="3280"/>
      <c r="AB56" s="3280"/>
      <c r="AC56" s="3280"/>
      <c r="AD56" s="3280"/>
      <c r="AE56" s="3302"/>
      <c r="AF56" s="3302"/>
      <c r="AG56" s="3305"/>
      <c r="AH56" s="3302"/>
      <c r="AI56" s="3302"/>
      <c r="AJ56" s="3302"/>
      <c r="AK56" s="3280"/>
      <c r="AL56" s="3280"/>
      <c r="AM56" s="3280"/>
      <c r="AN56" s="3280"/>
      <c r="AO56" s="3286"/>
      <c r="AP56" s="3286"/>
      <c r="AQ56" s="3289"/>
    </row>
    <row r="57" spans="1:43" s="1539" customFormat="1" ht="45" x14ac:dyDescent="0.2">
      <c r="A57" s="1556"/>
      <c r="B57" s="1557"/>
      <c r="C57" s="1558"/>
      <c r="D57" s="1557"/>
      <c r="E57" s="1557"/>
      <c r="F57" s="1558"/>
      <c r="G57" s="1562"/>
      <c r="H57" s="1557"/>
      <c r="I57" s="1558"/>
      <c r="J57" s="3268"/>
      <c r="K57" s="3271"/>
      <c r="L57" s="3268"/>
      <c r="M57" s="3268"/>
      <c r="N57" s="3268"/>
      <c r="O57" s="3268"/>
      <c r="P57" s="3271"/>
      <c r="Q57" s="2798"/>
      <c r="R57" s="2825"/>
      <c r="S57" s="3271"/>
      <c r="T57" s="3271"/>
      <c r="U57" s="1541" t="s">
        <v>1867</v>
      </c>
      <c r="V57" s="535">
        <v>6000000</v>
      </c>
      <c r="W57" s="3293"/>
      <c r="X57" s="3268"/>
      <c r="Y57" s="3268"/>
      <c r="Z57" s="3268"/>
      <c r="AA57" s="3280"/>
      <c r="AB57" s="3280"/>
      <c r="AC57" s="3280"/>
      <c r="AD57" s="3280"/>
      <c r="AE57" s="3302"/>
      <c r="AF57" s="3302"/>
      <c r="AG57" s="3305"/>
      <c r="AH57" s="3302"/>
      <c r="AI57" s="3302"/>
      <c r="AJ57" s="3302"/>
      <c r="AK57" s="3280"/>
      <c r="AL57" s="3280"/>
      <c r="AM57" s="3280"/>
      <c r="AN57" s="3280"/>
      <c r="AO57" s="3286"/>
      <c r="AP57" s="3286"/>
      <c r="AQ57" s="3289"/>
    </row>
    <row r="58" spans="1:43" s="1539" customFormat="1" ht="45" x14ac:dyDescent="0.2">
      <c r="A58" s="1556"/>
      <c r="B58" s="1557"/>
      <c r="C58" s="1558"/>
      <c r="D58" s="1557"/>
      <c r="E58" s="1557"/>
      <c r="F58" s="1558"/>
      <c r="G58" s="1562"/>
      <c r="H58" s="1557"/>
      <c r="I58" s="1558"/>
      <c r="J58" s="3269"/>
      <c r="K58" s="3272"/>
      <c r="L58" s="3269"/>
      <c r="M58" s="3269"/>
      <c r="N58" s="3268"/>
      <c r="O58" s="3268"/>
      <c r="P58" s="3271"/>
      <c r="Q58" s="2799"/>
      <c r="R58" s="2825"/>
      <c r="S58" s="3271"/>
      <c r="T58" s="3271"/>
      <c r="U58" s="1541" t="s">
        <v>1875</v>
      </c>
      <c r="V58" s="535">
        <v>1000000</v>
      </c>
      <c r="W58" s="3293"/>
      <c r="X58" s="3268"/>
      <c r="Y58" s="3268"/>
      <c r="Z58" s="3268"/>
      <c r="AA58" s="3280"/>
      <c r="AB58" s="3280"/>
      <c r="AC58" s="3280"/>
      <c r="AD58" s="3280"/>
      <c r="AE58" s="3302"/>
      <c r="AF58" s="3302"/>
      <c r="AG58" s="3305"/>
      <c r="AH58" s="3302"/>
      <c r="AI58" s="3302"/>
      <c r="AJ58" s="3302"/>
      <c r="AK58" s="3280"/>
      <c r="AL58" s="3280"/>
      <c r="AM58" s="3280"/>
      <c r="AN58" s="3280"/>
      <c r="AO58" s="3286"/>
      <c r="AP58" s="3286"/>
      <c r="AQ58" s="3289"/>
    </row>
    <row r="59" spans="1:43" s="1539" customFormat="1" ht="60" x14ac:dyDescent="0.2">
      <c r="A59" s="1556"/>
      <c r="B59" s="1557"/>
      <c r="C59" s="1558"/>
      <c r="D59" s="1557"/>
      <c r="E59" s="1557"/>
      <c r="F59" s="1558"/>
      <c r="G59" s="1562"/>
      <c r="H59" s="1557"/>
      <c r="I59" s="1558"/>
      <c r="J59" s="3267">
        <v>135</v>
      </c>
      <c r="K59" s="3270" t="s">
        <v>1876</v>
      </c>
      <c r="L59" s="3267" t="s">
        <v>1804</v>
      </c>
      <c r="M59" s="3267">
        <v>12</v>
      </c>
      <c r="N59" s="3268"/>
      <c r="O59" s="3268"/>
      <c r="P59" s="3271"/>
      <c r="Q59" s="2797">
        <f>(V59+V60+V61+V62+V63+V64)/R37</f>
        <v>0.21212121212121213</v>
      </c>
      <c r="R59" s="2825"/>
      <c r="S59" s="3271"/>
      <c r="T59" s="3271"/>
      <c r="U59" s="1555" t="s">
        <v>1877</v>
      </c>
      <c r="V59" s="535">
        <v>5000000</v>
      </c>
      <c r="W59" s="3293"/>
      <c r="X59" s="3268"/>
      <c r="Y59" s="3268"/>
      <c r="Z59" s="3268"/>
      <c r="AA59" s="3280"/>
      <c r="AB59" s="3280"/>
      <c r="AC59" s="3280"/>
      <c r="AD59" s="3280"/>
      <c r="AE59" s="3302"/>
      <c r="AF59" s="3302"/>
      <c r="AG59" s="3305"/>
      <c r="AH59" s="3302"/>
      <c r="AI59" s="3302"/>
      <c r="AJ59" s="3302"/>
      <c r="AK59" s="3280"/>
      <c r="AL59" s="3280"/>
      <c r="AM59" s="3280"/>
      <c r="AN59" s="3280"/>
      <c r="AO59" s="3286"/>
      <c r="AP59" s="3286"/>
      <c r="AQ59" s="3289"/>
    </row>
    <row r="60" spans="1:43" s="1539" customFormat="1" ht="60" x14ac:dyDescent="0.2">
      <c r="A60" s="1556"/>
      <c r="B60" s="1557"/>
      <c r="C60" s="1558"/>
      <c r="D60" s="1557"/>
      <c r="E60" s="1557"/>
      <c r="F60" s="1558"/>
      <c r="G60" s="1562"/>
      <c r="H60" s="1557"/>
      <c r="I60" s="1558"/>
      <c r="J60" s="3268"/>
      <c r="K60" s="3271"/>
      <c r="L60" s="3268"/>
      <c r="M60" s="3268"/>
      <c r="N60" s="3268"/>
      <c r="O60" s="3268"/>
      <c r="P60" s="3271"/>
      <c r="Q60" s="2798"/>
      <c r="R60" s="2825"/>
      <c r="S60" s="3271"/>
      <c r="T60" s="3271"/>
      <c r="U60" s="1555" t="s">
        <v>1878</v>
      </c>
      <c r="V60" s="535">
        <v>5000000</v>
      </c>
      <c r="W60" s="3293"/>
      <c r="X60" s="3268"/>
      <c r="Y60" s="3268"/>
      <c r="Z60" s="3268"/>
      <c r="AA60" s="3280"/>
      <c r="AB60" s="3280"/>
      <c r="AC60" s="3280"/>
      <c r="AD60" s="3280"/>
      <c r="AE60" s="3302"/>
      <c r="AF60" s="3302"/>
      <c r="AG60" s="3305"/>
      <c r="AH60" s="3302"/>
      <c r="AI60" s="3302"/>
      <c r="AJ60" s="3302"/>
      <c r="AK60" s="3280"/>
      <c r="AL60" s="3280"/>
      <c r="AM60" s="3280"/>
      <c r="AN60" s="3280"/>
      <c r="AO60" s="3286"/>
      <c r="AP60" s="3286"/>
      <c r="AQ60" s="3289"/>
    </row>
    <row r="61" spans="1:43" s="1539" customFormat="1" ht="75" x14ac:dyDescent="0.2">
      <c r="A61" s="1556"/>
      <c r="B61" s="1557"/>
      <c r="C61" s="1558"/>
      <c r="D61" s="1557"/>
      <c r="E61" s="1557"/>
      <c r="F61" s="1558"/>
      <c r="G61" s="1562"/>
      <c r="H61" s="1557"/>
      <c r="I61" s="1558"/>
      <c r="J61" s="3268"/>
      <c r="K61" s="3271"/>
      <c r="L61" s="3268"/>
      <c r="M61" s="3268"/>
      <c r="N61" s="3268"/>
      <c r="O61" s="3268"/>
      <c r="P61" s="3271"/>
      <c r="Q61" s="2798"/>
      <c r="R61" s="2825"/>
      <c r="S61" s="3271"/>
      <c r="T61" s="3271"/>
      <c r="U61" s="1555" t="s">
        <v>1879</v>
      </c>
      <c r="V61" s="535">
        <v>5000000</v>
      </c>
      <c r="W61" s="3293"/>
      <c r="X61" s="3268"/>
      <c r="Y61" s="3268"/>
      <c r="Z61" s="3268"/>
      <c r="AA61" s="3280"/>
      <c r="AB61" s="3280"/>
      <c r="AC61" s="3280"/>
      <c r="AD61" s="3280"/>
      <c r="AE61" s="3302"/>
      <c r="AF61" s="3302"/>
      <c r="AG61" s="3305"/>
      <c r="AH61" s="3302"/>
      <c r="AI61" s="3302"/>
      <c r="AJ61" s="3302"/>
      <c r="AK61" s="3280"/>
      <c r="AL61" s="3280"/>
      <c r="AM61" s="3280"/>
      <c r="AN61" s="3280"/>
      <c r="AO61" s="3286"/>
      <c r="AP61" s="3286"/>
      <c r="AQ61" s="3289"/>
    </row>
    <row r="62" spans="1:43" s="1539" customFormat="1" ht="90" x14ac:dyDescent="0.2">
      <c r="A62" s="1556"/>
      <c r="B62" s="1557"/>
      <c r="C62" s="1558"/>
      <c r="D62" s="1557"/>
      <c r="E62" s="1557"/>
      <c r="F62" s="1558"/>
      <c r="G62" s="1562"/>
      <c r="H62" s="1557"/>
      <c r="I62" s="1558"/>
      <c r="J62" s="3268"/>
      <c r="K62" s="3271"/>
      <c r="L62" s="3268"/>
      <c r="M62" s="3268"/>
      <c r="N62" s="3268"/>
      <c r="O62" s="3268"/>
      <c r="P62" s="3271"/>
      <c r="Q62" s="2798"/>
      <c r="R62" s="2825"/>
      <c r="S62" s="3271"/>
      <c r="T62" s="3271"/>
      <c r="U62" s="1555" t="s">
        <v>1880</v>
      </c>
      <c r="V62" s="535">
        <v>5000000</v>
      </c>
      <c r="W62" s="3293"/>
      <c r="X62" s="3268"/>
      <c r="Y62" s="3268"/>
      <c r="Z62" s="3268"/>
      <c r="AA62" s="3280"/>
      <c r="AB62" s="3280"/>
      <c r="AC62" s="3280"/>
      <c r="AD62" s="3280"/>
      <c r="AE62" s="3302"/>
      <c r="AF62" s="3302"/>
      <c r="AG62" s="3305"/>
      <c r="AH62" s="3302"/>
      <c r="AI62" s="3302"/>
      <c r="AJ62" s="3302"/>
      <c r="AK62" s="3280"/>
      <c r="AL62" s="3280"/>
      <c r="AM62" s="3280"/>
      <c r="AN62" s="3280"/>
      <c r="AO62" s="3286"/>
      <c r="AP62" s="3286"/>
      <c r="AQ62" s="3289"/>
    </row>
    <row r="63" spans="1:43" s="1539" customFormat="1" ht="60" x14ac:dyDescent="0.2">
      <c r="A63" s="1556"/>
      <c r="B63" s="1557"/>
      <c r="C63" s="1558"/>
      <c r="D63" s="1557"/>
      <c r="E63" s="1557"/>
      <c r="F63" s="1558"/>
      <c r="G63" s="1562"/>
      <c r="H63" s="1557"/>
      <c r="I63" s="1558"/>
      <c r="J63" s="3268"/>
      <c r="K63" s="3271"/>
      <c r="L63" s="3268"/>
      <c r="M63" s="3268"/>
      <c r="N63" s="3268"/>
      <c r="O63" s="3268"/>
      <c r="P63" s="3271"/>
      <c r="Q63" s="2798"/>
      <c r="R63" s="2825"/>
      <c r="S63" s="3271"/>
      <c r="T63" s="3271"/>
      <c r="U63" s="1555" t="s">
        <v>1881</v>
      </c>
      <c r="V63" s="535">
        <v>5000000</v>
      </c>
      <c r="W63" s="3293"/>
      <c r="X63" s="3268"/>
      <c r="Y63" s="3268"/>
      <c r="Z63" s="3268"/>
      <c r="AA63" s="3280"/>
      <c r="AB63" s="3280"/>
      <c r="AC63" s="3280"/>
      <c r="AD63" s="3280"/>
      <c r="AE63" s="3302"/>
      <c r="AF63" s="3302"/>
      <c r="AG63" s="3305"/>
      <c r="AH63" s="3302"/>
      <c r="AI63" s="3302"/>
      <c r="AJ63" s="3302"/>
      <c r="AK63" s="3280"/>
      <c r="AL63" s="3280"/>
      <c r="AM63" s="3280"/>
      <c r="AN63" s="3280"/>
      <c r="AO63" s="3286"/>
      <c r="AP63" s="3286"/>
      <c r="AQ63" s="3289"/>
    </row>
    <row r="64" spans="1:43" s="1539" customFormat="1" ht="60" x14ac:dyDescent="0.2">
      <c r="A64" s="1556"/>
      <c r="B64" s="1557"/>
      <c r="C64" s="1558"/>
      <c r="D64" s="1557"/>
      <c r="E64" s="1557"/>
      <c r="F64" s="1558"/>
      <c r="G64" s="1563"/>
      <c r="H64" s="1564"/>
      <c r="I64" s="1565"/>
      <c r="J64" s="3269"/>
      <c r="K64" s="3272"/>
      <c r="L64" s="3269"/>
      <c r="M64" s="3269"/>
      <c r="N64" s="3269"/>
      <c r="O64" s="3269"/>
      <c r="P64" s="3272"/>
      <c r="Q64" s="2799"/>
      <c r="R64" s="2826"/>
      <c r="S64" s="3272"/>
      <c r="T64" s="3272"/>
      <c r="U64" s="1555" t="s">
        <v>1882</v>
      </c>
      <c r="V64" s="535">
        <v>10000000</v>
      </c>
      <c r="W64" s="3294"/>
      <c r="X64" s="3269"/>
      <c r="Y64" s="3269"/>
      <c r="Z64" s="3269"/>
      <c r="AA64" s="3281"/>
      <c r="AB64" s="3281"/>
      <c r="AC64" s="3281"/>
      <c r="AD64" s="3281"/>
      <c r="AE64" s="3303"/>
      <c r="AF64" s="3303"/>
      <c r="AG64" s="3306"/>
      <c r="AH64" s="3303"/>
      <c r="AI64" s="3303"/>
      <c r="AJ64" s="3303"/>
      <c r="AK64" s="3281"/>
      <c r="AL64" s="3281"/>
      <c r="AM64" s="3281"/>
      <c r="AN64" s="3281"/>
      <c r="AO64" s="3287"/>
      <c r="AP64" s="3287"/>
      <c r="AQ64" s="3290"/>
    </row>
    <row r="65" spans="1:43" ht="33" customHeight="1" x14ac:dyDescent="0.2">
      <c r="A65" s="1518"/>
      <c r="B65" s="1519"/>
      <c r="C65" s="1520"/>
      <c r="D65" s="1519"/>
      <c r="E65" s="1519"/>
      <c r="F65" s="1520"/>
      <c r="G65" s="1551">
        <v>38</v>
      </c>
      <c r="H65" s="1524" t="s">
        <v>1883</v>
      </c>
      <c r="I65" s="1524"/>
      <c r="J65" s="1524"/>
      <c r="K65" s="1525"/>
      <c r="L65" s="1524"/>
      <c r="M65" s="1524"/>
      <c r="N65" s="1526"/>
      <c r="O65" s="1524"/>
      <c r="P65" s="1525"/>
      <c r="Q65" s="1524"/>
      <c r="R65" s="1552"/>
      <c r="S65" s="1524"/>
      <c r="T65" s="1525"/>
      <c r="U65" s="1525"/>
      <c r="V65" s="1553"/>
      <c r="W65" s="1554"/>
      <c r="X65" s="1526"/>
      <c r="Y65" s="1526"/>
      <c r="Z65" s="1526"/>
      <c r="AA65" s="1526"/>
      <c r="AB65" s="1526"/>
      <c r="AC65" s="1526"/>
      <c r="AD65" s="1526"/>
      <c r="AE65" s="1526"/>
      <c r="AF65" s="1526"/>
      <c r="AG65" s="1526"/>
      <c r="AH65" s="1526"/>
      <c r="AI65" s="1526"/>
      <c r="AJ65" s="1526"/>
      <c r="AK65" s="1526"/>
      <c r="AL65" s="1526"/>
      <c r="AM65" s="1526"/>
      <c r="AN65" s="1526"/>
      <c r="AO65" s="1524"/>
      <c r="AP65" s="1524"/>
      <c r="AQ65" s="1531"/>
    </row>
    <row r="66" spans="1:43" s="1539" customFormat="1" ht="75" customHeight="1" x14ac:dyDescent="0.2">
      <c r="A66" s="1532"/>
      <c r="B66" s="1533"/>
      <c r="C66" s="1534"/>
      <c r="D66" s="1533"/>
      <c r="E66" s="1533"/>
      <c r="F66" s="1534"/>
      <c r="G66" s="1535"/>
      <c r="H66" s="1536"/>
      <c r="I66" s="1537"/>
      <c r="J66" s="3267">
        <v>136</v>
      </c>
      <c r="K66" s="3267" t="s">
        <v>1884</v>
      </c>
      <c r="L66" s="3267" t="s">
        <v>1804</v>
      </c>
      <c r="M66" s="3267">
        <v>12</v>
      </c>
      <c r="N66" s="3267" t="s">
        <v>1885</v>
      </c>
      <c r="O66" s="3267">
        <v>135</v>
      </c>
      <c r="P66" s="3270" t="s">
        <v>1886</v>
      </c>
      <c r="Q66" s="2797">
        <f>(V66+V67+V68+V69+V70+V71+V72+V73+V74)/R66</f>
        <v>0.2869150937874832</v>
      </c>
      <c r="R66" s="2824">
        <f>SUM(V66:V84)</f>
        <v>148649900</v>
      </c>
      <c r="S66" s="3270" t="s">
        <v>1887</v>
      </c>
      <c r="T66" s="3267" t="s">
        <v>1888</v>
      </c>
      <c r="U66" s="1566" t="s">
        <v>1889</v>
      </c>
      <c r="V66" s="535">
        <v>4500000</v>
      </c>
      <c r="W66" s="3292">
        <v>61</v>
      </c>
      <c r="X66" s="3267" t="s">
        <v>1810</v>
      </c>
      <c r="Y66" s="3267">
        <v>292684</v>
      </c>
      <c r="Z66" s="3267">
        <v>282326</v>
      </c>
      <c r="AA66" s="3301">
        <v>135912</v>
      </c>
      <c r="AB66" s="3301">
        <v>45122</v>
      </c>
      <c r="AC66" s="3307">
        <f>SUM(AC37)</f>
        <v>307101</v>
      </c>
      <c r="AD66" s="3301">
        <f>SUM(AD37)</f>
        <v>86875</v>
      </c>
      <c r="AE66" s="3301">
        <f>SUM(AE37)</f>
        <v>2145</v>
      </c>
      <c r="AF66" s="3301">
        <v>12718</v>
      </c>
      <c r="AG66" s="3301">
        <v>26</v>
      </c>
      <c r="AH66" s="3301">
        <v>37</v>
      </c>
      <c r="AI66" s="3301" t="s">
        <v>1811</v>
      </c>
      <c r="AJ66" s="3307" t="s">
        <v>1811</v>
      </c>
      <c r="AK66" s="3301">
        <v>53164</v>
      </c>
      <c r="AL66" s="3301">
        <v>16982</v>
      </c>
      <c r="AM66" s="3307">
        <v>60013</v>
      </c>
      <c r="AN66" s="3301">
        <v>575010</v>
      </c>
      <c r="AO66" s="3285">
        <v>43101</v>
      </c>
      <c r="AP66" s="3285">
        <v>43465</v>
      </c>
      <c r="AQ66" s="3288" t="s">
        <v>1812</v>
      </c>
    </row>
    <row r="67" spans="1:43" s="1539" customFormat="1" ht="75" x14ac:dyDescent="0.2">
      <c r="A67" s="1532"/>
      <c r="B67" s="1533"/>
      <c r="C67" s="1534"/>
      <c r="D67" s="1533"/>
      <c r="E67" s="1533"/>
      <c r="F67" s="1534"/>
      <c r="G67" s="1540"/>
      <c r="H67" s="1533"/>
      <c r="I67" s="1534"/>
      <c r="J67" s="3268"/>
      <c r="K67" s="3268"/>
      <c r="L67" s="3268"/>
      <c r="M67" s="3268"/>
      <c r="N67" s="3268"/>
      <c r="O67" s="3268"/>
      <c r="P67" s="3271"/>
      <c r="Q67" s="2798"/>
      <c r="R67" s="2825"/>
      <c r="S67" s="3271"/>
      <c r="T67" s="3268"/>
      <c r="U67" s="1566" t="s">
        <v>1890</v>
      </c>
      <c r="V67" s="535">
        <v>7149900</v>
      </c>
      <c r="W67" s="3293"/>
      <c r="X67" s="3268"/>
      <c r="Y67" s="3268"/>
      <c r="Z67" s="3268"/>
      <c r="AA67" s="3302"/>
      <c r="AB67" s="3302"/>
      <c r="AC67" s="3308"/>
      <c r="AD67" s="3302"/>
      <c r="AE67" s="3302"/>
      <c r="AF67" s="3302"/>
      <c r="AG67" s="3302"/>
      <c r="AH67" s="3302"/>
      <c r="AI67" s="3302"/>
      <c r="AJ67" s="3308"/>
      <c r="AK67" s="3302"/>
      <c r="AL67" s="3302"/>
      <c r="AM67" s="3308"/>
      <c r="AN67" s="3302"/>
      <c r="AO67" s="3286"/>
      <c r="AP67" s="3286"/>
      <c r="AQ67" s="3289"/>
    </row>
    <row r="68" spans="1:43" s="1539" customFormat="1" ht="75" x14ac:dyDescent="0.2">
      <c r="A68" s="1532"/>
      <c r="B68" s="1533"/>
      <c r="C68" s="1534"/>
      <c r="D68" s="1533"/>
      <c r="E68" s="1533"/>
      <c r="F68" s="1534"/>
      <c r="G68" s="1540"/>
      <c r="H68" s="1533"/>
      <c r="I68" s="1534"/>
      <c r="J68" s="3268"/>
      <c r="K68" s="3268"/>
      <c r="L68" s="3268"/>
      <c r="M68" s="3268"/>
      <c r="N68" s="3268"/>
      <c r="O68" s="3268"/>
      <c r="P68" s="3271"/>
      <c r="Q68" s="2798"/>
      <c r="R68" s="2825"/>
      <c r="S68" s="3271"/>
      <c r="T68" s="3268"/>
      <c r="U68" s="1566" t="s">
        <v>1891</v>
      </c>
      <c r="V68" s="535">
        <v>4500000</v>
      </c>
      <c r="W68" s="3293"/>
      <c r="X68" s="3268"/>
      <c r="Y68" s="3268"/>
      <c r="Z68" s="3268"/>
      <c r="AA68" s="3302"/>
      <c r="AB68" s="3302"/>
      <c r="AC68" s="3308"/>
      <c r="AD68" s="3302"/>
      <c r="AE68" s="3302"/>
      <c r="AF68" s="3302"/>
      <c r="AG68" s="3302"/>
      <c r="AH68" s="3302"/>
      <c r="AI68" s="3302"/>
      <c r="AJ68" s="3308"/>
      <c r="AK68" s="3302"/>
      <c r="AL68" s="3302"/>
      <c r="AM68" s="3308"/>
      <c r="AN68" s="3302"/>
      <c r="AO68" s="3286"/>
      <c r="AP68" s="3286"/>
      <c r="AQ68" s="3289"/>
    </row>
    <row r="69" spans="1:43" s="1539" customFormat="1" ht="60" x14ac:dyDescent="0.2">
      <c r="A69" s="1532"/>
      <c r="B69" s="1533"/>
      <c r="C69" s="1534"/>
      <c r="D69" s="1533"/>
      <c r="E69" s="1533"/>
      <c r="F69" s="1534"/>
      <c r="G69" s="1540"/>
      <c r="H69" s="1533"/>
      <c r="I69" s="1534"/>
      <c r="J69" s="3268"/>
      <c r="K69" s="3268"/>
      <c r="L69" s="3268"/>
      <c r="M69" s="3268"/>
      <c r="N69" s="3268"/>
      <c r="O69" s="3268"/>
      <c r="P69" s="3271"/>
      <c r="Q69" s="2798"/>
      <c r="R69" s="2825"/>
      <c r="S69" s="3271"/>
      <c r="T69" s="3268"/>
      <c r="U69" s="1566" t="s">
        <v>1892</v>
      </c>
      <c r="V69" s="535">
        <v>4500000</v>
      </c>
      <c r="W69" s="3293"/>
      <c r="X69" s="3268"/>
      <c r="Y69" s="3268"/>
      <c r="Z69" s="3268"/>
      <c r="AA69" s="3302"/>
      <c r="AB69" s="3302"/>
      <c r="AC69" s="3308"/>
      <c r="AD69" s="3302"/>
      <c r="AE69" s="3302"/>
      <c r="AF69" s="3302"/>
      <c r="AG69" s="3302"/>
      <c r="AH69" s="3302"/>
      <c r="AI69" s="3302"/>
      <c r="AJ69" s="3308"/>
      <c r="AK69" s="3302"/>
      <c r="AL69" s="3302"/>
      <c r="AM69" s="3308"/>
      <c r="AN69" s="3302"/>
      <c r="AO69" s="3286"/>
      <c r="AP69" s="3286"/>
      <c r="AQ69" s="3289"/>
    </row>
    <row r="70" spans="1:43" s="1539" customFormat="1" ht="90" x14ac:dyDescent="0.2">
      <c r="A70" s="1532"/>
      <c r="B70" s="1533"/>
      <c r="C70" s="1534"/>
      <c r="D70" s="1533"/>
      <c r="E70" s="1533"/>
      <c r="F70" s="1534"/>
      <c r="G70" s="1540"/>
      <c r="H70" s="1533"/>
      <c r="I70" s="1534"/>
      <c r="J70" s="3268"/>
      <c r="K70" s="3268"/>
      <c r="L70" s="3268"/>
      <c r="M70" s="3268"/>
      <c r="N70" s="3268"/>
      <c r="O70" s="3268"/>
      <c r="P70" s="3271"/>
      <c r="Q70" s="2798"/>
      <c r="R70" s="2825"/>
      <c r="S70" s="3271"/>
      <c r="T70" s="3268"/>
      <c r="U70" s="1566" t="s">
        <v>1893</v>
      </c>
      <c r="V70" s="535">
        <v>4500000</v>
      </c>
      <c r="W70" s="3293"/>
      <c r="X70" s="3268"/>
      <c r="Y70" s="3268"/>
      <c r="Z70" s="3268"/>
      <c r="AA70" s="3302"/>
      <c r="AB70" s="3302"/>
      <c r="AC70" s="3308"/>
      <c r="AD70" s="3302"/>
      <c r="AE70" s="3302"/>
      <c r="AF70" s="3302"/>
      <c r="AG70" s="3302"/>
      <c r="AH70" s="3302"/>
      <c r="AI70" s="3302"/>
      <c r="AJ70" s="3308"/>
      <c r="AK70" s="3302"/>
      <c r="AL70" s="3302"/>
      <c r="AM70" s="3308"/>
      <c r="AN70" s="3302"/>
      <c r="AO70" s="3286"/>
      <c r="AP70" s="3286"/>
      <c r="AQ70" s="3289"/>
    </row>
    <row r="71" spans="1:43" s="1539" customFormat="1" ht="105" x14ac:dyDescent="0.2">
      <c r="A71" s="1532"/>
      <c r="B71" s="1533"/>
      <c r="C71" s="1534"/>
      <c r="D71" s="1533"/>
      <c r="E71" s="1533"/>
      <c r="F71" s="1534"/>
      <c r="G71" s="1540"/>
      <c r="H71" s="1533"/>
      <c r="I71" s="1534"/>
      <c r="J71" s="3268"/>
      <c r="K71" s="3268"/>
      <c r="L71" s="3268"/>
      <c r="M71" s="3268"/>
      <c r="N71" s="3268"/>
      <c r="O71" s="3268"/>
      <c r="P71" s="3271"/>
      <c r="Q71" s="2798"/>
      <c r="R71" s="2825"/>
      <c r="S71" s="3271"/>
      <c r="T71" s="3268"/>
      <c r="U71" s="1566" t="s">
        <v>1894</v>
      </c>
      <c r="V71" s="535">
        <v>4500000</v>
      </c>
      <c r="W71" s="3293"/>
      <c r="X71" s="3268"/>
      <c r="Y71" s="3268"/>
      <c r="Z71" s="3268"/>
      <c r="AA71" s="3302"/>
      <c r="AB71" s="3302"/>
      <c r="AC71" s="3308"/>
      <c r="AD71" s="3302"/>
      <c r="AE71" s="3302"/>
      <c r="AF71" s="3302"/>
      <c r="AG71" s="3302"/>
      <c r="AH71" s="3302"/>
      <c r="AI71" s="3302"/>
      <c r="AJ71" s="3308"/>
      <c r="AK71" s="3302"/>
      <c r="AL71" s="3302"/>
      <c r="AM71" s="3308"/>
      <c r="AN71" s="3302"/>
      <c r="AO71" s="3286"/>
      <c r="AP71" s="3286"/>
      <c r="AQ71" s="3289"/>
    </row>
    <row r="72" spans="1:43" s="1539" customFormat="1" ht="75" x14ac:dyDescent="0.2">
      <c r="A72" s="1532"/>
      <c r="B72" s="1533"/>
      <c r="C72" s="1534"/>
      <c r="D72" s="1533"/>
      <c r="E72" s="1533"/>
      <c r="F72" s="1534"/>
      <c r="G72" s="1540"/>
      <c r="H72" s="1533"/>
      <c r="I72" s="1534"/>
      <c r="J72" s="3268"/>
      <c r="K72" s="3268"/>
      <c r="L72" s="3268"/>
      <c r="M72" s="3268"/>
      <c r="N72" s="3268"/>
      <c r="O72" s="3268"/>
      <c r="P72" s="3271"/>
      <c r="Q72" s="2798"/>
      <c r="R72" s="2825"/>
      <c r="S72" s="3271"/>
      <c r="T72" s="3268"/>
      <c r="U72" s="1566" t="s">
        <v>1895</v>
      </c>
      <c r="V72" s="535">
        <v>4500000</v>
      </c>
      <c r="W72" s="3293"/>
      <c r="X72" s="3268"/>
      <c r="Y72" s="3268"/>
      <c r="Z72" s="3268"/>
      <c r="AA72" s="3302"/>
      <c r="AB72" s="3302"/>
      <c r="AC72" s="3308"/>
      <c r="AD72" s="3302"/>
      <c r="AE72" s="3302"/>
      <c r="AF72" s="3302"/>
      <c r="AG72" s="3302"/>
      <c r="AH72" s="3302"/>
      <c r="AI72" s="3302"/>
      <c r="AJ72" s="3308"/>
      <c r="AK72" s="3302"/>
      <c r="AL72" s="3302"/>
      <c r="AM72" s="3308"/>
      <c r="AN72" s="3302"/>
      <c r="AO72" s="3286"/>
      <c r="AP72" s="3286"/>
      <c r="AQ72" s="3289"/>
    </row>
    <row r="73" spans="1:43" s="1539" customFormat="1" ht="60" x14ac:dyDescent="0.2">
      <c r="A73" s="1532"/>
      <c r="B73" s="1533"/>
      <c r="C73" s="1534"/>
      <c r="D73" s="1533"/>
      <c r="E73" s="1533"/>
      <c r="F73" s="1534"/>
      <c r="G73" s="1540"/>
      <c r="H73" s="1533"/>
      <c r="I73" s="1534"/>
      <c r="J73" s="3268"/>
      <c r="K73" s="3268"/>
      <c r="L73" s="3268"/>
      <c r="M73" s="3268"/>
      <c r="N73" s="3268"/>
      <c r="O73" s="3268"/>
      <c r="P73" s="3271"/>
      <c r="Q73" s="2798"/>
      <c r="R73" s="2825"/>
      <c r="S73" s="3271"/>
      <c r="T73" s="3268"/>
      <c r="U73" s="1566" t="s">
        <v>1896</v>
      </c>
      <c r="V73" s="535">
        <v>4500000</v>
      </c>
      <c r="W73" s="3293"/>
      <c r="X73" s="3268"/>
      <c r="Y73" s="3268"/>
      <c r="Z73" s="3268"/>
      <c r="AA73" s="3302"/>
      <c r="AB73" s="3302"/>
      <c r="AC73" s="3308"/>
      <c r="AD73" s="3302"/>
      <c r="AE73" s="3302"/>
      <c r="AF73" s="3302"/>
      <c r="AG73" s="3302"/>
      <c r="AH73" s="3302"/>
      <c r="AI73" s="3302"/>
      <c r="AJ73" s="3308"/>
      <c r="AK73" s="3302"/>
      <c r="AL73" s="3302"/>
      <c r="AM73" s="3308"/>
      <c r="AN73" s="3302"/>
      <c r="AO73" s="3286"/>
      <c r="AP73" s="3286"/>
      <c r="AQ73" s="3289"/>
    </row>
    <row r="74" spans="1:43" s="1539" customFormat="1" ht="90" x14ac:dyDescent="0.2">
      <c r="A74" s="1532"/>
      <c r="B74" s="1533"/>
      <c r="C74" s="1534"/>
      <c r="D74" s="1533"/>
      <c r="E74" s="1533"/>
      <c r="F74" s="1534"/>
      <c r="G74" s="1540"/>
      <c r="H74" s="1533"/>
      <c r="I74" s="1534"/>
      <c r="J74" s="3269"/>
      <c r="K74" s="3269"/>
      <c r="L74" s="3269"/>
      <c r="M74" s="3269"/>
      <c r="N74" s="3268"/>
      <c r="O74" s="3268"/>
      <c r="P74" s="3271"/>
      <c r="Q74" s="2799"/>
      <c r="R74" s="2825"/>
      <c r="S74" s="3271"/>
      <c r="T74" s="3269"/>
      <c r="U74" s="1566" t="s">
        <v>1897</v>
      </c>
      <c r="V74" s="535">
        <v>4000000</v>
      </c>
      <c r="W74" s="3293"/>
      <c r="X74" s="3268"/>
      <c r="Y74" s="3268"/>
      <c r="Z74" s="3268"/>
      <c r="AA74" s="3302"/>
      <c r="AB74" s="3302"/>
      <c r="AC74" s="3308"/>
      <c r="AD74" s="3302"/>
      <c r="AE74" s="3302"/>
      <c r="AF74" s="3302"/>
      <c r="AG74" s="3302"/>
      <c r="AH74" s="3302"/>
      <c r="AI74" s="3302"/>
      <c r="AJ74" s="3308"/>
      <c r="AK74" s="3302"/>
      <c r="AL74" s="3302"/>
      <c r="AM74" s="3308"/>
      <c r="AN74" s="3302"/>
      <c r="AO74" s="3286"/>
      <c r="AP74" s="3286"/>
      <c r="AQ74" s="3289"/>
    </row>
    <row r="75" spans="1:43" s="1539" customFormat="1" ht="60" x14ac:dyDescent="0.2">
      <c r="A75" s="1532"/>
      <c r="B75" s="1533"/>
      <c r="C75" s="1534"/>
      <c r="D75" s="1533"/>
      <c r="E75" s="1533"/>
      <c r="F75" s="1534"/>
      <c r="G75" s="1540"/>
      <c r="H75" s="1533"/>
      <c r="I75" s="1534"/>
      <c r="J75" s="3267">
        <v>137</v>
      </c>
      <c r="K75" s="3270" t="s">
        <v>1898</v>
      </c>
      <c r="L75" s="3267" t="s">
        <v>1804</v>
      </c>
      <c r="M75" s="3267">
        <v>12</v>
      </c>
      <c r="N75" s="3268"/>
      <c r="O75" s="3268"/>
      <c r="P75" s="3271"/>
      <c r="Q75" s="2797">
        <f>(V75+V79+V76+V77+V78)/R66</f>
        <v>0.35654245310625837</v>
      </c>
      <c r="R75" s="2825"/>
      <c r="S75" s="3271"/>
      <c r="T75" s="3270" t="s">
        <v>1899</v>
      </c>
      <c r="U75" s="1566" t="s">
        <v>1900</v>
      </c>
      <c r="V75" s="535">
        <v>10600000</v>
      </c>
      <c r="W75" s="3293"/>
      <c r="X75" s="3268"/>
      <c r="Y75" s="3268"/>
      <c r="Z75" s="3268"/>
      <c r="AA75" s="3302"/>
      <c r="AB75" s="3302"/>
      <c r="AC75" s="3308"/>
      <c r="AD75" s="3302"/>
      <c r="AE75" s="3302"/>
      <c r="AF75" s="3302"/>
      <c r="AG75" s="3302"/>
      <c r="AH75" s="3302"/>
      <c r="AI75" s="3302"/>
      <c r="AJ75" s="3308"/>
      <c r="AK75" s="3302"/>
      <c r="AL75" s="3302"/>
      <c r="AM75" s="3308"/>
      <c r="AN75" s="3302"/>
      <c r="AO75" s="3286"/>
      <c r="AP75" s="3286"/>
      <c r="AQ75" s="3289"/>
    </row>
    <row r="76" spans="1:43" s="1539" customFormat="1" ht="90" x14ac:dyDescent="0.2">
      <c r="A76" s="1532"/>
      <c r="B76" s="1533"/>
      <c r="C76" s="1534"/>
      <c r="D76" s="1533"/>
      <c r="E76" s="1533"/>
      <c r="F76" s="1534"/>
      <c r="G76" s="1540"/>
      <c r="H76" s="1533"/>
      <c r="I76" s="1534"/>
      <c r="J76" s="3268"/>
      <c r="K76" s="3271"/>
      <c r="L76" s="3268"/>
      <c r="M76" s="3268"/>
      <c r="N76" s="3268"/>
      <c r="O76" s="3268"/>
      <c r="P76" s="3271"/>
      <c r="Q76" s="2798"/>
      <c r="R76" s="2825"/>
      <c r="S76" s="3271"/>
      <c r="T76" s="3271"/>
      <c r="U76" s="1566" t="s">
        <v>1901</v>
      </c>
      <c r="V76" s="535">
        <v>10600000</v>
      </c>
      <c r="W76" s="3293"/>
      <c r="X76" s="3268"/>
      <c r="Y76" s="3268"/>
      <c r="Z76" s="3268"/>
      <c r="AA76" s="3302"/>
      <c r="AB76" s="3302"/>
      <c r="AC76" s="3308"/>
      <c r="AD76" s="3302"/>
      <c r="AE76" s="3302"/>
      <c r="AF76" s="3302"/>
      <c r="AG76" s="3302"/>
      <c r="AH76" s="3302"/>
      <c r="AI76" s="3302"/>
      <c r="AJ76" s="3308"/>
      <c r="AK76" s="3302"/>
      <c r="AL76" s="3302"/>
      <c r="AM76" s="3308"/>
      <c r="AN76" s="3302"/>
      <c r="AO76" s="3286"/>
      <c r="AP76" s="3286"/>
      <c r="AQ76" s="3289"/>
    </row>
    <row r="77" spans="1:43" s="1539" customFormat="1" ht="60" x14ac:dyDescent="0.2">
      <c r="A77" s="1532"/>
      <c r="B77" s="1533"/>
      <c r="C77" s="1534"/>
      <c r="D77" s="1533"/>
      <c r="E77" s="1533"/>
      <c r="F77" s="1534"/>
      <c r="G77" s="1540"/>
      <c r="H77" s="1533"/>
      <c r="I77" s="1534"/>
      <c r="J77" s="3268"/>
      <c r="K77" s="3271"/>
      <c r="L77" s="3268"/>
      <c r="M77" s="3268"/>
      <c r="N77" s="3268"/>
      <c r="O77" s="3268"/>
      <c r="P77" s="3271"/>
      <c r="Q77" s="2798"/>
      <c r="R77" s="2825"/>
      <c r="S77" s="3271"/>
      <c r="T77" s="3271"/>
      <c r="U77" s="1566" t="s">
        <v>1902</v>
      </c>
      <c r="V77" s="535">
        <v>10600000</v>
      </c>
      <c r="W77" s="3293"/>
      <c r="X77" s="3268"/>
      <c r="Y77" s="3268"/>
      <c r="Z77" s="3268"/>
      <c r="AA77" s="3302"/>
      <c r="AB77" s="3302"/>
      <c r="AC77" s="3308"/>
      <c r="AD77" s="3302"/>
      <c r="AE77" s="3302"/>
      <c r="AF77" s="3302"/>
      <c r="AG77" s="3302"/>
      <c r="AH77" s="3302"/>
      <c r="AI77" s="3302"/>
      <c r="AJ77" s="3308"/>
      <c r="AK77" s="3302"/>
      <c r="AL77" s="3302"/>
      <c r="AM77" s="3308"/>
      <c r="AN77" s="3302"/>
      <c r="AO77" s="3286"/>
      <c r="AP77" s="3286"/>
      <c r="AQ77" s="3289"/>
    </row>
    <row r="78" spans="1:43" s="1539" customFormat="1" ht="75" x14ac:dyDescent="0.2">
      <c r="A78" s="1532"/>
      <c r="B78" s="1533"/>
      <c r="C78" s="1534"/>
      <c r="D78" s="1533"/>
      <c r="E78" s="1533"/>
      <c r="F78" s="1534"/>
      <c r="G78" s="1540"/>
      <c r="H78" s="1533"/>
      <c r="I78" s="1534"/>
      <c r="J78" s="3268"/>
      <c r="K78" s="3271"/>
      <c r="L78" s="3268"/>
      <c r="M78" s="3268"/>
      <c r="N78" s="3268"/>
      <c r="O78" s="3268"/>
      <c r="P78" s="3271"/>
      <c r="Q78" s="2798"/>
      <c r="R78" s="2825"/>
      <c r="S78" s="3271"/>
      <c r="T78" s="3271"/>
      <c r="U78" s="1566" t="s">
        <v>1903</v>
      </c>
      <c r="V78" s="535">
        <v>10600000</v>
      </c>
      <c r="W78" s="3293"/>
      <c r="X78" s="3268"/>
      <c r="Y78" s="3268"/>
      <c r="Z78" s="3268"/>
      <c r="AA78" s="3302"/>
      <c r="AB78" s="3302"/>
      <c r="AC78" s="3308"/>
      <c r="AD78" s="3302"/>
      <c r="AE78" s="3302"/>
      <c r="AF78" s="3302"/>
      <c r="AG78" s="3302"/>
      <c r="AH78" s="3302"/>
      <c r="AI78" s="3302"/>
      <c r="AJ78" s="3308"/>
      <c r="AK78" s="3302"/>
      <c r="AL78" s="3302"/>
      <c r="AM78" s="3308"/>
      <c r="AN78" s="3302"/>
      <c r="AO78" s="3286"/>
      <c r="AP78" s="3286"/>
      <c r="AQ78" s="3289"/>
    </row>
    <row r="79" spans="1:43" s="1539" customFormat="1" ht="60" x14ac:dyDescent="0.2">
      <c r="A79" s="1532"/>
      <c r="B79" s="1533"/>
      <c r="C79" s="1534"/>
      <c r="D79" s="1533"/>
      <c r="E79" s="1533"/>
      <c r="F79" s="1534"/>
      <c r="G79" s="1540"/>
      <c r="H79" s="1533"/>
      <c r="I79" s="1534"/>
      <c r="J79" s="3269"/>
      <c r="K79" s="3272"/>
      <c r="L79" s="3269"/>
      <c r="M79" s="3269"/>
      <c r="N79" s="3268"/>
      <c r="O79" s="3268"/>
      <c r="P79" s="3271"/>
      <c r="Q79" s="2799"/>
      <c r="R79" s="2825"/>
      <c r="S79" s="3271"/>
      <c r="T79" s="3272"/>
      <c r="U79" s="1566" t="s">
        <v>1904</v>
      </c>
      <c r="V79" s="535">
        <v>10600000</v>
      </c>
      <c r="W79" s="3293"/>
      <c r="X79" s="3268"/>
      <c r="Y79" s="3268"/>
      <c r="Z79" s="3268"/>
      <c r="AA79" s="3302"/>
      <c r="AB79" s="3302"/>
      <c r="AC79" s="3308"/>
      <c r="AD79" s="3302"/>
      <c r="AE79" s="3302"/>
      <c r="AF79" s="3302"/>
      <c r="AG79" s="3302"/>
      <c r="AH79" s="3302"/>
      <c r="AI79" s="3302"/>
      <c r="AJ79" s="3308"/>
      <c r="AK79" s="3302"/>
      <c r="AL79" s="3302"/>
      <c r="AM79" s="3308"/>
      <c r="AN79" s="3302"/>
      <c r="AO79" s="3286"/>
      <c r="AP79" s="3286"/>
      <c r="AQ79" s="3289"/>
    </row>
    <row r="80" spans="1:43" s="1539" customFormat="1" ht="90" x14ac:dyDescent="0.2">
      <c r="A80" s="1532"/>
      <c r="B80" s="1533"/>
      <c r="C80" s="1534"/>
      <c r="D80" s="1533"/>
      <c r="E80" s="1533"/>
      <c r="F80" s="1534"/>
      <c r="G80" s="1540"/>
      <c r="H80" s="1533"/>
      <c r="I80" s="1534"/>
      <c r="J80" s="3304">
        <v>138</v>
      </c>
      <c r="K80" s="3310" t="s">
        <v>1905</v>
      </c>
      <c r="L80" s="3304" t="s">
        <v>1804</v>
      </c>
      <c r="M80" s="3304">
        <v>12</v>
      </c>
      <c r="N80" s="3268"/>
      <c r="O80" s="3268"/>
      <c r="P80" s="3271"/>
      <c r="Q80" s="2445">
        <f>(V80+V81+V82+V83+V84)/R66</f>
        <v>0.35654245310625837</v>
      </c>
      <c r="R80" s="2825"/>
      <c r="S80" s="3271"/>
      <c r="T80" s="3310" t="s">
        <v>1906</v>
      </c>
      <c r="U80" s="1567" t="s">
        <v>1907</v>
      </c>
      <c r="V80" s="535">
        <v>10600000</v>
      </c>
      <c r="W80" s="3293"/>
      <c r="X80" s="3268"/>
      <c r="Y80" s="3268"/>
      <c r="Z80" s="3268"/>
      <c r="AA80" s="3302"/>
      <c r="AB80" s="3302"/>
      <c r="AC80" s="3308"/>
      <c r="AD80" s="3302"/>
      <c r="AE80" s="3302"/>
      <c r="AF80" s="3302"/>
      <c r="AG80" s="3302"/>
      <c r="AH80" s="3302"/>
      <c r="AI80" s="3302"/>
      <c r="AJ80" s="3308"/>
      <c r="AK80" s="3302"/>
      <c r="AL80" s="3302"/>
      <c r="AM80" s="3308"/>
      <c r="AN80" s="3302"/>
      <c r="AO80" s="3286"/>
      <c r="AP80" s="3286"/>
      <c r="AQ80" s="3289"/>
    </row>
    <row r="81" spans="1:331" s="1539" customFormat="1" ht="45" x14ac:dyDescent="0.2">
      <c r="A81" s="1532"/>
      <c r="B81" s="1533"/>
      <c r="C81" s="1534"/>
      <c r="D81" s="1533"/>
      <c r="E81" s="1533"/>
      <c r="F81" s="1534"/>
      <c r="G81" s="1540"/>
      <c r="H81" s="1533"/>
      <c r="I81" s="1534"/>
      <c r="J81" s="3305"/>
      <c r="K81" s="3311"/>
      <c r="L81" s="3305"/>
      <c r="M81" s="3305"/>
      <c r="N81" s="3268"/>
      <c r="O81" s="3268"/>
      <c r="P81" s="3271"/>
      <c r="Q81" s="2447"/>
      <c r="R81" s="2825"/>
      <c r="S81" s="3271"/>
      <c r="T81" s="3311"/>
      <c r="U81" s="1567" t="s">
        <v>1908</v>
      </c>
      <c r="V81" s="535">
        <v>10600000</v>
      </c>
      <c r="W81" s="3293"/>
      <c r="X81" s="3268"/>
      <c r="Y81" s="3268"/>
      <c r="Z81" s="3268"/>
      <c r="AA81" s="3302"/>
      <c r="AB81" s="3302"/>
      <c r="AC81" s="3308"/>
      <c r="AD81" s="3302"/>
      <c r="AE81" s="3302"/>
      <c r="AF81" s="3302"/>
      <c r="AG81" s="3302"/>
      <c r="AH81" s="3302"/>
      <c r="AI81" s="3302"/>
      <c r="AJ81" s="3308"/>
      <c r="AK81" s="3302"/>
      <c r="AL81" s="3302"/>
      <c r="AM81" s="3308"/>
      <c r="AN81" s="3302"/>
      <c r="AO81" s="3286"/>
      <c r="AP81" s="3286"/>
      <c r="AQ81" s="3289"/>
    </row>
    <row r="82" spans="1:331" s="1539" customFormat="1" ht="45" x14ac:dyDescent="0.2">
      <c r="A82" s="1532"/>
      <c r="B82" s="1533"/>
      <c r="C82" s="1534"/>
      <c r="D82" s="1533"/>
      <c r="E82" s="1533"/>
      <c r="F82" s="1534"/>
      <c r="G82" s="1540"/>
      <c r="H82" s="1533"/>
      <c r="I82" s="1534"/>
      <c r="J82" s="3305"/>
      <c r="K82" s="3311"/>
      <c r="L82" s="3305"/>
      <c r="M82" s="3305"/>
      <c r="N82" s="3268"/>
      <c r="O82" s="3268"/>
      <c r="P82" s="3271"/>
      <c r="Q82" s="2447"/>
      <c r="R82" s="2825"/>
      <c r="S82" s="3271"/>
      <c r="T82" s="3311"/>
      <c r="U82" s="1567" t="s">
        <v>1909</v>
      </c>
      <c r="V82" s="535">
        <v>10600000</v>
      </c>
      <c r="W82" s="3293"/>
      <c r="X82" s="3268"/>
      <c r="Y82" s="3268"/>
      <c r="Z82" s="3268"/>
      <c r="AA82" s="3302"/>
      <c r="AB82" s="3302"/>
      <c r="AC82" s="3308"/>
      <c r="AD82" s="3302"/>
      <c r="AE82" s="3302"/>
      <c r="AF82" s="3302"/>
      <c r="AG82" s="3302"/>
      <c r="AH82" s="3302"/>
      <c r="AI82" s="3302"/>
      <c r="AJ82" s="3308"/>
      <c r="AK82" s="3302"/>
      <c r="AL82" s="3302"/>
      <c r="AM82" s="3308"/>
      <c r="AN82" s="3302"/>
      <c r="AO82" s="3286"/>
      <c r="AP82" s="3286"/>
      <c r="AQ82" s="3289"/>
    </row>
    <row r="83" spans="1:331" s="1539" customFormat="1" ht="90" x14ac:dyDescent="0.2">
      <c r="A83" s="1532"/>
      <c r="B83" s="1533"/>
      <c r="C83" s="1534"/>
      <c r="D83" s="1533"/>
      <c r="E83" s="1533"/>
      <c r="F83" s="1534"/>
      <c r="G83" s="1540"/>
      <c r="H83" s="1533"/>
      <c r="I83" s="1534"/>
      <c r="J83" s="3305"/>
      <c r="K83" s="3311"/>
      <c r="L83" s="3305"/>
      <c r="M83" s="3305"/>
      <c r="N83" s="3268"/>
      <c r="O83" s="3268"/>
      <c r="P83" s="3271"/>
      <c r="Q83" s="2447"/>
      <c r="R83" s="2825"/>
      <c r="S83" s="3271"/>
      <c r="T83" s="3311"/>
      <c r="U83" s="1567" t="s">
        <v>1910</v>
      </c>
      <c r="V83" s="535">
        <v>10600000</v>
      </c>
      <c r="W83" s="3293"/>
      <c r="X83" s="3268"/>
      <c r="Y83" s="3268"/>
      <c r="Z83" s="3268"/>
      <c r="AA83" s="3302"/>
      <c r="AB83" s="3302"/>
      <c r="AC83" s="3308"/>
      <c r="AD83" s="3302"/>
      <c r="AE83" s="3302"/>
      <c r="AF83" s="3302"/>
      <c r="AG83" s="3302"/>
      <c r="AH83" s="3302"/>
      <c r="AI83" s="3302"/>
      <c r="AJ83" s="3308"/>
      <c r="AK83" s="3302"/>
      <c r="AL83" s="3302"/>
      <c r="AM83" s="3308"/>
      <c r="AN83" s="3302"/>
      <c r="AO83" s="3286"/>
      <c r="AP83" s="3286"/>
      <c r="AQ83" s="3289"/>
    </row>
    <row r="84" spans="1:331" s="1569" customFormat="1" ht="120" x14ac:dyDescent="0.2">
      <c r="A84" s="1532"/>
      <c r="B84" s="1533"/>
      <c r="C84" s="1534"/>
      <c r="D84" s="1533"/>
      <c r="E84" s="1533"/>
      <c r="F84" s="1534"/>
      <c r="G84" s="1544"/>
      <c r="H84" s="1542"/>
      <c r="I84" s="1543"/>
      <c r="J84" s="3306"/>
      <c r="K84" s="3312"/>
      <c r="L84" s="3306"/>
      <c r="M84" s="3306"/>
      <c r="N84" s="3268"/>
      <c r="O84" s="3269"/>
      <c r="P84" s="3272"/>
      <c r="Q84" s="2446"/>
      <c r="R84" s="2826"/>
      <c r="S84" s="3272"/>
      <c r="T84" s="3312"/>
      <c r="U84" s="1567" t="s">
        <v>1911</v>
      </c>
      <c r="V84" s="535">
        <v>10600000</v>
      </c>
      <c r="W84" s="3294"/>
      <c r="X84" s="3269"/>
      <c r="Y84" s="3269"/>
      <c r="Z84" s="3269"/>
      <c r="AA84" s="3303"/>
      <c r="AB84" s="3303"/>
      <c r="AC84" s="3309"/>
      <c r="AD84" s="3303"/>
      <c r="AE84" s="3303"/>
      <c r="AF84" s="3303"/>
      <c r="AG84" s="3303"/>
      <c r="AH84" s="3303"/>
      <c r="AI84" s="3303"/>
      <c r="AJ84" s="3309"/>
      <c r="AK84" s="3303"/>
      <c r="AL84" s="3303"/>
      <c r="AM84" s="3309"/>
      <c r="AN84" s="3303"/>
      <c r="AO84" s="3287"/>
      <c r="AP84" s="3287"/>
      <c r="AQ84" s="3290"/>
      <c r="AR84" s="1568"/>
      <c r="AS84" s="1568"/>
      <c r="AT84" s="1568"/>
      <c r="AU84" s="1568"/>
      <c r="AV84" s="1568"/>
      <c r="AW84" s="1568"/>
      <c r="AX84" s="1568"/>
      <c r="AY84" s="1568"/>
      <c r="AZ84" s="1568"/>
      <c r="BA84" s="1568"/>
      <c r="BB84" s="1568"/>
      <c r="BC84" s="1568"/>
      <c r="BD84" s="1568"/>
      <c r="BE84" s="1568"/>
      <c r="BF84" s="1568"/>
      <c r="BG84" s="1568"/>
      <c r="BH84" s="1568"/>
      <c r="BI84" s="1568"/>
      <c r="BJ84" s="1568"/>
      <c r="BK84" s="1568"/>
      <c r="BL84" s="1568"/>
      <c r="BM84" s="1568"/>
      <c r="BN84" s="1568"/>
      <c r="BO84" s="1568"/>
      <c r="BP84" s="1568"/>
      <c r="BQ84" s="1568"/>
      <c r="BR84" s="1568"/>
      <c r="BS84" s="1568"/>
      <c r="BT84" s="1568"/>
      <c r="BU84" s="1568"/>
      <c r="BV84" s="1568"/>
      <c r="BW84" s="1568"/>
      <c r="BX84" s="1568"/>
      <c r="BY84" s="1568"/>
      <c r="BZ84" s="1568"/>
      <c r="CA84" s="1568"/>
      <c r="CB84" s="1568"/>
      <c r="CC84" s="1568"/>
      <c r="CD84" s="1568"/>
      <c r="CE84" s="1568"/>
      <c r="CF84" s="1568"/>
      <c r="CG84" s="1568"/>
      <c r="CH84" s="1568"/>
      <c r="CI84" s="1568"/>
      <c r="CJ84" s="1568"/>
      <c r="CK84" s="1568"/>
      <c r="CL84" s="1568"/>
      <c r="CM84" s="1568"/>
      <c r="CN84" s="1568"/>
      <c r="CO84" s="1568"/>
      <c r="CP84" s="1568"/>
      <c r="CQ84" s="1568"/>
      <c r="CR84" s="1568"/>
      <c r="CS84" s="1568"/>
      <c r="CT84" s="1568"/>
      <c r="CU84" s="1568"/>
      <c r="CV84" s="1568"/>
      <c r="CW84" s="1568"/>
      <c r="CX84" s="1568"/>
      <c r="CY84" s="1568"/>
      <c r="CZ84" s="1568"/>
      <c r="DA84" s="1568"/>
      <c r="DB84" s="1568"/>
      <c r="DC84" s="1568"/>
      <c r="DD84" s="1568"/>
      <c r="DE84" s="1568"/>
      <c r="DF84" s="1568"/>
      <c r="DG84" s="1568"/>
      <c r="DH84" s="1568"/>
      <c r="DI84" s="1568"/>
      <c r="DJ84" s="1568"/>
      <c r="DK84" s="1568"/>
      <c r="DL84" s="1568"/>
      <c r="DM84" s="1568"/>
      <c r="DN84" s="1568"/>
      <c r="DO84" s="1568"/>
      <c r="DP84" s="1568"/>
      <c r="DQ84" s="1568"/>
      <c r="DR84" s="1568"/>
      <c r="DS84" s="1568"/>
      <c r="DT84" s="1568"/>
      <c r="DU84" s="1568"/>
      <c r="DV84" s="1568"/>
      <c r="DW84" s="1568"/>
      <c r="DX84" s="1568"/>
      <c r="DY84" s="1568"/>
      <c r="DZ84" s="1568"/>
      <c r="EA84" s="1568"/>
      <c r="EB84" s="1568"/>
      <c r="EC84" s="1568"/>
      <c r="ED84" s="1568"/>
      <c r="EE84" s="1568"/>
      <c r="EF84" s="1568"/>
      <c r="EG84" s="1568"/>
      <c r="EH84" s="1568"/>
      <c r="EI84" s="1568"/>
      <c r="EJ84" s="1568"/>
      <c r="EK84" s="1568"/>
      <c r="EL84" s="1568"/>
      <c r="EM84" s="1568"/>
      <c r="EN84" s="1568"/>
      <c r="EO84" s="1568"/>
      <c r="EP84" s="1568"/>
      <c r="EQ84" s="1568"/>
      <c r="ER84" s="1568"/>
      <c r="ES84" s="1568"/>
      <c r="ET84" s="1568"/>
      <c r="EU84" s="1568"/>
      <c r="EV84" s="1568"/>
      <c r="EW84" s="1568"/>
      <c r="EX84" s="1568"/>
      <c r="EY84" s="1568"/>
      <c r="EZ84" s="1568"/>
      <c r="FA84" s="1568"/>
      <c r="FB84" s="1568"/>
      <c r="FC84" s="1568"/>
      <c r="FD84" s="1568"/>
      <c r="FE84" s="1568"/>
      <c r="FF84" s="1568"/>
      <c r="FG84" s="1568"/>
      <c r="FH84" s="1568"/>
      <c r="FI84" s="1568"/>
      <c r="FJ84" s="1568"/>
      <c r="FK84" s="1568"/>
      <c r="FL84" s="1568"/>
      <c r="FM84" s="1568"/>
      <c r="FN84" s="1568"/>
      <c r="FO84" s="1568"/>
      <c r="FP84" s="1568"/>
      <c r="FQ84" s="1568"/>
      <c r="FR84" s="1568"/>
      <c r="FS84" s="1568"/>
      <c r="FT84" s="1568"/>
      <c r="FU84" s="1568"/>
      <c r="FV84" s="1568"/>
      <c r="FW84" s="1568"/>
      <c r="FX84" s="1568"/>
      <c r="FY84" s="1568"/>
      <c r="FZ84" s="1568"/>
      <c r="GA84" s="1568"/>
      <c r="GB84" s="1568"/>
      <c r="GC84" s="1568"/>
      <c r="GD84" s="1568"/>
      <c r="GE84" s="1568"/>
      <c r="GF84" s="1568"/>
      <c r="GG84" s="1568"/>
      <c r="GH84" s="1568"/>
      <c r="GI84" s="1568"/>
      <c r="GJ84" s="1568"/>
      <c r="GK84" s="1568"/>
      <c r="GL84" s="1568"/>
      <c r="GM84" s="1568"/>
      <c r="GN84" s="1568"/>
      <c r="GO84" s="1568"/>
      <c r="GP84" s="1568"/>
      <c r="GQ84" s="1568"/>
      <c r="GR84" s="1568"/>
      <c r="GS84" s="1568"/>
      <c r="GT84" s="1568"/>
      <c r="GU84" s="1568"/>
      <c r="GV84" s="1568"/>
      <c r="GW84" s="1568"/>
      <c r="GX84" s="1568"/>
      <c r="GY84" s="1568"/>
      <c r="GZ84" s="1568"/>
      <c r="HA84" s="1568"/>
      <c r="HB84" s="1568"/>
      <c r="HC84" s="1568"/>
      <c r="HD84" s="1568"/>
      <c r="HE84" s="1568"/>
      <c r="HF84" s="1568"/>
      <c r="HG84" s="1568"/>
      <c r="HH84" s="1568"/>
      <c r="HI84" s="1568"/>
      <c r="HJ84" s="1568"/>
      <c r="HK84" s="1568"/>
      <c r="HL84" s="1568"/>
      <c r="HM84" s="1568"/>
      <c r="HN84" s="1568"/>
      <c r="HO84" s="1568"/>
      <c r="HP84" s="1568"/>
      <c r="HQ84" s="1568"/>
      <c r="HR84" s="1568"/>
      <c r="HS84" s="1568"/>
      <c r="HT84" s="1568"/>
      <c r="HU84" s="1568"/>
      <c r="HV84" s="1568"/>
      <c r="HW84" s="1568"/>
      <c r="HX84" s="1568"/>
      <c r="HY84" s="1568"/>
      <c r="HZ84" s="1568"/>
      <c r="IA84" s="1568"/>
      <c r="IB84" s="1568"/>
      <c r="IC84" s="1568"/>
      <c r="ID84" s="1568"/>
      <c r="IE84" s="1568"/>
      <c r="IF84" s="1568"/>
      <c r="IG84" s="1568"/>
      <c r="IH84" s="1568"/>
      <c r="II84" s="1568"/>
      <c r="IJ84" s="1568"/>
      <c r="IK84" s="1568"/>
      <c r="IL84" s="1568"/>
      <c r="IM84" s="1568"/>
      <c r="IN84" s="1568"/>
      <c r="IO84" s="1568"/>
      <c r="IP84" s="1568"/>
      <c r="IQ84" s="1568"/>
      <c r="IR84" s="1568"/>
      <c r="IS84" s="1568"/>
      <c r="IT84" s="1568"/>
      <c r="IU84" s="1568"/>
      <c r="IV84" s="1568"/>
      <c r="IW84" s="1568"/>
      <c r="IX84" s="1568"/>
      <c r="IY84" s="1568"/>
      <c r="IZ84" s="1568"/>
      <c r="JA84" s="1568"/>
      <c r="JB84" s="1568"/>
      <c r="JC84" s="1568"/>
      <c r="JD84" s="1568"/>
      <c r="JE84" s="1568"/>
      <c r="JF84" s="1568"/>
      <c r="JG84" s="1568"/>
      <c r="JH84" s="1568"/>
      <c r="JI84" s="1568"/>
      <c r="JJ84" s="1568"/>
      <c r="JK84" s="1568"/>
      <c r="JL84" s="1568"/>
      <c r="JM84" s="1568"/>
      <c r="JN84" s="1568"/>
      <c r="JO84" s="1568"/>
      <c r="JP84" s="1568"/>
      <c r="JQ84" s="1568"/>
      <c r="JR84" s="1568"/>
      <c r="JS84" s="1568"/>
      <c r="JT84" s="1568"/>
      <c r="JU84" s="1568"/>
      <c r="JV84" s="1568"/>
      <c r="JW84" s="1568"/>
      <c r="JX84" s="1568"/>
      <c r="JY84" s="1568"/>
      <c r="JZ84" s="1568"/>
      <c r="KA84" s="1568"/>
      <c r="KB84" s="1568"/>
      <c r="KC84" s="1568"/>
      <c r="KD84" s="1568"/>
      <c r="KE84" s="1568"/>
      <c r="KF84" s="1568"/>
      <c r="KG84" s="1568"/>
      <c r="KH84" s="1568"/>
      <c r="KI84" s="1568"/>
      <c r="KJ84" s="1568"/>
      <c r="KK84" s="1568"/>
      <c r="KL84" s="1568"/>
      <c r="KM84" s="1568"/>
      <c r="KN84" s="1568"/>
      <c r="KO84" s="1568"/>
      <c r="KP84" s="1568"/>
      <c r="KQ84" s="1568"/>
      <c r="KR84" s="1568"/>
      <c r="KS84" s="1568"/>
      <c r="KT84" s="1568"/>
      <c r="KU84" s="1568"/>
      <c r="KV84" s="1568"/>
      <c r="KW84" s="1568"/>
      <c r="KX84" s="1568"/>
      <c r="KY84" s="1568"/>
      <c r="KZ84" s="1568"/>
      <c r="LA84" s="1568"/>
      <c r="LB84" s="1568"/>
      <c r="LC84" s="1568"/>
      <c r="LD84" s="1568"/>
      <c r="LE84" s="1568"/>
      <c r="LF84" s="1568"/>
      <c r="LG84" s="1568"/>
      <c r="LH84" s="1568"/>
      <c r="LI84" s="1568"/>
      <c r="LJ84" s="1568"/>
      <c r="LK84" s="1568"/>
      <c r="LL84" s="1568"/>
      <c r="LM84" s="1568"/>
      <c r="LN84" s="1568"/>
      <c r="LO84" s="1568"/>
      <c r="LP84" s="1568"/>
      <c r="LQ84" s="1568"/>
      <c r="LR84" s="1568"/>
      <c r="LS84" s="1568"/>
    </row>
    <row r="85" spans="1:331" ht="36" customHeight="1" x14ac:dyDescent="0.2">
      <c r="A85" s="1518"/>
      <c r="B85" s="1519"/>
      <c r="C85" s="1520"/>
      <c r="D85" s="1519"/>
      <c r="E85" s="1519"/>
      <c r="F85" s="1520"/>
      <c r="G85" s="1551">
        <v>39</v>
      </c>
      <c r="H85" s="1524" t="s">
        <v>1912</v>
      </c>
      <c r="I85" s="1524"/>
      <c r="J85" s="1524"/>
      <c r="K85" s="1525"/>
      <c r="L85" s="1524"/>
      <c r="M85" s="1524"/>
      <c r="N85" s="1526"/>
      <c r="O85" s="1524"/>
      <c r="P85" s="1525"/>
      <c r="Q85" s="1524"/>
      <c r="R85" s="1552"/>
      <c r="S85" s="1524"/>
      <c r="T85" s="1525"/>
      <c r="U85" s="1525"/>
      <c r="V85" s="1553"/>
      <c r="W85" s="1554"/>
      <c r="X85" s="1526"/>
      <c r="Y85" s="1526"/>
      <c r="Z85" s="1526"/>
      <c r="AA85" s="1526"/>
      <c r="AB85" s="1526"/>
      <c r="AC85" s="1526"/>
      <c r="AD85" s="1526"/>
      <c r="AE85" s="1526"/>
      <c r="AF85" s="1526"/>
      <c r="AG85" s="1526"/>
      <c r="AH85" s="1526"/>
      <c r="AI85" s="1526"/>
      <c r="AJ85" s="1526"/>
      <c r="AK85" s="1526"/>
      <c r="AL85" s="1526"/>
      <c r="AM85" s="1526"/>
      <c r="AN85" s="1526"/>
      <c r="AO85" s="1526"/>
      <c r="AP85" s="1524"/>
      <c r="AQ85" s="1531"/>
    </row>
    <row r="86" spans="1:331" s="1568" customFormat="1" ht="90.75" customHeight="1" x14ac:dyDescent="0.2">
      <c r="A86" s="1570"/>
      <c r="B86" s="1571"/>
      <c r="C86" s="1572"/>
      <c r="D86" s="1571"/>
      <c r="E86" s="1571"/>
      <c r="F86" s="1572"/>
      <c r="G86" s="1573"/>
      <c r="H86" s="1574"/>
      <c r="I86" s="1575"/>
      <c r="J86" s="3304">
        <v>139</v>
      </c>
      <c r="K86" s="3310" t="s">
        <v>1913</v>
      </c>
      <c r="L86" s="3304" t="s">
        <v>1804</v>
      </c>
      <c r="M86" s="3304">
        <v>1</v>
      </c>
      <c r="N86" s="3304" t="s">
        <v>1914</v>
      </c>
      <c r="O86" s="3304">
        <v>138</v>
      </c>
      <c r="P86" s="3310" t="s">
        <v>1915</v>
      </c>
      <c r="Q86" s="2445">
        <f>(V86+V89+V90+V87+V88)/R86</f>
        <v>0.67878787878787883</v>
      </c>
      <c r="R86" s="2404">
        <f>SUM(V86:V98)</f>
        <v>165000000</v>
      </c>
      <c r="S86" s="3310" t="s">
        <v>1916</v>
      </c>
      <c r="T86" s="3310" t="s">
        <v>1917</v>
      </c>
      <c r="U86" s="1555" t="s">
        <v>1918</v>
      </c>
      <c r="V86" s="535">
        <v>25000000</v>
      </c>
      <c r="W86" s="3316">
        <v>61</v>
      </c>
      <c r="X86" s="3304" t="s">
        <v>1810</v>
      </c>
      <c r="Y86" s="3304">
        <v>292684</v>
      </c>
      <c r="Z86" s="3304">
        <v>282326</v>
      </c>
      <c r="AA86" s="3279">
        <v>135912</v>
      </c>
      <c r="AB86" s="3279">
        <v>45122</v>
      </c>
      <c r="AC86" s="3313">
        <f>SUM(AC66)</f>
        <v>307101</v>
      </c>
      <c r="AD86" s="3279">
        <f>SUM(AD66)</f>
        <v>86875</v>
      </c>
      <c r="AE86" s="3279">
        <f>SUM(AE66)</f>
        <v>2145</v>
      </c>
      <c r="AF86" s="3279">
        <v>12718</v>
      </c>
      <c r="AG86" s="3279">
        <v>26</v>
      </c>
      <c r="AH86" s="3279">
        <v>37</v>
      </c>
      <c r="AI86" s="3279" t="s">
        <v>1811</v>
      </c>
      <c r="AJ86" s="3313" t="s">
        <v>1811</v>
      </c>
      <c r="AK86" s="3279">
        <v>53164</v>
      </c>
      <c r="AL86" s="3279">
        <v>16982</v>
      </c>
      <c r="AM86" s="3313">
        <v>60013</v>
      </c>
      <c r="AN86" s="3279">
        <v>575010</v>
      </c>
      <c r="AO86" s="3319">
        <v>43101</v>
      </c>
      <c r="AP86" s="3319">
        <v>43465</v>
      </c>
      <c r="AQ86" s="3322" t="s">
        <v>1812</v>
      </c>
    </row>
    <row r="87" spans="1:331" s="1568" customFormat="1" ht="75" x14ac:dyDescent="0.2">
      <c r="A87" s="1570"/>
      <c r="B87" s="1571"/>
      <c r="C87" s="1572"/>
      <c r="D87" s="1571"/>
      <c r="E87" s="1571"/>
      <c r="F87" s="1572"/>
      <c r="G87" s="1576"/>
      <c r="H87" s="1571"/>
      <c r="I87" s="1572"/>
      <c r="J87" s="3305"/>
      <c r="K87" s="3311"/>
      <c r="L87" s="3305"/>
      <c r="M87" s="3305"/>
      <c r="N87" s="3305"/>
      <c r="O87" s="3305"/>
      <c r="P87" s="3311"/>
      <c r="Q87" s="2447"/>
      <c r="R87" s="2405"/>
      <c r="S87" s="3311"/>
      <c r="T87" s="3311"/>
      <c r="U87" s="1555" t="s">
        <v>1919</v>
      </c>
      <c r="V87" s="535">
        <v>25000000</v>
      </c>
      <c r="W87" s="3317"/>
      <c r="X87" s="3305"/>
      <c r="Y87" s="3305"/>
      <c r="Z87" s="3305"/>
      <c r="AA87" s="3280"/>
      <c r="AB87" s="3280"/>
      <c r="AC87" s="3314"/>
      <c r="AD87" s="3280"/>
      <c r="AE87" s="3280"/>
      <c r="AF87" s="3280"/>
      <c r="AG87" s="3280"/>
      <c r="AH87" s="3280"/>
      <c r="AI87" s="3280"/>
      <c r="AJ87" s="3314"/>
      <c r="AK87" s="3280"/>
      <c r="AL87" s="3280"/>
      <c r="AM87" s="3314"/>
      <c r="AN87" s="3280"/>
      <c r="AO87" s="3320"/>
      <c r="AP87" s="3320"/>
      <c r="AQ87" s="3323"/>
    </row>
    <row r="88" spans="1:331" s="1568" customFormat="1" ht="60" x14ac:dyDescent="0.2">
      <c r="A88" s="1570"/>
      <c r="B88" s="1571"/>
      <c r="C88" s="1572"/>
      <c r="D88" s="1571"/>
      <c r="E88" s="1571"/>
      <c r="F88" s="1572"/>
      <c r="G88" s="1576"/>
      <c r="H88" s="1571"/>
      <c r="I88" s="1572"/>
      <c r="J88" s="3305"/>
      <c r="K88" s="3311"/>
      <c r="L88" s="3305"/>
      <c r="M88" s="3305"/>
      <c r="N88" s="3305"/>
      <c r="O88" s="3305"/>
      <c r="P88" s="3311"/>
      <c r="Q88" s="2447"/>
      <c r="R88" s="2405"/>
      <c r="S88" s="3311"/>
      <c r="T88" s="3311"/>
      <c r="U88" s="1555" t="s">
        <v>1920</v>
      </c>
      <c r="V88" s="535">
        <v>25000000</v>
      </c>
      <c r="W88" s="3317"/>
      <c r="X88" s="3305"/>
      <c r="Y88" s="3305"/>
      <c r="Z88" s="3305"/>
      <c r="AA88" s="3280"/>
      <c r="AB88" s="3280"/>
      <c r="AC88" s="3314"/>
      <c r="AD88" s="3280"/>
      <c r="AE88" s="3280"/>
      <c r="AF88" s="3280"/>
      <c r="AG88" s="3280"/>
      <c r="AH88" s="3280"/>
      <c r="AI88" s="3280"/>
      <c r="AJ88" s="3314"/>
      <c r="AK88" s="3280"/>
      <c r="AL88" s="3280"/>
      <c r="AM88" s="3314"/>
      <c r="AN88" s="3280"/>
      <c r="AO88" s="3320"/>
      <c r="AP88" s="3320"/>
      <c r="AQ88" s="3323"/>
    </row>
    <row r="89" spans="1:331" s="1568" customFormat="1" ht="90" x14ac:dyDescent="0.2">
      <c r="A89" s="1570"/>
      <c r="B89" s="1571"/>
      <c r="C89" s="1572"/>
      <c r="D89" s="1571"/>
      <c r="E89" s="1571"/>
      <c r="F89" s="1572"/>
      <c r="G89" s="1576"/>
      <c r="H89" s="1571"/>
      <c r="I89" s="1572"/>
      <c r="J89" s="3305"/>
      <c r="K89" s="3311"/>
      <c r="L89" s="3305"/>
      <c r="M89" s="3305"/>
      <c r="N89" s="3305"/>
      <c r="O89" s="3305"/>
      <c r="P89" s="3311"/>
      <c r="Q89" s="2447"/>
      <c r="R89" s="2405"/>
      <c r="S89" s="3311"/>
      <c r="T89" s="3311"/>
      <c r="U89" s="1555" t="s">
        <v>1921</v>
      </c>
      <c r="V89" s="535">
        <v>25000000</v>
      </c>
      <c r="W89" s="3317"/>
      <c r="X89" s="3305"/>
      <c r="Y89" s="3305"/>
      <c r="Z89" s="3305"/>
      <c r="AA89" s="3280"/>
      <c r="AB89" s="3280"/>
      <c r="AC89" s="3314"/>
      <c r="AD89" s="3280"/>
      <c r="AE89" s="3280"/>
      <c r="AF89" s="3280"/>
      <c r="AG89" s="3280"/>
      <c r="AH89" s="3280"/>
      <c r="AI89" s="3280"/>
      <c r="AJ89" s="3314"/>
      <c r="AK89" s="3280"/>
      <c r="AL89" s="3280"/>
      <c r="AM89" s="3314"/>
      <c r="AN89" s="3280"/>
      <c r="AO89" s="3320"/>
      <c r="AP89" s="3320"/>
      <c r="AQ89" s="3323"/>
    </row>
    <row r="90" spans="1:331" s="1568" customFormat="1" ht="60" x14ac:dyDescent="0.2">
      <c r="A90" s="1570"/>
      <c r="B90" s="1571"/>
      <c r="C90" s="1572"/>
      <c r="D90" s="1571"/>
      <c r="E90" s="1571"/>
      <c r="F90" s="1572"/>
      <c r="G90" s="1576"/>
      <c r="H90" s="1571"/>
      <c r="I90" s="1572"/>
      <c r="J90" s="3306"/>
      <c r="K90" s="3312"/>
      <c r="L90" s="3306"/>
      <c r="M90" s="3306"/>
      <c r="N90" s="3305"/>
      <c r="O90" s="3305"/>
      <c r="P90" s="3311"/>
      <c r="Q90" s="2446"/>
      <c r="R90" s="2405"/>
      <c r="S90" s="3311"/>
      <c r="T90" s="3312"/>
      <c r="U90" s="1555" t="s">
        <v>1922</v>
      </c>
      <c r="V90" s="535">
        <v>12000000</v>
      </c>
      <c r="W90" s="3317"/>
      <c r="X90" s="3305"/>
      <c r="Y90" s="3305"/>
      <c r="Z90" s="3305"/>
      <c r="AA90" s="3280"/>
      <c r="AB90" s="3280"/>
      <c r="AC90" s="3314"/>
      <c r="AD90" s="3280"/>
      <c r="AE90" s="3280"/>
      <c r="AF90" s="3280"/>
      <c r="AG90" s="3280"/>
      <c r="AH90" s="3280"/>
      <c r="AI90" s="3280"/>
      <c r="AJ90" s="3314"/>
      <c r="AK90" s="3280"/>
      <c r="AL90" s="3280"/>
      <c r="AM90" s="3314"/>
      <c r="AN90" s="3280"/>
      <c r="AO90" s="3320"/>
      <c r="AP90" s="3320"/>
      <c r="AQ90" s="3323"/>
    </row>
    <row r="91" spans="1:331" s="1568" customFormat="1" ht="75" x14ac:dyDescent="0.2">
      <c r="A91" s="1570"/>
      <c r="B91" s="1571"/>
      <c r="C91" s="1572"/>
      <c r="D91" s="1571"/>
      <c r="E91" s="1571"/>
      <c r="F91" s="1572"/>
      <c r="G91" s="1576"/>
      <c r="H91" s="1571"/>
      <c r="I91" s="1572"/>
      <c r="J91" s="3304">
        <v>140</v>
      </c>
      <c r="K91" s="3310" t="s">
        <v>1923</v>
      </c>
      <c r="L91" s="3304" t="s">
        <v>1804</v>
      </c>
      <c r="M91" s="3304">
        <v>1</v>
      </c>
      <c r="N91" s="3305"/>
      <c r="O91" s="3305"/>
      <c r="P91" s="3311"/>
      <c r="Q91" s="2445">
        <f>(V91+V94+V95+V92+V93)/R86</f>
        <v>0.16060606060606061</v>
      </c>
      <c r="R91" s="2405"/>
      <c r="S91" s="3311"/>
      <c r="T91" s="3310" t="s">
        <v>1924</v>
      </c>
      <c r="U91" s="1555" t="s">
        <v>1925</v>
      </c>
      <c r="V91" s="535">
        <v>7500000</v>
      </c>
      <c r="W91" s="3317"/>
      <c r="X91" s="3305"/>
      <c r="Y91" s="3305"/>
      <c r="Z91" s="3305"/>
      <c r="AA91" s="3280"/>
      <c r="AB91" s="3280"/>
      <c r="AC91" s="3314"/>
      <c r="AD91" s="3280"/>
      <c r="AE91" s="3280"/>
      <c r="AF91" s="3280"/>
      <c r="AG91" s="3280"/>
      <c r="AH91" s="3280"/>
      <c r="AI91" s="3280"/>
      <c r="AJ91" s="3314"/>
      <c r="AK91" s="3280"/>
      <c r="AL91" s="3280"/>
      <c r="AM91" s="3314"/>
      <c r="AN91" s="3280"/>
      <c r="AO91" s="3320"/>
      <c r="AP91" s="3320"/>
      <c r="AQ91" s="3323"/>
    </row>
    <row r="92" spans="1:331" s="1568" customFormat="1" ht="105" x14ac:dyDescent="0.2">
      <c r="A92" s="1570"/>
      <c r="B92" s="1571"/>
      <c r="C92" s="1572"/>
      <c r="D92" s="1571"/>
      <c r="E92" s="1571"/>
      <c r="F92" s="1572"/>
      <c r="G92" s="1576"/>
      <c r="H92" s="1571"/>
      <c r="I92" s="1572"/>
      <c r="J92" s="3305"/>
      <c r="K92" s="3311"/>
      <c r="L92" s="3305"/>
      <c r="M92" s="3305"/>
      <c r="N92" s="3305"/>
      <c r="O92" s="3305"/>
      <c r="P92" s="3311"/>
      <c r="Q92" s="2447"/>
      <c r="R92" s="2405"/>
      <c r="S92" s="3311"/>
      <c r="T92" s="3311"/>
      <c r="U92" s="1555" t="s">
        <v>1926</v>
      </c>
      <c r="V92" s="535">
        <v>5000000</v>
      </c>
      <c r="W92" s="3317"/>
      <c r="X92" s="3305"/>
      <c r="Y92" s="3305"/>
      <c r="Z92" s="3305"/>
      <c r="AA92" s="3280"/>
      <c r="AB92" s="3280"/>
      <c r="AC92" s="3314"/>
      <c r="AD92" s="3280"/>
      <c r="AE92" s="3280"/>
      <c r="AF92" s="3280"/>
      <c r="AG92" s="3280"/>
      <c r="AH92" s="3280"/>
      <c r="AI92" s="3280"/>
      <c r="AJ92" s="3314"/>
      <c r="AK92" s="3280"/>
      <c r="AL92" s="3280"/>
      <c r="AM92" s="3314"/>
      <c r="AN92" s="3280"/>
      <c r="AO92" s="3320"/>
      <c r="AP92" s="3320"/>
      <c r="AQ92" s="3323"/>
    </row>
    <row r="93" spans="1:331" s="1568" customFormat="1" ht="45" x14ac:dyDescent="0.2">
      <c r="A93" s="1570"/>
      <c r="B93" s="1571"/>
      <c r="C93" s="1572"/>
      <c r="D93" s="1571"/>
      <c r="E93" s="1571"/>
      <c r="F93" s="1572"/>
      <c r="G93" s="1576"/>
      <c r="H93" s="1571"/>
      <c r="I93" s="1572"/>
      <c r="J93" s="3305"/>
      <c r="K93" s="3311"/>
      <c r="L93" s="3305"/>
      <c r="M93" s="3305"/>
      <c r="N93" s="3305"/>
      <c r="O93" s="3305"/>
      <c r="P93" s="3311"/>
      <c r="Q93" s="2447"/>
      <c r="R93" s="2405"/>
      <c r="S93" s="3311"/>
      <c r="T93" s="3311"/>
      <c r="U93" s="1555" t="s">
        <v>1927</v>
      </c>
      <c r="V93" s="535">
        <v>5000000</v>
      </c>
      <c r="W93" s="3317"/>
      <c r="X93" s="3305"/>
      <c r="Y93" s="3305"/>
      <c r="Z93" s="3305"/>
      <c r="AA93" s="3280"/>
      <c r="AB93" s="3280"/>
      <c r="AC93" s="3314"/>
      <c r="AD93" s="3280"/>
      <c r="AE93" s="3280"/>
      <c r="AF93" s="3280"/>
      <c r="AG93" s="3280"/>
      <c r="AH93" s="3280"/>
      <c r="AI93" s="3280"/>
      <c r="AJ93" s="3314"/>
      <c r="AK93" s="3280"/>
      <c r="AL93" s="3280"/>
      <c r="AM93" s="3314"/>
      <c r="AN93" s="3280"/>
      <c r="AO93" s="3320"/>
      <c r="AP93" s="3320"/>
      <c r="AQ93" s="3323"/>
    </row>
    <row r="94" spans="1:331" s="1568" customFormat="1" ht="90" x14ac:dyDescent="0.2">
      <c r="A94" s="1570"/>
      <c r="B94" s="1571"/>
      <c r="C94" s="1572"/>
      <c r="D94" s="1571"/>
      <c r="E94" s="1571"/>
      <c r="F94" s="1572"/>
      <c r="G94" s="1576"/>
      <c r="H94" s="1571"/>
      <c r="I94" s="1572"/>
      <c r="J94" s="3305"/>
      <c r="K94" s="3311"/>
      <c r="L94" s="3305"/>
      <c r="M94" s="3305"/>
      <c r="N94" s="3305"/>
      <c r="O94" s="3305"/>
      <c r="P94" s="3311"/>
      <c r="Q94" s="2447"/>
      <c r="R94" s="2405"/>
      <c r="S94" s="3311"/>
      <c r="T94" s="3311"/>
      <c r="U94" s="1555" t="s">
        <v>1928</v>
      </c>
      <c r="V94" s="535">
        <v>5000000</v>
      </c>
      <c r="W94" s="3317"/>
      <c r="X94" s="3305"/>
      <c r="Y94" s="3305"/>
      <c r="Z94" s="3305"/>
      <c r="AA94" s="3280"/>
      <c r="AB94" s="3280"/>
      <c r="AC94" s="3314"/>
      <c r="AD94" s="3280"/>
      <c r="AE94" s="3280"/>
      <c r="AF94" s="3280"/>
      <c r="AG94" s="3280"/>
      <c r="AH94" s="3280"/>
      <c r="AI94" s="3280"/>
      <c r="AJ94" s="3314"/>
      <c r="AK94" s="3280"/>
      <c r="AL94" s="3280"/>
      <c r="AM94" s="3314"/>
      <c r="AN94" s="3280"/>
      <c r="AO94" s="3320"/>
      <c r="AP94" s="3320"/>
      <c r="AQ94" s="3323"/>
    </row>
    <row r="95" spans="1:331" s="1568" customFormat="1" ht="60" x14ac:dyDescent="0.2">
      <c r="A95" s="1570"/>
      <c r="B95" s="1571"/>
      <c r="C95" s="1572"/>
      <c r="D95" s="1571"/>
      <c r="E95" s="1571"/>
      <c r="F95" s="1572"/>
      <c r="G95" s="1576"/>
      <c r="H95" s="1571"/>
      <c r="I95" s="1572"/>
      <c r="J95" s="3306"/>
      <c r="K95" s="3312"/>
      <c r="L95" s="3306"/>
      <c r="M95" s="3306"/>
      <c r="N95" s="3305"/>
      <c r="O95" s="3305"/>
      <c r="P95" s="3311"/>
      <c r="Q95" s="2446"/>
      <c r="R95" s="2405"/>
      <c r="S95" s="3311"/>
      <c r="T95" s="3312"/>
      <c r="U95" s="1555" t="s">
        <v>1929</v>
      </c>
      <c r="V95" s="535">
        <v>4000000</v>
      </c>
      <c r="W95" s="3317"/>
      <c r="X95" s="3305"/>
      <c r="Y95" s="3305"/>
      <c r="Z95" s="3305"/>
      <c r="AA95" s="3280"/>
      <c r="AB95" s="3280"/>
      <c r="AC95" s="3314"/>
      <c r="AD95" s="3280"/>
      <c r="AE95" s="3280"/>
      <c r="AF95" s="3280"/>
      <c r="AG95" s="3280"/>
      <c r="AH95" s="3280"/>
      <c r="AI95" s="3280"/>
      <c r="AJ95" s="3314"/>
      <c r="AK95" s="3280"/>
      <c r="AL95" s="3280"/>
      <c r="AM95" s="3314"/>
      <c r="AN95" s="3280"/>
      <c r="AO95" s="3320"/>
      <c r="AP95" s="3320"/>
      <c r="AQ95" s="3323"/>
    </row>
    <row r="96" spans="1:331" s="1568" customFormat="1" ht="75" x14ac:dyDescent="0.2">
      <c r="A96" s="1570"/>
      <c r="B96" s="1571"/>
      <c r="C96" s="1572"/>
      <c r="D96" s="1571"/>
      <c r="E96" s="1571"/>
      <c r="F96" s="1572"/>
      <c r="G96" s="1576"/>
      <c r="H96" s="1571"/>
      <c r="I96" s="1572"/>
      <c r="J96" s="3304">
        <v>141</v>
      </c>
      <c r="K96" s="3310" t="s">
        <v>1930</v>
      </c>
      <c r="L96" s="3304" t="s">
        <v>1804</v>
      </c>
      <c r="M96" s="3304">
        <v>1</v>
      </c>
      <c r="N96" s="3305"/>
      <c r="O96" s="3305"/>
      <c r="P96" s="3311"/>
      <c r="Q96" s="2445">
        <f>(V96+V98+V97)/R86</f>
        <v>0.16060606060606061</v>
      </c>
      <c r="R96" s="2405"/>
      <c r="S96" s="3311"/>
      <c r="T96" s="3310" t="s">
        <v>1931</v>
      </c>
      <c r="U96" s="1555" t="s">
        <v>1932</v>
      </c>
      <c r="V96" s="535">
        <v>10500000</v>
      </c>
      <c r="W96" s="3317"/>
      <c r="X96" s="3305"/>
      <c r="Y96" s="3305"/>
      <c r="Z96" s="3305"/>
      <c r="AA96" s="3280"/>
      <c r="AB96" s="3280"/>
      <c r="AC96" s="3314"/>
      <c r="AD96" s="3280"/>
      <c r="AE96" s="3280"/>
      <c r="AF96" s="3280"/>
      <c r="AG96" s="3280"/>
      <c r="AH96" s="3280"/>
      <c r="AI96" s="3280"/>
      <c r="AJ96" s="3314"/>
      <c r="AK96" s="3280"/>
      <c r="AL96" s="3280"/>
      <c r="AM96" s="3314"/>
      <c r="AN96" s="3280"/>
      <c r="AO96" s="3320"/>
      <c r="AP96" s="3320"/>
      <c r="AQ96" s="3323"/>
    </row>
    <row r="97" spans="1:43" s="1568" customFormat="1" ht="105" x14ac:dyDescent="0.2">
      <c r="A97" s="1570"/>
      <c r="B97" s="1571"/>
      <c r="C97" s="1572"/>
      <c r="D97" s="1571"/>
      <c r="E97" s="1571"/>
      <c r="F97" s="1572"/>
      <c r="G97" s="1576"/>
      <c r="H97" s="1571"/>
      <c r="I97" s="1572"/>
      <c r="J97" s="3305"/>
      <c r="K97" s="3311"/>
      <c r="L97" s="3305"/>
      <c r="M97" s="3305"/>
      <c r="N97" s="3305"/>
      <c r="O97" s="3305"/>
      <c r="P97" s="3311"/>
      <c r="Q97" s="2447"/>
      <c r="R97" s="2405"/>
      <c r="S97" s="3311"/>
      <c r="T97" s="3311"/>
      <c r="U97" s="1555" t="s">
        <v>1933</v>
      </c>
      <c r="V97" s="535">
        <v>8000000</v>
      </c>
      <c r="W97" s="3317"/>
      <c r="X97" s="3305"/>
      <c r="Y97" s="3305"/>
      <c r="Z97" s="3305"/>
      <c r="AA97" s="3280"/>
      <c r="AB97" s="3280"/>
      <c r="AC97" s="3314"/>
      <c r="AD97" s="3280"/>
      <c r="AE97" s="3280"/>
      <c r="AF97" s="3280"/>
      <c r="AG97" s="3280"/>
      <c r="AH97" s="3280"/>
      <c r="AI97" s="3280"/>
      <c r="AJ97" s="3314"/>
      <c r="AK97" s="3280"/>
      <c r="AL97" s="3280"/>
      <c r="AM97" s="3314"/>
      <c r="AN97" s="3280"/>
      <c r="AO97" s="3320"/>
      <c r="AP97" s="3320"/>
      <c r="AQ97" s="3323"/>
    </row>
    <row r="98" spans="1:43" s="1568" customFormat="1" ht="135" x14ac:dyDescent="0.2">
      <c r="A98" s="1570"/>
      <c r="B98" s="1571"/>
      <c r="C98" s="1572"/>
      <c r="D98" s="1571"/>
      <c r="E98" s="1571"/>
      <c r="F98" s="1572"/>
      <c r="G98" s="1577"/>
      <c r="H98" s="1578"/>
      <c r="I98" s="1579"/>
      <c r="J98" s="3306"/>
      <c r="K98" s="3312"/>
      <c r="L98" s="3306"/>
      <c r="M98" s="3306"/>
      <c r="N98" s="3306"/>
      <c r="O98" s="3306"/>
      <c r="P98" s="3312"/>
      <c r="Q98" s="2446"/>
      <c r="R98" s="2406"/>
      <c r="S98" s="3312"/>
      <c r="T98" s="3312"/>
      <c r="U98" s="1555" t="s">
        <v>1934</v>
      </c>
      <c r="V98" s="535">
        <v>8000000</v>
      </c>
      <c r="W98" s="3318"/>
      <c r="X98" s="3306"/>
      <c r="Y98" s="3306"/>
      <c r="Z98" s="3306"/>
      <c r="AA98" s="3281"/>
      <c r="AB98" s="3281"/>
      <c r="AC98" s="3315"/>
      <c r="AD98" s="3281"/>
      <c r="AE98" s="3281"/>
      <c r="AF98" s="3281"/>
      <c r="AG98" s="3281"/>
      <c r="AH98" s="3281"/>
      <c r="AI98" s="3281"/>
      <c r="AJ98" s="3315"/>
      <c r="AK98" s="3281"/>
      <c r="AL98" s="3281"/>
      <c r="AM98" s="3315"/>
      <c r="AN98" s="3281"/>
      <c r="AO98" s="3321"/>
      <c r="AP98" s="3321"/>
      <c r="AQ98" s="3324"/>
    </row>
    <row r="99" spans="1:43" ht="36" customHeight="1" x14ac:dyDescent="0.2">
      <c r="A99" s="1518"/>
      <c r="B99" s="1519"/>
      <c r="C99" s="1520"/>
      <c r="D99" s="1519"/>
      <c r="E99" s="1519"/>
      <c r="F99" s="1520"/>
      <c r="G99" s="1551">
        <v>40</v>
      </c>
      <c r="H99" s="1524" t="s">
        <v>1935</v>
      </c>
      <c r="I99" s="1524"/>
      <c r="J99" s="1524"/>
      <c r="K99" s="1525"/>
      <c r="L99" s="1524"/>
      <c r="M99" s="1524"/>
      <c r="N99" s="1526"/>
      <c r="O99" s="1524"/>
      <c r="P99" s="1525"/>
      <c r="Q99" s="1524"/>
      <c r="R99" s="1552"/>
      <c r="S99" s="1524"/>
      <c r="T99" s="1525"/>
      <c r="U99" s="1525"/>
      <c r="V99" s="1553"/>
      <c r="W99" s="1554"/>
      <c r="X99" s="1526"/>
      <c r="Y99" s="1526"/>
      <c r="Z99" s="1526"/>
      <c r="AA99" s="1526"/>
      <c r="AB99" s="1526"/>
      <c r="AC99" s="1526"/>
      <c r="AD99" s="1526"/>
      <c r="AE99" s="1526"/>
      <c r="AF99" s="1526"/>
      <c r="AG99" s="1526"/>
      <c r="AH99" s="1526"/>
      <c r="AI99" s="1526"/>
      <c r="AJ99" s="1526"/>
      <c r="AK99" s="1526"/>
      <c r="AL99" s="1526"/>
      <c r="AM99" s="1526"/>
      <c r="AN99" s="1526"/>
      <c r="AO99" s="1526"/>
      <c r="AP99" s="1524"/>
      <c r="AQ99" s="1531"/>
    </row>
    <row r="100" spans="1:43" ht="84" customHeight="1" x14ac:dyDescent="0.2">
      <c r="A100" s="1556"/>
      <c r="B100" s="1557"/>
      <c r="C100" s="1558"/>
      <c r="D100" s="1557"/>
      <c r="E100" s="1557"/>
      <c r="F100" s="1558"/>
      <c r="G100" s="1559"/>
      <c r="H100" s="1560"/>
      <c r="I100" s="1561"/>
      <c r="J100" s="3267">
        <v>142</v>
      </c>
      <c r="K100" s="3282" t="s">
        <v>1936</v>
      </c>
      <c r="L100" s="3267" t="s">
        <v>1804</v>
      </c>
      <c r="M100" s="3267">
        <v>12</v>
      </c>
      <c r="N100" s="3267" t="s">
        <v>1937</v>
      </c>
      <c r="O100" s="3267">
        <v>139</v>
      </c>
      <c r="P100" s="3270" t="s">
        <v>1938</v>
      </c>
      <c r="Q100" s="2494">
        <f>+(V100+V101+V102+V103)/R100</f>
        <v>0.75352112676056338</v>
      </c>
      <c r="R100" s="2824">
        <f>SUM(V100:V107)</f>
        <v>142000000</v>
      </c>
      <c r="S100" s="3270" t="s">
        <v>1939</v>
      </c>
      <c r="T100" s="3282" t="s">
        <v>1940</v>
      </c>
      <c r="U100" s="1580" t="s">
        <v>1941</v>
      </c>
      <c r="V100" s="368">
        <v>43500000</v>
      </c>
      <c r="W100" s="3292">
        <v>61</v>
      </c>
      <c r="X100" s="3267" t="s">
        <v>1810</v>
      </c>
      <c r="Y100" s="3279" t="s">
        <v>1811</v>
      </c>
      <c r="Z100" s="3279" t="s">
        <v>1811</v>
      </c>
      <c r="AA100" s="3301">
        <v>64149</v>
      </c>
      <c r="AB100" s="3279" t="s">
        <v>1811</v>
      </c>
      <c r="AC100" s="2877" t="s">
        <v>1811</v>
      </c>
      <c r="AD100" s="3279" t="s">
        <v>1811</v>
      </c>
      <c r="AE100" s="3279" t="s">
        <v>1811</v>
      </c>
      <c r="AF100" s="3279" t="s">
        <v>1811</v>
      </c>
      <c r="AG100" s="3279" t="s">
        <v>1811</v>
      </c>
      <c r="AH100" s="3279" t="s">
        <v>1811</v>
      </c>
      <c r="AI100" s="3279" t="s">
        <v>1811</v>
      </c>
      <c r="AJ100" s="2877" t="s">
        <v>1811</v>
      </c>
      <c r="AK100" s="3279" t="s">
        <v>1811</v>
      </c>
      <c r="AL100" s="3279" t="s">
        <v>1811</v>
      </c>
      <c r="AM100" s="2877" t="s">
        <v>1811</v>
      </c>
      <c r="AN100" s="3279" t="s">
        <v>1811</v>
      </c>
      <c r="AO100" s="3285">
        <v>43101</v>
      </c>
      <c r="AP100" s="3285">
        <v>43465</v>
      </c>
      <c r="AQ100" s="3288" t="s">
        <v>1812</v>
      </c>
    </row>
    <row r="101" spans="1:43" ht="75" x14ac:dyDescent="0.2">
      <c r="A101" s="1556"/>
      <c r="B101" s="1557"/>
      <c r="C101" s="1558"/>
      <c r="D101" s="1557"/>
      <c r="E101" s="1557"/>
      <c r="F101" s="1558"/>
      <c r="G101" s="1562"/>
      <c r="H101" s="1557"/>
      <c r="I101" s="1558"/>
      <c r="J101" s="3268"/>
      <c r="K101" s="3283"/>
      <c r="L101" s="3268"/>
      <c r="M101" s="3268"/>
      <c r="N101" s="3268"/>
      <c r="O101" s="3268"/>
      <c r="P101" s="3271"/>
      <c r="Q101" s="2494"/>
      <c r="R101" s="2825"/>
      <c r="S101" s="3271"/>
      <c r="T101" s="3283"/>
      <c r="U101" s="1580" t="s">
        <v>1942</v>
      </c>
      <c r="V101" s="365">
        <v>43500000</v>
      </c>
      <c r="W101" s="3293"/>
      <c r="X101" s="3268"/>
      <c r="Y101" s="3280"/>
      <c r="Z101" s="3280"/>
      <c r="AA101" s="3302"/>
      <c r="AB101" s="3280"/>
      <c r="AC101" s="2878"/>
      <c r="AD101" s="3280"/>
      <c r="AE101" s="3280"/>
      <c r="AF101" s="3280"/>
      <c r="AG101" s="3280"/>
      <c r="AH101" s="3280"/>
      <c r="AI101" s="3280"/>
      <c r="AJ101" s="2878"/>
      <c r="AK101" s="3280"/>
      <c r="AL101" s="3280"/>
      <c r="AM101" s="2878"/>
      <c r="AN101" s="3280"/>
      <c r="AO101" s="3286"/>
      <c r="AP101" s="3286"/>
      <c r="AQ101" s="3289"/>
    </row>
    <row r="102" spans="1:43" ht="75" x14ac:dyDescent="0.2">
      <c r="A102" s="1556"/>
      <c r="B102" s="1557"/>
      <c r="C102" s="1558"/>
      <c r="D102" s="1557"/>
      <c r="E102" s="1557"/>
      <c r="F102" s="1558"/>
      <c r="G102" s="1562"/>
      <c r="H102" s="1557"/>
      <c r="I102" s="1558"/>
      <c r="J102" s="3268"/>
      <c r="K102" s="3283"/>
      <c r="L102" s="3268"/>
      <c r="M102" s="3268"/>
      <c r="N102" s="3268"/>
      <c r="O102" s="3268"/>
      <c r="P102" s="3271"/>
      <c r="Q102" s="2494"/>
      <c r="R102" s="2825"/>
      <c r="S102" s="3271"/>
      <c r="T102" s="3283"/>
      <c r="U102" s="1580" t="s">
        <v>1943</v>
      </c>
      <c r="V102" s="365">
        <v>10000000</v>
      </c>
      <c r="W102" s="3293"/>
      <c r="X102" s="3268"/>
      <c r="Y102" s="3280"/>
      <c r="Z102" s="3280"/>
      <c r="AA102" s="3302"/>
      <c r="AB102" s="3280"/>
      <c r="AC102" s="2878"/>
      <c r="AD102" s="3280"/>
      <c r="AE102" s="3280"/>
      <c r="AF102" s="3280"/>
      <c r="AG102" s="3280"/>
      <c r="AH102" s="3280"/>
      <c r="AI102" s="3280"/>
      <c r="AJ102" s="2878"/>
      <c r="AK102" s="3280"/>
      <c r="AL102" s="3280"/>
      <c r="AM102" s="2878"/>
      <c r="AN102" s="3280"/>
      <c r="AO102" s="3286"/>
      <c r="AP102" s="3286"/>
      <c r="AQ102" s="3289"/>
    </row>
    <row r="103" spans="1:43" ht="75" x14ac:dyDescent="0.2">
      <c r="A103" s="1556"/>
      <c r="B103" s="1557"/>
      <c r="C103" s="1558"/>
      <c r="D103" s="1557"/>
      <c r="E103" s="1557"/>
      <c r="F103" s="1558"/>
      <c r="G103" s="1562"/>
      <c r="H103" s="1557"/>
      <c r="I103" s="1558"/>
      <c r="J103" s="3269"/>
      <c r="K103" s="3284"/>
      <c r="L103" s="3269"/>
      <c r="M103" s="3269"/>
      <c r="N103" s="3268"/>
      <c r="O103" s="3268"/>
      <c r="P103" s="3271"/>
      <c r="Q103" s="2494"/>
      <c r="R103" s="2825"/>
      <c r="S103" s="3271"/>
      <c r="T103" s="3284"/>
      <c r="U103" s="1580" t="s">
        <v>1944</v>
      </c>
      <c r="V103" s="365">
        <v>10000000</v>
      </c>
      <c r="W103" s="3293"/>
      <c r="X103" s="3268"/>
      <c r="Y103" s="3280"/>
      <c r="Z103" s="3280"/>
      <c r="AA103" s="3302"/>
      <c r="AB103" s="3280"/>
      <c r="AC103" s="2878"/>
      <c r="AD103" s="3280"/>
      <c r="AE103" s="3280"/>
      <c r="AF103" s="3280"/>
      <c r="AG103" s="3280"/>
      <c r="AH103" s="3280"/>
      <c r="AI103" s="3280"/>
      <c r="AJ103" s="2878"/>
      <c r="AK103" s="3280"/>
      <c r="AL103" s="3280"/>
      <c r="AM103" s="2878"/>
      <c r="AN103" s="3280"/>
      <c r="AO103" s="3286"/>
      <c r="AP103" s="3286"/>
      <c r="AQ103" s="3289"/>
    </row>
    <row r="104" spans="1:43" ht="60" x14ac:dyDescent="0.2">
      <c r="A104" s="1556"/>
      <c r="B104" s="1557"/>
      <c r="C104" s="1558"/>
      <c r="D104" s="1557"/>
      <c r="E104" s="1557"/>
      <c r="F104" s="1558"/>
      <c r="G104" s="1562"/>
      <c r="H104" s="1557"/>
      <c r="I104" s="1558"/>
      <c r="J104" s="3267">
        <v>143</v>
      </c>
      <c r="K104" s="3325" t="s">
        <v>1945</v>
      </c>
      <c r="L104" s="3267" t="s">
        <v>1804</v>
      </c>
      <c r="M104" s="3267">
        <v>1</v>
      </c>
      <c r="N104" s="3268"/>
      <c r="O104" s="3268"/>
      <c r="P104" s="3271"/>
      <c r="Q104" s="2445">
        <f>+(V104+V105+V106+V107)/R100</f>
        <v>0.24647887323943662</v>
      </c>
      <c r="R104" s="2825"/>
      <c r="S104" s="3271"/>
      <c r="T104" s="3325" t="s">
        <v>1946</v>
      </c>
      <c r="U104" s="1566" t="s">
        <v>1947</v>
      </c>
      <c r="V104" s="365">
        <v>9900000</v>
      </c>
      <c r="W104" s="3293"/>
      <c r="X104" s="3268"/>
      <c r="Y104" s="3280"/>
      <c r="Z104" s="3280"/>
      <c r="AA104" s="3302"/>
      <c r="AB104" s="3280"/>
      <c r="AC104" s="2878"/>
      <c r="AD104" s="3280"/>
      <c r="AE104" s="3280"/>
      <c r="AF104" s="3280"/>
      <c r="AG104" s="3280"/>
      <c r="AH104" s="3280"/>
      <c r="AI104" s="3280"/>
      <c r="AJ104" s="2878"/>
      <c r="AK104" s="3280"/>
      <c r="AL104" s="3280"/>
      <c r="AM104" s="2878"/>
      <c r="AN104" s="3280"/>
      <c r="AO104" s="3286"/>
      <c r="AP104" s="3286"/>
      <c r="AQ104" s="3289"/>
    </row>
    <row r="105" spans="1:43" ht="73.5" customHeight="1" x14ac:dyDescent="0.2">
      <c r="A105" s="1556"/>
      <c r="B105" s="1557"/>
      <c r="C105" s="1558"/>
      <c r="D105" s="1557"/>
      <c r="E105" s="1557"/>
      <c r="F105" s="1558"/>
      <c r="G105" s="1562"/>
      <c r="H105" s="1557"/>
      <c r="I105" s="1558"/>
      <c r="J105" s="3268"/>
      <c r="K105" s="3325"/>
      <c r="L105" s="3268"/>
      <c r="M105" s="3268"/>
      <c r="N105" s="3268"/>
      <c r="O105" s="3268"/>
      <c r="P105" s="3271"/>
      <c r="Q105" s="2447"/>
      <c r="R105" s="2825"/>
      <c r="S105" s="3271"/>
      <c r="T105" s="3325"/>
      <c r="U105" s="1566" t="s">
        <v>1948</v>
      </c>
      <c r="V105" s="365">
        <v>9900000</v>
      </c>
      <c r="W105" s="3293"/>
      <c r="X105" s="3268"/>
      <c r="Y105" s="3280"/>
      <c r="Z105" s="3280"/>
      <c r="AA105" s="3302"/>
      <c r="AB105" s="3280"/>
      <c r="AC105" s="2878"/>
      <c r="AD105" s="3280"/>
      <c r="AE105" s="3280"/>
      <c r="AF105" s="3280"/>
      <c r="AG105" s="3280"/>
      <c r="AH105" s="3280"/>
      <c r="AI105" s="3280"/>
      <c r="AJ105" s="2878"/>
      <c r="AK105" s="3280"/>
      <c r="AL105" s="3280"/>
      <c r="AM105" s="2878"/>
      <c r="AN105" s="3280"/>
      <c r="AO105" s="3286"/>
      <c r="AP105" s="3286"/>
      <c r="AQ105" s="3289"/>
    </row>
    <row r="106" spans="1:43" ht="91.5" customHeight="1" x14ac:dyDescent="0.2">
      <c r="A106" s="1556"/>
      <c r="B106" s="1557"/>
      <c r="C106" s="1558"/>
      <c r="D106" s="1557"/>
      <c r="E106" s="1557"/>
      <c r="F106" s="1558"/>
      <c r="G106" s="1562"/>
      <c r="H106" s="1557"/>
      <c r="I106" s="1558"/>
      <c r="J106" s="3268"/>
      <c r="K106" s="3325"/>
      <c r="L106" s="3268"/>
      <c r="M106" s="3268"/>
      <c r="N106" s="3268"/>
      <c r="O106" s="3268"/>
      <c r="P106" s="3271"/>
      <c r="Q106" s="2447"/>
      <c r="R106" s="2825"/>
      <c r="S106" s="3271"/>
      <c r="T106" s="3325"/>
      <c r="U106" s="1566" t="s">
        <v>1949</v>
      </c>
      <c r="V106" s="365">
        <v>10000000</v>
      </c>
      <c r="W106" s="3293"/>
      <c r="X106" s="3268"/>
      <c r="Y106" s="3280"/>
      <c r="Z106" s="3280"/>
      <c r="AA106" s="3302"/>
      <c r="AB106" s="3280"/>
      <c r="AC106" s="2878"/>
      <c r="AD106" s="3280"/>
      <c r="AE106" s="3280"/>
      <c r="AF106" s="3280"/>
      <c r="AG106" s="3280"/>
      <c r="AH106" s="3280"/>
      <c r="AI106" s="3280"/>
      <c r="AJ106" s="2878"/>
      <c r="AK106" s="3280"/>
      <c r="AL106" s="3280"/>
      <c r="AM106" s="2878"/>
      <c r="AN106" s="3280"/>
      <c r="AO106" s="3286"/>
      <c r="AP106" s="3286"/>
      <c r="AQ106" s="3289"/>
    </row>
    <row r="107" spans="1:43" ht="84" customHeight="1" x14ac:dyDescent="0.2">
      <c r="A107" s="1556"/>
      <c r="B107" s="1557"/>
      <c r="C107" s="1558"/>
      <c r="D107" s="1557"/>
      <c r="E107" s="1557"/>
      <c r="F107" s="1558"/>
      <c r="G107" s="1562"/>
      <c r="H107" s="1557"/>
      <c r="I107" s="1558"/>
      <c r="J107" s="3269"/>
      <c r="K107" s="3325"/>
      <c r="L107" s="3269"/>
      <c r="M107" s="3269"/>
      <c r="N107" s="3269"/>
      <c r="O107" s="3269"/>
      <c r="P107" s="3272"/>
      <c r="Q107" s="2446"/>
      <c r="R107" s="2826"/>
      <c r="S107" s="3272"/>
      <c r="T107" s="3325"/>
      <c r="U107" s="1566" t="s">
        <v>1950</v>
      </c>
      <c r="V107" s="368">
        <v>5200000</v>
      </c>
      <c r="W107" s="3294"/>
      <c r="X107" s="3269"/>
      <c r="Y107" s="3281"/>
      <c r="Z107" s="3281"/>
      <c r="AA107" s="3303"/>
      <c r="AB107" s="3281"/>
      <c r="AC107" s="2879"/>
      <c r="AD107" s="3281"/>
      <c r="AE107" s="3281"/>
      <c r="AF107" s="3281"/>
      <c r="AG107" s="3281"/>
      <c r="AH107" s="3281"/>
      <c r="AI107" s="3281"/>
      <c r="AJ107" s="2879"/>
      <c r="AK107" s="3281"/>
      <c r="AL107" s="3281"/>
      <c r="AM107" s="2879"/>
      <c r="AN107" s="3281"/>
      <c r="AO107" s="3287"/>
      <c r="AP107" s="3287"/>
      <c r="AQ107" s="3290"/>
    </row>
    <row r="108" spans="1:43" ht="73.5" customHeight="1" x14ac:dyDescent="0.2">
      <c r="A108" s="1581"/>
      <c r="B108" s="1582"/>
      <c r="C108" s="1583"/>
      <c r="D108" s="1582"/>
      <c r="E108" s="1582"/>
      <c r="F108" s="1583"/>
      <c r="G108" s="1584"/>
      <c r="H108" s="1582"/>
      <c r="I108" s="1583"/>
      <c r="J108" s="3326">
        <v>144</v>
      </c>
      <c r="K108" s="3329" t="s">
        <v>1951</v>
      </c>
      <c r="L108" s="3326" t="s">
        <v>1804</v>
      </c>
      <c r="M108" s="3326">
        <v>5</v>
      </c>
      <c r="N108" s="1585"/>
      <c r="O108" s="3326">
        <v>141</v>
      </c>
      <c r="P108" s="3270" t="s">
        <v>1952</v>
      </c>
      <c r="Q108" s="3340">
        <f>(V108+V109+V110+V112+V113+V111)/R108</f>
        <v>0.82799468573080259</v>
      </c>
      <c r="R108" s="2824">
        <f>SUM(V108+V109+V110+V111+V112+V113+V114+V115+V116+V117)</f>
        <v>661808401</v>
      </c>
      <c r="S108" s="3329" t="s">
        <v>1953</v>
      </c>
      <c r="T108" s="3270" t="s">
        <v>1954</v>
      </c>
      <c r="U108" s="1555" t="s">
        <v>1955</v>
      </c>
      <c r="V108" s="535">
        <f>246606125-8632286</f>
        <v>237973839</v>
      </c>
      <c r="W108" s="1586"/>
      <c r="X108" s="1585"/>
      <c r="Y108" s="3326">
        <v>292684</v>
      </c>
      <c r="Z108" s="3326">
        <v>282326</v>
      </c>
      <c r="AA108" s="3279">
        <v>135912</v>
      </c>
      <c r="AB108" s="3279">
        <v>45122</v>
      </c>
      <c r="AC108" s="3279">
        <v>307101</v>
      </c>
      <c r="AD108" s="3279">
        <v>86875</v>
      </c>
      <c r="AE108" s="3279">
        <v>2145</v>
      </c>
      <c r="AF108" s="3279">
        <v>12718</v>
      </c>
      <c r="AG108" s="3279">
        <v>26</v>
      </c>
      <c r="AH108" s="3279">
        <v>37</v>
      </c>
      <c r="AI108" s="3279" t="s">
        <v>1811</v>
      </c>
      <c r="AJ108" s="2877" t="s">
        <v>1811</v>
      </c>
      <c r="AK108" s="3279">
        <v>53164</v>
      </c>
      <c r="AL108" s="3279">
        <v>16982</v>
      </c>
      <c r="AM108" s="2877">
        <v>60013</v>
      </c>
      <c r="AN108" s="3279">
        <v>575010</v>
      </c>
      <c r="AO108" s="3335">
        <v>43101</v>
      </c>
      <c r="AP108" s="3335">
        <v>43465</v>
      </c>
      <c r="AQ108" s="3337" t="s">
        <v>1812</v>
      </c>
    </row>
    <row r="109" spans="1:43" ht="60" x14ac:dyDescent="0.2">
      <c r="A109" s="1581"/>
      <c r="B109" s="1582"/>
      <c r="C109" s="1583"/>
      <c r="D109" s="1582"/>
      <c r="E109" s="1582"/>
      <c r="F109" s="1583"/>
      <c r="G109" s="1584"/>
      <c r="H109" s="1582"/>
      <c r="I109" s="1583"/>
      <c r="J109" s="3327"/>
      <c r="K109" s="3330"/>
      <c r="L109" s="3327"/>
      <c r="M109" s="3327"/>
      <c r="N109" s="1587"/>
      <c r="O109" s="3327"/>
      <c r="P109" s="3271"/>
      <c r="Q109" s="3341"/>
      <c r="R109" s="2825"/>
      <c r="S109" s="3330"/>
      <c r="T109" s="3271"/>
      <c r="U109" s="1555" t="s">
        <v>1956</v>
      </c>
      <c r="V109" s="535">
        <v>62000000</v>
      </c>
      <c r="W109" s="1588"/>
      <c r="X109" s="1587"/>
      <c r="Y109" s="3327"/>
      <c r="Z109" s="3327"/>
      <c r="AA109" s="3280"/>
      <c r="AB109" s="3280"/>
      <c r="AC109" s="3280"/>
      <c r="AD109" s="3280"/>
      <c r="AE109" s="3280"/>
      <c r="AF109" s="3280"/>
      <c r="AG109" s="3280"/>
      <c r="AH109" s="3280"/>
      <c r="AI109" s="3280"/>
      <c r="AJ109" s="2878"/>
      <c r="AK109" s="3280"/>
      <c r="AL109" s="3280"/>
      <c r="AM109" s="2878"/>
      <c r="AN109" s="3280"/>
      <c r="AO109" s="3336"/>
      <c r="AP109" s="3336"/>
      <c r="AQ109" s="3338"/>
    </row>
    <row r="110" spans="1:43" ht="45" x14ac:dyDescent="0.2">
      <c r="A110" s="1581"/>
      <c r="B110" s="1582"/>
      <c r="C110" s="1583"/>
      <c r="D110" s="1582"/>
      <c r="E110" s="1582"/>
      <c r="F110" s="1583"/>
      <c r="G110" s="1584"/>
      <c r="H110" s="1582"/>
      <c r="I110" s="1583"/>
      <c r="J110" s="3327"/>
      <c r="K110" s="3330"/>
      <c r="L110" s="3327"/>
      <c r="M110" s="3327"/>
      <c r="N110" s="1587"/>
      <c r="O110" s="3327"/>
      <c r="P110" s="3271"/>
      <c r="Q110" s="3341"/>
      <c r="R110" s="2825"/>
      <c r="S110" s="3330"/>
      <c r="T110" s="3271"/>
      <c r="U110" s="1555" t="s">
        <v>1957</v>
      </c>
      <c r="V110" s="535">
        <v>62000000</v>
      </c>
      <c r="W110" s="1588">
        <v>111</v>
      </c>
      <c r="X110" s="1587" t="s">
        <v>1958</v>
      </c>
      <c r="Y110" s="3327"/>
      <c r="Z110" s="3327"/>
      <c r="AA110" s="3280"/>
      <c r="AB110" s="3280"/>
      <c r="AC110" s="3280"/>
      <c r="AD110" s="3280"/>
      <c r="AE110" s="3280"/>
      <c r="AF110" s="3280"/>
      <c r="AG110" s="3280"/>
      <c r="AH110" s="3280"/>
      <c r="AI110" s="3280"/>
      <c r="AJ110" s="2878"/>
      <c r="AK110" s="3280"/>
      <c r="AL110" s="3280"/>
      <c r="AM110" s="2878"/>
      <c r="AN110" s="3280"/>
      <c r="AO110" s="3336"/>
      <c r="AP110" s="3336"/>
      <c r="AQ110" s="3338"/>
    </row>
    <row r="111" spans="1:43" ht="75" x14ac:dyDescent="0.2">
      <c r="A111" s="1581"/>
      <c r="B111" s="1582"/>
      <c r="C111" s="1583"/>
      <c r="D111" s="1582"/>
      <c r="E111" s="1582"/>
      <c r="F111" s="1583"/>
      <c r="G111" s="1584"/>
      <c r="H111" s="1582"/>
      <c r="I111" s="1583"/>
      <c r="J111" s="3327"/>
      <c r="K111" s="3330"/>
      <c r="L111" s="3327"/>
      <c r="M111" s="3327"/>
      <c r="N111" s="1587"/>
      <c r="O111" s="3327"/>
      <c r="P111" s="3271"/>
      <c r="Q111" s="3341"/>
      <c r="R111" s="2825"/>
      <c r="S111" s="3330"/>
      <c r="T111" s="3271"/>
      <c r="U111" s="1555" t="s">
        <v>1959</v>
      </c>
      <c r="V111" s="535">
        <v>62000000</v>
      </c>
      <c r="W111" s="1588"/>
      <c r="X111" s="1587"/>
      <c r="Y111" s="3327"/>
      <c r="Z111" s="3327"/>
      <c r="AA111" s="3280"/>
      <c r="AB111" s="3280"/>
      <c r="AC111" s="3280"/>
      <c r="AD111" s="3280"/>
      <c r="AE111" s="3280"/>
      <c r="AF111" s="3280"/>
      <c r="AG111" s="3280"/>
      <c r="AH111" s="3280"/>
      <c r="AI111" s="3280"/>
      <c r="AJ111" s="2878"/>
      <c r="AK111" s="3280"/>
      <c r="AL111" s="3280"/>
      <c r="AM111" s="2878"/>
      <c r="AN111" s="3280"/>
      <c r="AO111" s="3336"/>
      <c r="AP111" s="3336"/>
      <c r="AQ111" s="3338"/>
    </row>
    <row r="112" spans="1:43" ht="90" x14ac:dyDescent="0.2">
      <c r="A112" s="1581"/>
      <c r="B112" s="1582"/>
      <c r="C112" s="1583"/>
      <c r="D112" s="1582"/>
      <c r="E112" s="1582"/>
      <c r="F112" s="1583"/>
      <c r="G112" s="1584"/>
      <c r="H112" s="1582"/>
      <c r="I112" s="1583"/>
      <c r="J112" s="3327"/>
      <c r="K112" s="3330"/>
      <c r="L112" s="3327"/>
      <c r="M112" s="3327"/>
      <c r="N112" s="1587"/>
      <c r="O112" s="3327"/>
      <c r="P112" s="3271"/>
      <c r="Q112" s="3341"/>
      <c r="R112" s="2825"/>
      <c r="S112" s="3330"/>
      <c r="T112" s="3271"/>
      <c r="U112" s="1555" t="s">
        <v>1960</v>
      </c>
      <c r="V112" s="535">
        <v>62000000</v>
      </c>
      <c r="W112" s="1588">
        <v>118</v>
      </c>
      <c r="X112" s="1587" t="s">
        <v>1961</v>
      </c>
      <c r="Y112" s="3327"/>
      <c r="Z112" s="3327"/>
      <c r="AA112" s="3280"/>
      <c r="AB112" s="3280"/>
      <c r="AC112" s="3280"/>
      <c r="AD112" s="3280"/>
      <c r="AE112" s="3280"/>
      <c r="AF112" s="3280"/>
      <c r="AG112" s="3280"/>
      <c r="AH112" s="3280"/>
      <c r="AI112" s="3280"/>
      <c r="AJ112" s="2878"/>
      <c r="AK112" s="3280"/>
      <c r="AL112" s="3280"/>
      <c r="AM112" s="2878"/>
      <c r="AN112" s="3280"/>
      <c r="AO112" s="3336"/>
      <c r="AP112" s="3336"/>
      <c r="AQ112" s="3338"/>
    </row>
    <row r="113" spans="1:43" ht="114" customHeight="1" x14ac:dyDescent="0.2">
      <c r="A113" s="1581"/>
      <c r="B113" s="1582"/>
      <c r="C113" s="1583"/>
      <c r="D113" s="1582"/>
      <c r="E113" s="1582"/>
      <c r="F113" s="1583"/>
      <c r="G113" s="1584"/>
      <c r="H113" s="1582"/>
      <c r="I113" s="1583"/>
      <c r="J113" s="3328"/>
      <c r="K113" s="3331"/>
      <c r="L113" s="3328"/>
      <c r="M113" s="3328"/>
      <c r="N113" s="3327" t="s">
        <v>1962</v>
      </c>
      <c r="O113" s="3327"/>
      <c r="P113" s="3271"/>
      <c r="Q113" s="3342"/>
      <c r="R113" s="2825"/>
      <c r="S113" s="3330"/>
      <c r="T113" s="3272"/>
      <c r="U113" s="1555" t="s">
        <v>1963</v>
      </c>
      <c r="V113" s="535">
        <v>62000000</v>
      </c>
      <c r="W113" s="1588">
        <v>61</v>
      </c>
      <c r="X113" s="1587" t="s">
        <v>1810</v>
      </c>
      <c r="Y113" s="3327"/>
      <c r="Z113" s="3327"/>
      <c r="AA113" s="3280"/>
      <c r="AB113" s="3280"/>
      <c r="AC113" s="3280"/>
      <c r="AD113" s="3280"/>
      <c r="AE113" s="3280"/>
      <c r="AF113" s="3280"/>
      <c r="AG113" s="3280"/>
      <c r="AH113" s="3280"/>
      <c r="AI113" s="3280"/>
      <c r="AJ113" s="2878"/>
      <c r="AK113" s="3280"/>
      <c r="AL113" s="3280"/>
      <c r="AM113" s="2878"/>
      <c r="AN113" s="3280"/>
      <c r="AO113" s="3336"/>
      <c r="AP113" s="3336"/>
      <c r="AQ113" s="3338"/>
    </row>
    <row r="114" spans="1:43" ht="60" x14ac:dyDescent="0.2">
      <c r="A114" s="1581"/>
      <c r="B114" s="1582"/>
      <c r="C114" s="1583"/>
      <c r="D114" s="1582"/>
      <c r="E114" s="1582"/>
      <c r="F114" s="1583"/>
      <c r="G114" s="1584"/>
      <c r="H114" s="1582"/>
      <c r="I114" s="1583"/>
      <c r="J114" s="3326">
        <v>145</v>
      </c>
      <c r="K114" s="3332" t="s">
        <v>1964</v>
      </c>
      <c r="L114" s="3326" t="s">
        <v>1804</v>
      </c>
      <c r="M114" s="3326">
        <v>1</v>
      </c>
      <c r="N114" s="3327"/>
      <c r="O114" s="3327"/>
      <c r="P114" s="3271"/>
      <c r="Q114" s="3340">
        <f>(V117+V114+V115+V116)/R108</f>
        <v>0.17200531426919738</v>
      </c>
      <c r="R114" s="2825"/>
      <c r="S114" s="3330"/>
      <c r="T114" s="3282" t="s">
        <v>1965</v>
      </c>
      <c r="U114" s="1589" t="s">
        <v>1966</v>
      </c>
      <c r="V114" s="535">
        <v>36000000</v>
      </c>
      <c r="W114" s="1588"/>
      <c r="X114" s="1587"/>
      <c r="Y114" s="3327"/>
      <c r="Z114" s="3327"/>
      <c r="AA114" s="3280"/>
      <c r="AB114" s="3280"/>
      <c r="AC114" s="3280"/>
      <c r="AD114" s="3280"/>
      <c r="AE114" s="3280"/>
      <c r="AF114" s="3280"/>
      <c r="AG114" s="3280"/>
      <c r="AH114" s="3280"/>
      <c r="AI114" s="3280"/>
      <c r="AJ114" s="2878"/>
      <c r="AK114" s="3280"/>
      <c r="AL114" s="3280"/>
      <c r="AM114" s="2878"/>
      <c r="AN114" s="3280"/>
      <c r="AO114" s="3336"/>
      <c r="AP114" s="3336"/>
      <c r="AQ114" s="3338"/>
    </row>
    <row r="115" spans="1:43" ht="60.75" customHeight="1" x14ac:dyDescent="0.2">
      <c r="A115" s="1581"/>
      <c r="B115" s="1582"/>
      <c r="C115" s="1583"/>
      <c r="D115" s="1582"/>
      <c r="E115" s="1582"/>
      <c r="F115" s="1583"/>
      <c r="G115" s="1584"/>
      <c r="H115" s="1582"/>
      <c r="I115" s="1583"/>
      <c r="J115" s="3327"/>
      <c r="K115" s="3333"/>
      <c r="L115" s="3327"/>
      <c r="M115" s="3327"/>
      <c r="N115" s="1587"/>
      <c r="O115" s="3327"/>
      <c r="P115" s="3271"/>
      <c r="Q115" s="3341"/>
      <c r="R115" s="2825"/>
      <c r="S115" s="3330"/>
      <c r="T115" s="3283"/>
      <c r="U115" s="1589" t="s">
        <v>1967</v>
      </c>
      <c r="V115" s="535">
        <v>36000000</v>
      </c>
      <c r="W115" s="1588"/>
      <c r="X115" s="1587"/>
      <c r="Y115" s="3327"/>
      <c r="Z115" s="3327"/>
      <c r="AA115" s="3280"/>
      <c r="AB115" s="3280"/>
      <c r="AC115" s="3280"/>
      <c r="AD115" s="3280"/>
      <c r="AE115" s="3280"/>
      <c r="AF115" s="3280"/>
      <c r="AG115" s="3280"/>
      <c r="AH115" s="3280"/>
      <c r="AI115" s="3280"/>
      <c r="AJ115" s="2878"/>
      <c r="AK115" s="3280"/>
      <c r="AL115" s="3280"/>
      <c r="AM115" s="2878"/>
      <c r="AN115" s="3280"/>
      <c r="AO115" s="3336"/>
      <c r="AP115" s="3336"/>
      <c r="AQ115" s="3338"/>
    </row>
    <row r="116" spans="1:43" ht="48" customHeight="1" x14ac:dyDescent="0.2">
      <c r="A116" s="1581"/>
      <c r="B116" s="1582"/>
      <c r="C116" s="1583"/>
      <c r="D116" s="1582"/>
      <c r="E116" s="1582"/>
      <c r="F116" s="1583"/>
      <c r="G116" s="1584"/>
      <c r="H116" s="1582"/>
      <c r="I116" s="1583"/>
      <c r="J116" s="3327"/>
      <c r="K116" s="3333"/>
      <c r="L116" s="3327"/>
      <c r="M116" s="3327"/>
      <c r="N116" s="1587"/>
      <c r="O116" s="3327"/>
      <c r="P116" s="3271"/>
      <c r="Q116" s="3341"/>
      <c r="R116" s="2825"/>
      <c r="S116" s="3330"/>
      <c r="T116" s="3283"/>
      <c r="U116" s="1589" t="s">
        <v>1968</v>
      </c>
      <c r="V116" s="535">
        <v>5834562</v>
      </c>
      <c r="W116" s="1588"/>
      <c r="X116" s="1587"/>
      <c r="Y116" s="3327"/>
      <c r="Z116" s="3327"/>
      <c r="AA116" s="3280"/>
      <c r="AB116" s="3280"/>
      <c r="AC116" s="3280"/>
      <c r="AD116" s="3280"/>
      <c r="AE116" s="3280"/>
      <c r="AF116" s="3280"/>
      <c r="AG116" s="3280"/>
      <c r="AH116" s="3280"/>
      <c r="AI116" s="3280"/>
      <c r="AJ116" s="2878"/>
      <c r="AK116" s="3280"/>
      <c r="AL116" s="3280"/>
      <c r="AM116" s="2878"/>
      <c r="AN116" s="3280"/>
      <c r="AO116" s="3336"/>
      <c r="AP116" s="3336"/>
      <c r="AQ116" s="3338"/>
    </row>
    <row r="117" spans="1:43" ht="45" x14ac:dyDescent="0.2">
      <c r="A117" s="1581"/>
      <c r="B117" s="1582"/>
      <c r="C117" s="1583"/>
      <c r="D117" s="1582"/>
      <c r="E117" s="1582"/>
      <c r="F117" s="1583"/>
      <c r="G117" s="1584"/>
      <c r="H117" s="1582"/>
      <c r="I117" s="1583"/>
      <c r="J117" s="3328"/>
      <c r="K117" s="3334"/>
      <c r="L117" s="3328"/>
      <c r="M117" s="3328"/>
      <c r="N117" s="1590"/>
      <c r="O117" s="3328"/>
      <c r="P117" s="3271"/>
      <c r="Q117" s="3342"/>
      <c r="R117" s="2825"/>
      <c r="S117" s="3330"/>
      <c r="T117" s="3284"/>
      <c r="U117" s="1580" t="s">
        <v>1969</v>
      </c>
      <c r="V117" s="535">
        <v>36000000</v>
      </c>
      <c r="W117" s="1588"/>
      <c r="X117" s="1587"/>
      <c r="Y117" s="3328"/>
      <c r="Z117" s="3328"/>
      <c r="AA117" s="3280"/>
      <c r="AB117" s="3280"/>
      <c r="AC117" s="3280"/>
      <c r="AD117" s="3280"/>
      <c r="AE117" s="3280"/>
      <c r="AF117" s="3280"/>
      <c r="AG117" s="3280"/>
      <c r="AH117" s="3280"/>
      <c r="AI117" s="3280"/>
      <c r="AJ117" s="2878"/>
      <c r="AK117" s="3280"/>
      <c r="AL117" s="3280"/>
      <c r="AM117" s="2878"/>
      <c r="AN117" s="3281"/>
      <c r="AO117" s="3336"/>
      <c r="AP117" s="3336"/>
      <c r="AQ117" s="3339"/>
    </row>
    <row r="118" spans="1:43" ht="75" customHeight="1" x14ac:dyDescent="0.2">
      <c r="A118" s="1581"/>
      <c r="B118" s="1582"/>
      <c r="C118" s="1583"/>
      <c r="D118" s="1582"/>
      <c r="E118" s="1582"/>
      <c r="F118" s="1583"/>
      <c r="G118" s="1584"/>
      <c r="H118" s="1582"/>
      <c r="I118" s="1583"/>
      <c r="J118" s="3326">
        <v>146</v>
      </c>
      <c r="K118" s="3329" t="s">
        <v>1970</v>
      </c>
      <c r="L118" s="3326" t="s">
        <v>1804</v>
      </c>
      <c r="M118" s="3326">
        <v>1</v>
      </c>
      <c r="N118" s="1585"/>
      <c r="O118" s="3326">
        <v>142</v>
      </c>
      <c r="P118" s="3270" t="s">
        <v>1971</v>
      </c>
      <c r="Q118" s="3340">
        <v>1</v>
      </c>
      <c r="R118" s="2215">
        <f>SUM(V118:V126)</f>
        <v>230374138</v>
      </c>
      <c r="S118" s="3329" t="s">
        <v>1972</v>
      </c>
      <c r="T118" s="3270" t="s">
        <v>1973</v>
      </c>
      <c r="U118" s="1555" t="s">
        <v>1974</v>
      </c>
      <c r="V118" s="1421">
        <v>76133655</v>
      </c>
      <c r="W118" s="1586"/>
      <c r="X118" s="1585"/>
      <c r="Y118" s="3343">
        <v>292684</v>
      </c>
      <c r="Z118" s="3343">
        <v>282326</v>
      </c>
      <c r="AA118" s="3279">
        <v>135912</v>
      </c>
      <c r="AB118" s="3279">
        <v>45122</v>
      </c>
      <c r="AC118" s="3279">
        <f>SUM(AC108)</f>
        <v>307101</v>
      </c>
      <c r="AD118" s="3279">
        <f>SUM(AD108)</f>
        <v>86875</v>
      </c>
      <c r="AE118" s="3279">
        <v>2145</v>
      </c>
      <c r="AF118" s="3279">
        <v>12718</v>
      </c>
      <c r="AG118" s="3279">
        <v>26</v>
      </c>
      <c r="AH118" s="3279">
        <v>37</v>
      </c>
      <c r="AI118" s="3279" t="s">
        <v>1811</v>
      </c>
      <c r="AJ118" s="3279" t="s">
        <v>1811</v>
      </c>
      <c r="AK118" s="3279">
        <v>53164</v>
      </c>
      <c r="AL118" s="3279">
        <v>16982</v>
      </c>
      <c r="AM118" s="3344">
        <v>60013</v>
      </c>
      <c r="AN118" s="3279">
        <v>575010</v>
      </c>
      <c r="AO118" s="3347">
        <v>43101</v>
      </c>
      <c r="AP118" s="3347">
        <v>43465</v>
      </c>
      <c r="AQ118" s="3337" t="s">
        <v>1812</v>
      </c>
    </row>
    <row r="119" spans="1:43" ht="85.5" customHeight="1" x14ac:dyDescent="0.2">
      <c r="A119" s="1581"/>
      <c r="B119" s="1582"/>
      <c r="C119" s="1583"/>
      <c r="D119" s="1582"/>
      <c r="E119" s="1582"/>
      <c r="F119" s="1583"/>
      <c r="G119" s="1584"/>
      <c r="H119" s="1582"/>
      <c r="I119" s="1583"/>
      <c r="J119" s="3327"/>
      <c r="K119" s="3330"/>
      <c r="L119" s="3327"/>
      <c r="M119" s="3327"/>
      <c r="N119" s="1587"/>
      <c r="O119" s="3327"/>
      <c r="P119" s="3271"/>
      <c r="Q119" s="3341"/>
      <c r="R119" s="2216"/>
      <c r="S119" s="3330"/>
      <c r="T119" s="3271"/>
      <c r="U119" s="1555" t="s">
        <v>1975</v>
      </c>
      <c r="V119" s="1421">
        <v>3000000</v>
      </c>
      <c r="W119" s="1588"/>
      <c r="X119" s="1587"/>
      <c r="Y119" s="3343"/>
      <c r="Z119" s="3343"/>
      <c r="AA119" s="3280"/>
      <c r="AB119" s="3280"/>
      <c r="AC119" s="3280"/>
      <c r="AD119" s="3280"/>
      <c r="AE119" s="3280"/>
      <c r="AF119" s="3280"/>
      <c r="AG119" s="3280"/>
      <c r="AH119" s="3280"/>
      <c r="AI119" s="3280"/>
      <c r="AJ119" s="3280"/>
      <c r="AK119" s="3280"/>
      <c r="AL119" s="3280"/>
      <c r="AM119" s="3345"/>
      <c r="AN119" s="3280"/>
      <c r="AO119" s="3347"/>
      <c r="AP119" s="3347"/>
      <c r="AQ119" s="3338"/>
    </row>
    <row r="120" spans="1:43" ht="64.5" customHeight="1" x14ac:dyDescent="0.2">
      <c r="A120" s="1581"/>
      <c r="B120" s="1582"/>
      <c r="C120" s="1583"/>
      <c r="D120" s="1582"/>
      <c r="E120" s="1582"/>
      <c r="F120" s="1583"/>
      <c r="G120" s="1584"/>
      <c r="H120" s="1582"/>
      <c r="I120" s="1583"/>
      <c r="J120" s="3327"/>
      <c r="K120" s="3330"/>
      <c r="L120" s="3327"/>
      <c r="M120" s="3327"/>
      <c r="N120" s="1587" t="s">
        <v>1976</v>
      </c>
      <c r="O120" s="3327"/>
      <c r="P120" s="3271"/>
      <c r="Q120" s="3341"/>
      <c r="R120" s="2216"/>
      <c r="S120" s="3330"/>
      <c r="T120" s="3271"/>
      <c r="U120" s="1555" t="s">
        <v>1977</v>
      </c>
      <c r="V120" s="1421">
        <v>27000000</v>
      </c>
      <c r="W120" s="1588"/>
      <c r="X120" s="1587"/>
      <c r="Y120" s="3343"/>
      <c r="Z120" s="3343"/>
      <c r="AA120" s="3280"/>
      <c r="AB120" s="3280"/>
      <c r="AC120" s="3280"/>
      <c r="AD120" s="3280"/>
      <c r="AE120" s="3280"/>
      <c r="AF120" s="3280"/>
      <c r="AG120" s="3280"/>
      <c r="AH120" s="3280"/>
      <c r="AI120" s="3280"/>
      <c r="AJ120" s="3280"/>
      <c r="AK120" s="3280"/>
      <c r="AL120" s="3280"/>
      <c r="AM120" s="3345"/>
      <c r="AN120" s="3280"/>
      <c r="AO120" s="3347"/>
      <c r="AP120" s="3347"/>
      <c r="AQ120" s="3338"/>
    </row>
    <row r="121" spans="1:43" ht="65.25" customHeight="1" x14ac:dyDescent="0.2">
      <c r="A121" s="1581"/>
      <c r="B121" s="1582"/>
      <c r="C121" s="1583"/>
      <c r="D121" s="1582"/>
      <c r="E121" s="1582"/>
      <c r="F121" s="1583"/>
      <c r="G121" s="1584"/>
      <c r="H121" s="1582"/>
      <c r="I121" s="1583"/>
      <c r="J121" s="3327"/>
      <c r="K121" s="3330"/>
      <c r="L121" s="3327"/>
      <c r="M121" s="3327"/>
      <c r="N121" s="1587" t="s">
        <v>1978</v>
      </c>
      <c r="O121" s="3327"/>
      <c r="P121" s="3271"/>
      <c r="Q121" s="3341"/>
      <c r="R121" s="2216"/>
      <c r="S121" s="3330"/>
      <c r="T121" s="3272"/>
      <c r="U121" s="1555" t="s">
        <v>1979</v>
      </c>
      <c r="V121" s="1421">
        <v>10000000</v>
      </c>
      <c r="W121" s="1588"/>
      <c r="X121" s="1587"/>
      <c r="Y121" s="3343"/>
      <c r="Z121" s="3343"/>
      <c r="AA121" s="3280"/>
      <c r="AB121" s="3280"/>
      <c r="AC121" s="3280"/>
      <c r="AD121" s="3280"/>
      <c r="AE121" s="3280"/>
      <c r="AF121" s="3280"/>
      <c r="AG121" s="3280"/>
      <c r="AH121" s="3280"/>
      <c r="AI121" s="3280"/>
      <c r="AJ121" s="3280"/>
      <c r="AK121" s="3280"/>
      <c r="AL121" s="3280"/>
      <c r="AM121" s="3345"/>
      <c r="AN121" s="3280"/>
      <c r="AO121" s="3347"/>
      <c r="AP121" s="3347"/>
      <c r="AQ121" s="3338"/>
    </row>
    <row r="122" spans="1:43" ht="77.25" customHeight="1" x14ac:dyDescent="0.2">
      <c r="A122" s="1581"/>
      <c r="B122" s="1582"/>
      <c r="C122" s="1583"/>
      <c r="D122" s="1582"/>
      <c r="E122" s="1582"/>
      <c r="F122" s="1583"/>
      <c r="G122" s="1584"/>
      <c r="H122" s="1582"/>
      <c r="I122" s="1583"/>
      <c r="J122" s="3327"/>
      <c r="K122" s="3330"/>
      <c r="L122" s="3327"/>
      <c r="M122" s="3327"/>
      <c r="N122" s="1587" t="s">
        <v>1980</v>
      </c>
      <c r="O122" s="3327"/>
      <c r="P122" s="3271"/>
      <c r="Q122" s="3341"/>
      <c r="R122" s="2216"/>
      <c r="S122" s="3330"/>
      <c r="T122" s="3270" t="s">
        <v>1981</v>
      </c>
      <c r="U122" s="1555" t="s">
        <v>1982</v>
      </c>
      <c r="V122" s="1421">
        <v>7000000</v>
      </c>
      <c r="W122" s="1588">
        <v>113</v>
      </c>
      <c r="X122" s="1587" t="s">
        <v>1983</v>
      </c>
      <c r="Y122" s="3343"/>
      <c r="Z122" s="3343"/>
      <c r="AA122" s="3280"/>
      <c r="AB122" s="3280"/>
      <c r="AC122" s="3280"/>
      <c r="AD122" s="3280"/>
      <c r="AE122" s="3280"/>
      <c r="AF122" s="3280"/>
      <c r="AG122" s="3280"/>
      <c r="AH122" s="3280"/>
      <c r="AI122" s="3280"/>
      <c r="AJ122" s="3280"/>
      <c r="AK122" s="3280"/>
      <c r="AL122" s="3280"/>
      <c r="AM122" s="3345"/>
      <c r="AN122" s="3280"/>
      <c r="AO122" s="3347"/>
      <c r="AP122" s="3347"/>
      <c r="AQ122" s="3338"/>
    </row>
    <row r="123" spans="1:43" ht="45" x14ac:dyDescent="0.2">
      <c r="A123" s="1581"/>
      <c r="B123" s="1582"/>
      <c r="C123" s="1583"/>
      <c r="D123" s="1582"/>
      <c r="E123" s="1582"/>
      <c r="F123" s="1583"/>
      <c r="G123" s="1584"/>
      <c r="H123" s="1582"/>
      <c r="I123" s="1583"/>
      <c r="J123" s="3327"/>
      <c r="K123" s="3330"/>
      <c r="L123" s="3327"/>
      <c r="M123" s="3327"/>
      <c r="N123" s="1587" t="s">
        <v>1984</v>
      </c>
      <c r="O123" s="3327"/>
      <c r="P123" s="3271"/>
      <c r="Q123" s="3341"/>
      <c r="R123" s="2216"/>
      <c r="S123" s="3330"/>
      <c r="T123" s="3271"/>
      <c r="U123" s="1555" t="s">
        <v>1985</v>
      </c>
      <c r="V123" s="1421">
        <v>48000000</v>
      </c>
      <c r="W123" s="1588">
        <v>114</v>
      </c>
      <c r="X123" s="1420" t="s">
        <v>1986</v>
      </c>
      <c r="Y123" s="3343"/>
      <c r="Z123" s="3343"/>
      <c r="AA123" s="3280"/>
      <c r="AB123" s="3280"/>
      <c r="AC123" s="3280"/>
      <c r="AD123" s="3280"/>
      <c r="AE123" s="3280"/>
      <c r="AF123" s="3280"/>
      <c r="AG123" s="3280"/>
      <c r="AH123" s="3280"/>
      <c r="AI123" s="3280"/>
      <c r="AJ123" s="3280"/>
      <c r="AK123" s="3280"/>
      <c r="AL123" s="3280"/>
      <c r="AM123" s="3345"/>
      <c r="AN123" s="3280"/>
      <c r="AO123" s="3347"/>
      <c r="AP123" s="3347"/>
      <c r="AQ123" s="3338"/>
    </row>
    <row r="124" spans="1:43" ht="68.25" customHeight="1" x14ac:dyDescent="0.2">
      <c r="A124" s="1581"/>
      <c r="B124" s="1582"/>
      <c r="C124" s="1583"/>
      <c r="D124" s="1582"/>
      <c r="E124" s="1582"/>
      <c r="F124" s="1583"/>
      <c r="G124" s="1584"/>
      <c r="H124" s="1582"/>
      <c r="I124" s="1583"/>
      <c r="J124" s="3327"/>
      <c r="K124" s="3330"/>
      <c r="L124" s="3327"/>
      <c r="M124" s="3327"/>
      <c r="N124" s="1587"/>
      <c r="O124" s="3327"/>
      <c r="P124" s="3271"/>
      <c r="Q124" s="3341"/>
      <c r="R124" s="2216"/>
      <c r="S124" s="3330"/>
      <c r="T124" s="3272"/>
      <c r="U124" s="1555" t="s">
        <v>1987</v>
      </c>
      <c r="V124" s="1421">
        <v>20000000</v>
      </c>
      <c r="W124" s="1588">
        <v>61</v>
      </c>
      <c r="X124" s="1587" t="s">
        <v>1810</v>
      </c>
      <c r="Y124" s="3343"/>
      <c r="Z124" s="3343"/>
      <c r="AA124" s="3280"/>
      <c r="AB124" s="3280"/>
      <c r="AC124" s="3280"/>
      <c r="AD124" s="3280"/>
      <c r="AE124" s="3280"/>
      <c r="AF124" s="3280"/>
      <c r="AG124" s="3280"/>
      <c r="AH124" s="3280"/>
      <c r="AI124" s="3280"/>
      <c r="AJ124" s="3280"/>
      <c r="AK124" s="3280"/>
      <c r="AL124" s="3280"/>
      <c r="AM124" s="3345"/>
      <c r="AN124" s="3280"/>
      <c r="AO124" s="3347"/>
      <c r="AP124" s="3347"/>
      <c r="AQ124" s="3338"/>
    </row>
    <row r="125" spans="1:43" ht="58.5" customHeight="1" x14ac:dyDescent="0.2">
      <c r="A125" s="1581"/>
      <c r="B125" s="1582"/>
      <c r="C125" s="1583"/>
      <c r="D125" s="1582"/>
      <c r="E125" s="1582"/>
      <c r="F125" s="1583"/>
      <c r="G125" s="1584"/>
      <c r="H125" s="1582"/>
      <c r="I125" s="1583"/>
      <c r="J125" s="3327"/>
      <c r="K125" s="3330"/>
      <c r="L125" s="3327"/>
      <c r="M125" s="3327"/>
      <c r="N125" s="1587"/>
      <c r="O125" s="3327"/>
      <c r="P125" s="3271"/>
      <c r="Q125" s="3341"/>
      <c r="R125" s="2216"/>
      <c r="S125" s="3330"/>
      <c r="T125" s="3270" t="s">
        <v>1988</v>
      </c>
      <c r="U125" s="1555" t="s">
        <v>1989</v>
      </c>
      <c r="V125" s="1421">
        <v>22000000</v>
      </c>
      <c r="W125" s="1588"/>
      <c r="X125" s="1587"/>
      <c r="Y125" s="3343"/>
      <c r="Z125" s="3343"/>
      <c r="AA125" s="3280"/>
      <c r="AB125" s="3280"/>
      <c r="AC125" s="3280"/>
      <c r="AD125" s="3280"/>
      <c r="AE125" s="3280"/>
      <c r="AF125" s="3280"/>
      <c r="AG125" s="3280"/>
      <c r="AH125" s="3280"/>
      <c r="AI125" s="3280"/>
      <c r="AJ125" s="3280"/>
      <c r="AK125" s="3280"/>
      <c r="AL125" s="3280"/>
      <c r="AM125" s="3345"/>
      <c r="AN125" s="3280"/>
      <c r="AO125" s="3347"/>
      <c r="AP125" s="3347"/>
      <c r="AQ125" s="3338"/>
    </row>
    <row r="126" spans="1:43" ht="74.25" customHeight="1" x14ac:dyDescent="0.2">
      <c r="A126" s="1581"/>
      <c r="B126" s="1582"/>
      <c r="C126" s="1583"/>
      <c r="D126" s="1582"/>
      <c r="E126" s="1582"/>
      <c r="F126" s="1583"/>
      <c r="G126" s="1591"/>
      <c r="H126" s="1592"/>
      <c r="I126" s="1593"/>
      <c r="J126" s="3328"/>
      <c r="K126" s="3331"/>
      <c r="L126" s="3328"/>
      <c r="M126" s="3328"/>
      <c r="N126" s="1590"/>
      <c r="O126" s="3328"/>
      <c r="P126" s="3272"/>
      <c r="Q126" s="3342"/>
      <c r="R126" s="2217"/>
      <c r="S126" s="3331"/>
      <c r="T126" s="3272"/>
      <c r="U126" s="1555" t="s">
        <v>1990</v>
      </c>
      <c r="V126" s="1421">
        <v>17240483</v>
      </c>
      <c r="W126" s="1594"/>
      <c r="X126" s="1590"/>
      <c r="Y126" s="3343"/>
      <c r="Z126" s="3343"/>
      <c r="AA126" s="3281"/>
      <c r="AB126" s="3281"/>
      <c r="AC126" s="3281"/>
      <c r="AD126" s="3281"/>
      <c r="AE126" s="3281"/>
      <c r="AF126" s="3281"/>
      <c r="AG126" s="3281"/>
      <c r="AH126" s="3281"/>
      <c r="AI126" s="3281"/>
      <c r="AJ126" s="3281"/>
      <c r="AK126" s="3281"/>
      <c r="AL126" s="3281"/>
      <c r="AM126" s="3346"/>
      <c r="AN126" s="3281"/>
      <c r="AO126" s="3347"/>
      <c r="AP126" s="3347"/>
      <c r="AQ126" s="3339"/>
    </row>
    <row r="127" spans="1:43" ht="38.25" customHeight="1" x14ac:dyDescent="0.2">
      <c r="A127" s="1518"/>
      <c r="B127" s="1519"/>
      <c r="C127" s="1520"/>
      <c r="D127" s="1519"/>
      <c r="E127" s="1519"/>
      <c r="F127" s="1520"/>
      <c r="G127" s="1551">
        <v>41</v>
      </c>
      <c r="H127" s="1524" t="s">
        <v>1991</v>
      </c>
      <c r="I127" s="1524"/>
      <c r="J127" s="1524"/>
      <c r="K127" s="1525"/>
      <c r="L127" s="1524"/>
      <c r="M127" s="1524"/>
      <c r="N127" s="1526"/>
      <c r="O127" s="1524"/>
      <c r="P127" s="1525"/>
      <c r="Q127" s="1524"/>
      <c r="R127" s="1552"/>
      <c r="S127" s="1524"/>
      <c r="T127" s="1525"/>
      <c r="U127" s="1525"/>
      <c r="V127" s="1553"/>
      <c r="W127" s="1554"/>
      <c r="X127" s="1526"/>
      <c r="Y127" s="1526"/>
      <c r="Z127" s="1526"/>
      <c r="AA127" s="1526"/>
      <c r="AB127" s="1526"/>
      <c r="AC127" s="1526"/>
      <c r="AD127" s="1526"/>
      <c r="AE127" s="1526"/>
      <c r="AF127" s="1526"/>
      <c r="AG127" s="1526"/>
      <c r="AH127" s="1526"/>
      <c r="AI127" s="1526"/>
      <c r="AJ127" s="1526"/>
      <c r="AK127" s="1526"/>
      <c r="AL127" s="1526"/>
      <c r="AM127" s="1526"/>
      <c r="AN127" s="1526"/>
      <c r="AO127" s="1524"/>
      <c r="AP127" s="1524"/>
      <c r="AQ127" s="1531"/>
    </row>
    <row r="128" spans="1:43" ht="57.75" customHeight="1" x14ac:dyDescent="0.2">
      <c r="A128" s="1532"/>
      <c r="B128" s="1533"/>
      <c r="C128" s="1534"/>
      <c r="D128" s="1533"/>
      <c r="E128" s="1533"/>
      <c r="F128" s="1534"/>
      <c r="G128" s="1535"/>
      <c r="H128" s="1536"/>
      <c r="I128" s="1537"/>
      <c r="J128" s="3267">
        <v>147</v>
      </c>
      <c r="K128" s="3270" t="s">
        <v>1992</v>
      </c>
      <c r="L128" s="3267" t="s">
        <v>1804</v>
      </c>
      <c r="M128" s="3267">
        <v>14</v>
      </c>
      <c r="N128" s="3267" t="s">
        <v>1993</v>
      </c>
      <c r="O128" s="3267">
        <v>143</v>
      </c>
      <c r="P128" s="3270" t="s">
        <v>1994</v>
      </c>
      <c r="Q128" s="2797">
        <f>(V128+V129+V130)/R128</f>
        <v>0.5</v>
      </c>
      <c r="R128" s="2824">
        <f>SUM(V128:V134)</f>
        <v>20000000</v>
      </c>
      <c r="S128" s="3270" t="s">
        <v>1995</v>
      </c>
      <c r="T128" s="3270" t="s">
        <v>1996</v>
      </c>
      <c r="U128" s="1555" t="s">
        <v>1997</v>
      </c>
      <c r="V128" s="1421">
        <v>6850000</v>
      </c>
      <c r="W128" s="3292">
        <v>61</v>
      </c>
      <c r="X128" s="3267" t="s">
        <v>1810</v>
      </c>
      <c r="Y128" s="3267">
        <v>292684</v>
      </c>
      <c r="Z128" s="3267">
        <v>282326</v>
      </c>
      <c r="AA128" s="3279">
        <v>135912</v>
      </c>
      <c r="AB128" s="3279">
        <v>45122</v>
      </c>
      <c r="AC128" s="3279">
        <f t="shared" ref="AC128:AD128" si="0">AC118</f>
        <v>307101</v>
      </c>
      <c r="AD128" s="3279">
        <f t="shared" si="0"/>
        <v>86875</v>
      </c>
      <c r="AE128" s="3279">
        <v>2145</v>
      </c>
      <c r="AF128" s="3279">
        <v>12718</v>
      </c>
      <c r="AG128" s="3279">
        <v>26</v>
      </c>
      <c r="AH128" s="3279">
        <v>37</v>
      </c>
      <c r="AI128" s="3279" t="s">
        <v>1811</v>
      </c>
      <c r="AJ128" s="3279" t="s">
        <v>1811</v>
      </c>
      <c r="AK128" s="3279">
        <v>53164</v>
      </c>
      <c r="AL128" s="3279">
        <v>16982</v>
      </c>
      <c r="AM128" s="3279">
        <v>60013</v>
      </c>
      <c r="AN128" s="3279">
        <v>575010</v>
      </c>
      <c r="AO128" s="3285">
        <v>43101</v>
      </c>
      <c r="AP128" s="3285">
        <v>43465</v>
      </c>
      <c r="AQ128" s="3288" t="s">
        <v>1812</v>
      </c>
    </row>
    <row r="129" spans="1:43" ht="60" x14ac:dyDescent="0.2">
      <c r="A129" s="1532"/>
      <c r="B129" s="1533"/>
      <c r="C129" s="1534"/>
      <c r="D129" s="1533"/>
      <c r="E129" s="1533"/>
      <c r="F129" s="1534"/>
      <c r="G129" s="1540"/>
      <c r="H129" s="1533"/>
      <c r="I129" s="1534"/>
      <c r="J129" s="3268"/>
      <c r="K129" s="3271"/>
      <c r="L129" s="3268"/>
      <c r="M129" s="3268"/>
      <c r="N129" s="3268"/>
      <c r="O129" s="3268"/>
      <c r="P129" s="3271"/>
      <c r="Q129" s="2798"/>
      <c r="R129" s="2825"/>
      <c r="S129" s="3271"/>
      <c r="T129" s="3271"/>
      <c r="U129" s="1555" t="s">
        <v>1998</v>
      </c>
      <c r="V129" s="1421">
        <v>2000000</v>
      </c>
      <c r="W129" s="3293"/>
      <c r="X129" s="3268"/>
      <c r="Y129" s="3268"/>
      <c r="Z129" s="3268"/>
      <c r="AA129" s="3280"/>
      <c r="AB129" s="3280"/>
      <c r="AC129" s="3280"/>
      <c r="AD129" s="3280"/>
      <c r="AE129" s="3280"/>
      <c r="AF129" s="3280"/>
      <c r="AG129" s="3280"/>
      <c r="AH129" s="3280"/>
      <c r="AI129" s="3280"/>
      <c r="AJ129" s="3280"/>
      <c r="AK129" s="3280"/>
      <c r="AL129" s="3280"/>
      <c r="AM129" s="3280"/>
      <c r="AN129" s="3280"/>
      <c r="AO129" s="3286"/>
      <c r="AP129" s="3286"/>
      <c r="AQ129" s="3289"/>
    </row>
    <row r="130" spans="1:43" ht="76.5" customHeight="1" x14ac:dyDescent="0.2">
      <c r="A130" s="1532"/>
      <c r="B130" s="1533"/>
      <c r="C130" s="1534"/>
      <c r="D130" s="1533"/>
      <c r="E130" s="1533"/>
      <c r="F130" s="1534"/>
      <c r="G130" s="1540"/>
      <c r="H130" s="1533"/>
      <c r="I130" s="1534"/>
      <c r="J130" s="3269"/>
      <c r="K130" s="3272"/>
      <c r="L130" s="3269"/>
      <c r="M130" s="3269"/>
      <c r="N130" s="3268"/>
      <c r="O130" s="3268"/>
      <c r="P130" s="3271"/>
      <c r="Q130" s="2799"/>
      <c r="R130" s="2825"/>
      <c r="S130" s="3271"/>
      <c r="T130" s="3272"/>
      <c r="U130" s="1555" t="s">
        <v>1999</v>
      </c>
      <c r="V130" s="1421">
        <v>1150000</v>
      </c>
      <c r="W130" s="3293"/>
      <c r="X130" s="3268"/>
      <c r="Y130" s="3268"/>
      <c r="Z130" s="3268"/>
      <c r="AA130" s="3280"/>
      <c r="AB130" s="3280"/>
      <c r="AC130" s="3280"/>
      <c r="AD130" s="3280"/>
      <c r="AE130" s="3280"/>
      <c r="AF130" s="3280"/>
      <c r="AG130" s="3280"/>
      <c r="AH130" s="3280"/>
      <c r="AI130" s="3280"/>
      <c r="AJ130" s="3280"/>
      <c r="AK130" s="3280"/>
      <c r="AL130" s="3280"/>
      <c r="AM130" s="3280"/>
      <c r="AN130" s="3280"/>
      <c r="AO130" s="3286"/>
      <c r="AP130" s="3286"/>
      <c r="AQ130" s="3289"/>
    </row>
    <row r="131" spans="1:43" ht="94.5" customHeight="1" x14ac:dyDescent="0.2">
      <c r="A131" s="1532"/>
      <c r="B131" s="1533"/>
      <c r="C131" s="1534"/>
      <c r="D131" s="1533"/>
      <c r="E131" s="1533"/>
      <c r="F131" s="1534"/>
      <c r="G131" s="1540"/>
      <c r="H131" s="1533"/>
      <c r="I131" s="1534"/>
      <c r="J131" s="3267">
        <v>148</v>
      </c>
      <c r="K131" s="3270" t="s">
        <v>2000</v>
      </c>
      <c r="L131" s="3267" t="s">
        <v>1804</v>
      </c>
      <c r="M131" s="3267">
        <v>11</v>
      </c>
      <c r="N131" s="3268"/>
      <c r="O131" s="3268"/>
      <c r="P131" s="3271"/>
      <c r="Q131" s="2797">
        <f>(V131+V132+V133+V134)/R128</f>
        <v>0.5</v>
      </c>
      <c r="R131" s="2825"/>
      <c r="S131" s="3271"/>
      <c r="T131" s="3270" t="s">
        <v>2001</v>
      </c>
      <c r="U131" s="1555" t="s">
        <v>2002</v>
      </c>
      <c r="V131" s="1421">
        <v>7850000</v>
      </c>
      <c r="W131" s="3293"/>
      <c r="X131" s="3268"/>
      <c r="Y131" s="3268"/>
      <c r="Z131" s="3268"/>
      <c r="AA131" s="3280"/>
      <c r="AB131" s="3280"/>
      <c r="AC131" s="3280"/>
      <c r="AD131" s="3280"/>
      <c r="AE131" s="3280"/>
      <c r="AF131" s="3280"/>
      <c r="AG131" s="3280"/>
      <c r="AH131" s="3280"/>
      <c r="AI131" s="3280"/>
      <c r="AJ131" s="3280"/>
      <c r="AK131" s="3280"/>
      <c r="AL131" s="3280"/>
      <c r="AM131" s="3280"/>
      <c r="AN131" s="3280"/>
      <c r="AO131" s="3286"/>
      <c r="AP131" s="3286"/>
      <c r="AQ131" s="3289"/>
    </row>
    <row r="132" spans="1:43" ht="45" x14ac:dyDescent="0.2">
      <c r="A132" s="1532"/>
      <c r="B132" s="1533"/>
      <c r="C132" s="1534"/>
      <c r="D132" s="1533"/>
      <c r="E132" s="1533"/>
      <c r="F132" s="1534"/>
      <c r="G132" s="1540"/>
      <c r="H132" s="1533"/>
      <c r="I132" s="1534"/>
      <c r="J132" s="3268"/>
      <c r="K132" s="3271"/>
      <c r="L132" s="3268"/>
      <c r="M132" s="3268"/>
      <c r="N132" s="3268"/>
      <c r="O132" s="3268"/>
      <c r="P132" s="3271"/>
      <c r="Q132" s="2798"/>
      <c r="R132" s="2825"/>
      <c r="S132" s="3271"/>
      <c r="T132" s="3271"/>
      <c r="U132" s="1555" t="s">
        <v>2003</v>
      </c>
      <c r="V132" s="1421">
        <v>500000</v>
      </c>
      <c r="W132" s="3293"/>
      <c r="X132" s="3268"/>
      <c r="Y132" s="3268"/>
      <c r="Z132" s="3268"/>
      <c r="AA132" s="3280"/>
      <c r="AB132" s="3280"/>
      <c r="AC132" s="3280"/>
      <c r="AD132" s="3280"/>
      <c r="AE132" s="3280"/>
      <c r="AF132" s="3280"/>
      <c r="AG132" s="3280"/>
      <c r="AH132" s="3280"/>
      <c r="AI132" s="3280"/>
      <c r="AJ132" s="3280"/>
      <c r="AK132" s="3280"/>
      <c r="AL132" s="3280"/>
      <c r="AM132" s="3280"/>
      <c r="AN132" s="3280"/>
      <c r="AO132" s="3286"/>
      <c r="AP132" s="3286"/>
      <c r="AQ132" s="3289"/>
    </row>
    <row r="133" spans="1:43" ht="45" x14ac:dyDescent="0.2">
      <c r="A133" s="1532"/>
      <c r="B133" s="1533"/>
      <c r="C133" s="1534"/>
      <c r="D133" s="1533"/>
      <c r="E133" s="1533"/>
      <c r="F133" s="1534"/>
      <c r="G133" s="1540"/>
      <c r="H133" s="1533"/>
      <c r="I133" s="1534"/>
      <c r="J133" s="3268"/>
      <c r="K133" s="3271"/>
      <c r="L133" s="3268"/>
      <c r="M133" s="3268"/>
      <c r="N133" s="3268"/>
      <c r="O133" s="3268"/>
      <c r="P133" s="3271"/>
      <c r="Q133" s="2798"/>
      <c r="R133" s="2825"/>
      <c r="S133" s="3271"/>
      <c r="T133" s="3271"/>
      <c r="U133" s="1555" t="s">
        <v>2004</v>
      </c>
      <c r="V133" s="1421">
        <v>500000</v>
      </c>
      <c r="W133" s="3293"/>
      <c r="X133" s="3268"/>
      <c r="Y133" s="3268"/>
      <c r="Z133" s="3268"/>
      <c r="AA133" s="3280"/>
      <c r="AB133" s="3280"/>
      <c r="AC133" s="3280"/>
      <c r="AD133" s="3280"/>
      <c r="AE133" s="3280"/>
      <c r="AF133" s="3280"/>
      <c r="AG133" s="3280"/>
      <c r="AH133" s="3280"/>
      <c r="AI133" s="3280"/>
      <c r="AJ133" s="3280"/>
      <c r="AK133" s="3280"/>
      <c r="AL133" s="3280"/>
      <c r="AM133" s="3280"/>
      <c r="AN133" s="3280"/>
      <c r="AO133" s="3286"/>
      <c r="AP133" s="3286"/>
      <c r="AQ133" s="3289"/>
    </row>
    <row r="134" spans="1:43" ht="75" x14ac:dyDescent="0.2">
      <c r="A134" s="1532"/>
      <c r="B134" s="1533"/>
      <c r="C134" s="1534"/>
      <c r="D134" s="1533"/>
      <c r="E134" s="1533"/>
      <c r="F134" s="1534"/>
      <c r="G134" s="1544"/>
      <c r="H134" s="1542"/>
      <c r="I134" s="1543"/>
      <c r="J134" s="3269"/>
      <c r="K134" s="3272"/>
      <c r="L134" s="3269"/>
      <c r="M134" s="3269"/>
      <c r="N134" s="3269"/>
      <c r="O134" s="3269"/>
      <c r="P134" s="3272"/>
      <c r="Q134" s="2799"/>
      <c r="R134" s="2826"/>
      <c r="S134" s="3272"/>
      <c r="T134" s="3272"/>
      <c r="U134" s="1555" t="s">
        <v>2005</v>
      </c>
      <c r="V134" s="1421">
        <v>1150000</v>
      </c>
      <c r="W134" s="3294"/>
      <c r="X134" s="3269"/>
      <c r="Y134" s="3269"/>
      <c r="Z134" s="3269"/>
      <c r="AA134" s="3281"/>
      <c r="AB134" s="3281"/>
      <c r="AC134" s="3281"/>
      <c r="AD134" s="3281"/>
      <c r="AE134" s="3281"/>
      <c r="AF134" s="3281"/>
      <c r="AG134" s="3281"/>
      <c r="AH134" s="3281"/>
      <c r="AI134" s="3281"/>
      <c r="AJ134" s="3281"/>
      <c r="AK134" s="3281"/>
      <c r="AL134" s="3281"/>
      <c r="AM134" s="3281"/>
      <c r="AN134" s="3281"/>
      <c r="AO134" s="3287"/>
      <c r="AP134" s="3287"/>
      <c r="AQ134" s="3290"/>
    </row>
    <row r="135" spans="1:43" ht="36" customHeight="1" x14ac:dyDescent="0.2">
      <c r="A135" s="1518"/>
      <c r="B135" s="1519"/>
      <c r="C135" s="1520"/>
      <c r="D135" s="1519"/>
      <c r="E135" s="1519"/>
      <c r="F135" s="1520"/>
      <c r="G135" s="1551">
        <v>42</v>
      </c>
      <c r="H135" s="1524" t="s">
        <v>2006</v>
      </c>
      <c r="I135" s="1524"/>
      <c r="J135" s="1524"/>
      <c r="K135" s="1525"/>
      <c r="L135" s="1524"/>
      <c r="M135" s="1524"/>
      <c r="N135" s="1526"/>
      <c r="O135" s="1524"/>
      <c r="P135" s="1525"/>
      <c r="Q135" s="1524"/>
      <c r="R135" s="1552"/>
      <c r="S135" s="1524"/>
      <c r="T135" s="1525"/>
      <c r="U135" s="1525"/>
      <c r="V135" s="1553"/>
      <c r="W135" s="1554"/>
      <c r="X135" s="1526"/>
      <c r="Y135" s="1526"/>
      <c r="Z135" s="1526"/>
      <c r="AA135" s="1526"/>
      <c r="AB135" s="1526"/>
      <c r="AC135" s="1526"/>
      <c r="AD135" s="1526"/>
      <c r="AE135" s="1526"/>
      <c r="AF135" s="1526"/>
      <c r="AG135" s="1526"/>
      <c r="AH135" s="1526"/>
      <c r="AI135" s="1526"/>
      <c r="AJ135" s="1526"/>
      <c r="AK135" s="1526"/>
      <c r="AL135" s="1526"/>
      <c r="AM135" s="1526"/>
      <c r="AN135" s="1526"/>
      <c r="AO135" s="1524"/>
      <c r="AP135" s="1524"/>
      <c r="AQ135" s="1531"/>
    </row>
    <row r="136" spans="1:43" ht="81" customHeight="1" x14ac:dyDescent="0.2">
      <c r="A136" s="1532"/>
      <c r="B136" s="1533"/>
      <c r="C136" s="1534"/>
      <c r="D136" s="1533"/>
      <c r="E136" s="1533"/>
      <c r="F136" s="1534"/>
      <c r="G136" s="1535"/>
      <c r="H136" s="1536"/>
      <c r="I136" s="1537"/>
      <c r="J136" s="3267">
        <v>149</v>
      </c>
      <c r="K136" s="3270" t="s">
        <v>2007</v>
      </c>
      <c r="L136" s="3267" t="s">
        <v>1804</v>
      </c>
      <c r="M136" s="3267">
        <v>8</v>
      </c>
      <c r="N136" s="3267" t="s">
        <v>2008</v>
      </c>
      <c r="O136" s="3267">
        <v>145</v>
      </c>
      <c r="P136" s="3270" t="s">
        <v>2009</v>
      </c>
      <c r="Q136" s="2797">
        <f>(V136+V140+V141+V137+V138+V139)/R136</f>
        <v>0.52380952380952384</v>
      </c>
      <c r="R136" s="2824">
        <f>SUM(V136:V146)</f>
        <v>63000000</v>
      </c>
      <c r="S136" s="3270" t="s">
        <v>2010</v>
      </c>
      <c r="T136" s="3270" t="s">
        <v>2011</v>
      </c>
      <c r="U136" s="1555" t="s">
        <v>2012</v>
      </c>
      <c r="V136" s="1421">
        <v>8000000</v>
      </c>
      <c r="W136" s="3292">
        <v>61</v>
      </c>
      <c r="X136" s="3267" t="s">
        <v>1810</v>
      </c>
      <c r="Y136" s="3267">
        <v>292684</v>
      </c>
      <c r="Z136" s="3267">
        <v>282326</v>
      </c>
      <c r="AA136" s="3279">
        <v>135912</v>
      </c>
      <c r="AB136" s="3279">
        <v>45122</v>
      </c>
      <c r="AC136" s="3279">
        <f t="shared" ref="AC136:AD136" si="1">AC128</f>
        <v>307101</v>
      </c>
      <c r="AD136" s="3279">
        <f t="shared" si="1"/>
        <v>86875</v>
      </c>
      <c r="AE136" s="3279">
        <v>2145</v>
      </c>
      <c r="AF136" s="3279">
        <v>12718</v>
      </c>
      <c r="AG136" s="3279">
        <v>26</v>
      </c>
      <c r="AH136" s="3279">
        <v>37</v>
      </c>
      <c r="AI136" s="3279" t="s">
        <v>1811</v>
      </c>
      <c r="AJ136" s="3313" t="s">
        <v>1811</v>
      </c>
      <c r="AK136" s="3279">
        <v>53164</v>
      </c>
      <c r="AL136" s="3279">
        <v>16982</v>
      </c>
      <c r="AM136" s="3313">
        <v>60013</v>
      </c>
      <c r="AN136" s="3279">
        <v>575010</v>
      </c>
      <c r="AO136" s="3285">
        <v>43101</v>
      </c>
      <c r="AP136" s="3285">
        <v>43465</v>
      </c>
      <c r="AQ136" s="3288" t="s">
        <v>1812</v>
      </c>
    </row>
    <row r="137" spans="1:43" ht="75" x14ac:dyDescent="0.2">
      <c r="A137" s="1532"/>
      <c r="B137" s="1533"/>
      <c r="C137" s="1534"/>
      <c r="D137" s="1533"/>
      <c r="E137" s="1533"/>
      <c r="F137" s="1534"/>
      <c r="G137" s="1540"/>
      <c r="H137" s="1533"/>
      <c r="I137" s="1534"/>
      <c r="J137" s="3268"/>
      <c r="K137" s="3271"/>
      <c r="L137" s="3268"/>
      <c r="M137" s="3268"/>
      <c r="N137" s="3268"/>
      <c r="O137" s="3268"/>
      <c r="P137" s="3271"/>
      <c r="Q137" s="2798"/>
      <c r="R137" s="2825"/>
      <c r="S137" s="3271"/>
      <c r="T137" s="3271"/>
      <c r="U137" s="1555" t="s">
        <v>2013</v>
      </c>
      <c r="V137" s="1421">
        <v>8000000</v>
      </c>
      <c r="W137" s="3293"/>
      <c r="X137" s="3268"/>
      <c r="Y137" s="3268"/>
      <c r="Z137" s="3268"/>
      <c r="AA137" s="3280"/>
      <c r="AB137" s="3280"/>
      <c r="AC137" s="3280"/>
      <c r="AD137" s="3280"/>
      <c r="AE137" s="3280"/>
      <c r="AF137" s="3280"/>
      <c r="AG137" s="3280"/>
      <c r="AH137" s="3280"/>
      <c r="AI137" s="3280"/>
      <c r="AJ137" s="3314"/>
      <c r="AK137" s="3280"/>
      <c r="AL137" s="3280"/>
      <c r="AM137" s="3314"/>
      <c r="AN137" s="3280"/>
      <c r="AO137" s="3286"/>
      <c r="AP137" s="3286"/>
      <c r="AQ137" s="3289"/>
    </row>
    <row r="138" spans="1:43" ht="75" x14ac:dyDescent="0.2">
      <c r="A138" s="1532"/>
      <c r="B138" s="1533"/>
      <c r="C138" s="1534"/>
      <c r="D138" s="1533"/>
      <c r="E138" s="1533"/>
      <c r="F138" s="1534"/>
      <c r="G138" s="1540"/>
      <c r="H138" s="1533"/>
      <c r="I138" s="1534"/>
      <c r="J138" s="3268"/>
      <c r="K138" s="3271"/>
      <c r="L138" s="3268"/>
      <c r="M138" s="3268"/>
      <c r="N138" s="3268"/>
      <c r="O138" s="3268"/>
      <c r="P138" s="3271"/>
      <c r="Q138" s="2798"/>
      <c r="R138" s="2825"/>
      <c r="S138" s="3271"/>
      <c r="T138" s="3271"/>
      <c r="U138" s="1555" t="s">
        <v>2014</v>
      </c>
      <c r="V138" s="1421">
        <v>8000000</v>
      </c>
      <c r="W138" s="3293"/>
      <c r="X138" s="3268"/>
      <c r="Y138" s="3268"/>
      <c r="Z138" s="3268"/>
      <c r="AA138" s="3280"/>
      <c r="AB138" s="3280"/>
      <c r="AC138" s="3280"/>
      <c r="AD138" s="3280"/>
      <c r="AE138" s="3280"/>
      <c r="AF138" s="3280"/>
      <c r="AG138" s="3280"/>
      <c r="AH138" s="3280"/>
      <c r="AI138" s="3280"/>
      <c r="AJ138" s="3314"/>
      <c r="AK138" s="3280"/>
      <c r="AL138" s="3280"/>
      <c r="AM138" s="3314"/>
      <c r="AN138" s="3280"/>
      <c r="AO138" s="3286"/>
      <c r="AP138" s="3286"/>
      <c r="AQ138" s="3289"/>
    </row>
    <row r="139" spans="1:43" ht="75" x14ac:dyDescent="0.2">
      <c r="A139" s="1532"/>
      <c r="B139" s="1533"/>
      <c r="C139" s="1534"/>
      <c r="D139" s="1533"/>
      <c r="E139" s="1533"/>
      <c r="F139" s="1534"/>
      <c r="G139" s="1540"/>
      <c r="H139" s="1533"/>
      <c r="I139" s="1534"/>
      <c r="J139" s="3268"/>
      <c r="K139" s="3271"/>
      <c r="L139" s="3268"/>
      <c r="M139" s="3268"/>
      <c r="N139" s="3268"/>
      <c r="O139" s="3268"/>
      <c r="P139" s="3271"/>
      <c r="Q139" s="2798"/>
      <c r="R139" s="2825"/>
      <c r="S139" s="3271"/>
      <c r="T139" s="3271"/>
      <c r="U139" s="1555" t="s">
        <v>2015</v>
      </c>
      <c r="V139" s="1421">
        <v>1000000</v>
      </c>
      <c r="W139" s="3293"/>
      <c r="X139" s="3268"/>
      <c r="Y139" s="3268"/>
      <c r="Z139" s="3268"/>
      <c r="AA139" s="3280"/>
      <c r="AB139" s="3280"/>
      <c r="AC139" s="3280"/>
      <c r="AD139" s="3280"/>
      <c r="AE139" s="3280"/>
      <c r="AF139" s="3280"/>
      <c r="AG139" s="3280"/>
      <c r="AH139" s="3280"/>
      <c r="AI139" s="3280"/>
      <c r="AJ139" s="3314"/>
      <c r="AK139" s="3280"/>
      <c r="AL139" s="3280"/>
      <c r="AM139" s="3314"/>
      <c r="AN139" s="3280"/>
      <c r="AO139" s="3286"/>
      <c r="AP139" s="3286"/>
      <c r="AQ139" s="3289"/>
    </row>
    <row r="140" spans="1:43" ht="60" x14ac:dyDescent="0.2">
      <c r="A140" s="1532"/>
      <c r="B140" s="1533"/>
      <c r="C140" s="1534"/>
      <c r="D140" s="1533"/>
      <c r="E140" s="1533"/>
      <c r="F140" s="1534"/>
      <c r="G140" s="1540"/>
      <c r="H140" s="1533"/>
      <c r="I140" s="1534"/>
      <c r="J140" s="3268"/>
      <c r="K140" s="3271"/>
      <c r="L140" s="3268"/>
      <c r="M140" s="3268"/>
      <c r="N140" s="3268"/>
      <c r="O140" s="3268"/>
      <c r="P140" s="3271"/>
      <c r="Q140" s="2798"/>
      <c r="R140" s="2825"/>
      <c r="S140" s="3271"/>
      <c r="T140" s="3271"/>
      <c r="U140" s="1555" t="s">
        <v>2016</v>
      </c>
      <c r="V140" s="1421">
        <v>7000000</v>
      </c>
      <c r="W140" s="3293"/>
      <c r="X140" s="3268"/>
      <c r="Y140" s="3268"/>
      <c r="Z140" s="3268"/>
      <c r="AA140" s="3280"/>
      <c r="AB140" s="3280"/>
      <c r="AC140" s="3280"/>
      <c r="AD140" s="3280"/>
      <c r="AE140" s="3280"/>
      <c r="AF140" s="3280"/>
      <c r="AG140" s="3280"/>
      <c r="AH140" s="3280"/>
      <c r="AI140" s="3280"/>
      <c r="AJ140" s="3314"/>
      <c r="AK140" s="3280"/>
      <c r="AL140" s="3280"/>
      <c r="AM140" s="3314"/>
      <c r="AN140" s="3280"/>
      <c r="AO140" s="3286"/>
      <c r="AP140" s="3286"/>
      <c r="AQ140" s="3289"/>
    </row>
    <row r="141" spans="1:43" ht="67.5" customHeight="1" x14ac:dyDescent="0.2">
      <c r="A141" s="1532"/>
      <c r="B141" s="1533"/>
      <c r="C141" s="1534"/>
      <c r="D141" s="1533"/>
      <c r="E141" s="1533"/>
      <c r="F141" s="1534"/>
      <c r="G141" s="1540"/>
      <c r="H141" s="1533"/>
      <c r="I141" s="1534"/>
      <c r="J141" s="3269"/>
      <c r="K141" s="3272"/>
      <c r="L141" s="3269"/>
      <c r="M141" s="3269"/>
      <c r="N141" s="3268"/>
      <c r="O141" s="3268"/>
      <c r="P141" s="3271"/>
      <c r="Q141" s="2799"/>
      <c r="R141" s="2825"/>
      <c r="S141" s="3271"/>
      <c r="T141" s="3272"/>
      <c r="U141" s="1555" t="s">
        <v>2017</v>
      </c>
      <c r="V141" s="1421">
        <v>1000000</v>
      </c>
      <c r="W141" s="3293"/>
      <c r="X141" s="3268"/>
      <c r="Y141" s="3268"/>
      <c r="Z141" s="3268"/>
      <c r="AA141" s="3280"/>
      <c r="AB141" s="3280"/>
      <c r="AC141" s="3280"/>
      <c r="AD141" s="3280"/>
      <c r="AE141" s="3280"/>
      <c r="AF141" s="3280"/>
      <c r="AG141" s="3280"/>
      <c r="AH141" s="3280"/>
      <c r="AI141" s="3280"/>
      <c r="AJ141" s="3314"/>
      <c r="AK141" s="3280"/>
      <c r="AL141" s="3280"/>
      <c r="AM141" s="3314"/>
      <c r="AN141" s="3280"/>
      <c r="AO141" s="3286"/>
      <c r="AP141" s="3286"/>
      <c r="AQ141" s="3289"/>
    </row>
    <row r="142" spans="1:43" ht="60" x14ac:dyDescent="0.2">
      <c r="A142" s="1532"/>
      <c r="B142" s="1533"/>
      <c r="C142" s="1534"/>
      <c r="D142" s="1533"/>
      <c r="E142" s="1533"/>
      <c r="F142" s="1534"/>
      <c r="G142" s="1540"/>
      <c r="H142" s="1533"/>
      <c r="I142" s="1534"/>
      <c r="J142" s="3267">
        <v>150</v>
      </c>
      <c r="K142" s="3270" t="s">
        <v>2018</v>
      </c>
      <c r="L142" s="3267" t="s">
        <v>1804</v>
      </c>
      <c r="M142" s="3267">
        <v>14</v>
      </c>
      <c r="N142" s="3268"/>
      <c r="O142" s="3268"/>
      <c r="P142" s="3271"/>
      <c r="Q142" s="2797">
        <f>(V142+V145+V146+V143+V144)/R136</f>
        <v>0.47619047619047616</v>
      </c>
      <c r="R142" s="2825"/>
      <c r="S142" s="3271"/>
      <c r="T142" s="3270" t="s">
        <v>2019</v>
      </c>
      <c r="U142" s="1555" t="s">
        <v>2020</v>
      </c>
      <c r="V142" s="1421">
        <v>9000000</v>
      </c>
      <c r="W142" s="3293"/>
      <c r="X142" s="3268"/>
      <c r="Y142" s="3268"/>
      <c r="Z142" s="3268"/>
      <c r="AA142" s="3280"/>
      <c r="AB142" s="3280"/>
      <c r="AC142" s="3280"/>
      <c r="AD142" s="3280"/>
      <c r="AE142" s="3280"/>
      <c r="AF142" s="3280"/>
      <c r="AG142" s="3280"/>
      <c r="AH142" s="3280"/>
      <c r="AI142" s="3280"/>
      <c r="AJ142" s="3314"/>
      <c r="AK142" s="3280"/>
      <c r="AL142" s="3280"/>
      <c r="AM142" s="3314"/>
      <c r="AN142" s="3280"/>
      <c r="AO142" s="3286"/>
      <c r="AP142" s="3286"/>
      <c r="AQ142" s="3289"/>
    </row>
    <row r="143" spans="1:43" ht="60" x14ac:dyDescent="0.2">
      <c r="A143" s="1532"/>
      <c r="B143" s="1533"/>
      <c r="C143" s="1534"/>
      <c r="D143" s="1533"/>
      <c r="E143" s="1533"/>
      <c r="F143" s="1534"/>
      <c r="G143" s="1540"/>
      <c r="H143" s="1533"/>
      <c r="I143" s="1534"/>
      <c r="J143" s="3268"/>
      <c r="K143" s="3271"/>
      <c r="L143" s="3268"/>
      <c r="M143" s="3268"/>
      <c r="N143" s="3268"/>
      <c r="O143" s="3268"/>
      <c r="P143" s="3271"/>
      <c r="Q143" s="2798"/>
      <c r="R143" s="2825"/>
      <c r="S143" s="3271"/>
      <c r="T143" s="3271"/>
      <c r="U143" s="1555" t="s">
        <v>2021</v>
      </c>
      <c r="V143" s="1421">
        <v>6000000</v>
      </c>
      <c r="W143" s="3293"/>
      <c r="X143" s="3268"/>
      <c r="Y143" s="3268"/>
      <c r="Z143" s="3268"/>
      <c r="AA143" s="3280"/>
      <c r="AB143" s="3280"/>
      <c r="AC143" s="3280"/>
      <c r="AD143" s="3280"/>
      <c r="AE143" s="3280"/>
      <c r="AF143" s="3280"/>
      <c r="AG143" s="3280"/>
      <c r="AH143" s="3280"/>
      <c r="AI143" s="3280"/>
      <c r="AJ143" s="3314"/>
      <c r="AK143" s="3280"/>
      <c r="AL143" s="3280"/>
      <c r="AM143" s="3314"/>
      <c r="AN143" s="3280"/>
      <c r="AO143" s="3286"/>
      <c r="AP143" s="3286"/>
      <c r="AQ143" s="3289"/>
    </row>
    <row r="144" spans="1:43" ht="90" x14ac:dyDescent="0.2">
      <c r="A144" s="1532"/>
      <c r="B144" s="1533"/>
      <c r="C144" s="1534"/>
      <c r="D144" s="1533"/>
      <c r="E144" s="1533"/>
      <c r="F144" s="1534"/>
      <c r="G144" s="1540"/>
      <c r="H144" s="1533"/>
      <c r="I144" s="1534"/>
      <c r="J144" s="3268"/>
      <c r="K144" s="3271"/>
      <c r="L144" s="3268"/>
      <c r="M144" s="3268"/>
      <c r="N144" s="3268"/>
      <c r="O144" s="3268"/>
      <c r="P144" s="3271"/>
      <c r="Q144" s="2798"/>
      <c r="R144" s="2825"/>
      <c r="S144" s="3271"/>
      <c r="T144" s="3271"/>
      <c r="U144" s="1555" t="s">
        <v>2022</v>
      </c>
      <c r="V144" s="1421">
        <v>9000000</v>
      </c>
      <c r="W144" s="3293"/>
      <c r="X144" s="3268"/>
      <c r="Y144" s="3268"/>
      <c r="Z144" s="3268"/>
      <c r="AA144" s="3280"/>
      <c r="AB144" s="3280"/>
      <c r="AC144" s="3280"/>
      <c r="AD144" s="3280"/>
      <c r="AE144" s="3280"/>
      <c r="AF144" s="3280"/>
      <c r="AG144" s="3280"/>
      <c r="AH144" s="3280"/>
      <c r="AI144" s="3280"/>
      <c r="AJ144" s="3314"/>
      <c r="AK144" s="3280"/>
      <c r="AL144" s="3280"/>
      <c r="AM144" s="3314"/>
      <c r="AN144" s="3280"/>
      <c r="AO144" s="3286"/>
      <c r="AP144" s="3286"/>
      <c r="AQ144" s="3289"/>
    </row>
    <row r="145" spans="1:43" ht="58.5" customHeight="1" x14ac:dyDescent="0.2">
      <c r="A145" s="1532"/>
      <c r="B145" s="1533"/>
      <c r="C145" s="1534"/>
      <c r="D145" s="1533"/>
      <c r="E145" s="1533"/>
      <c r="F145" s="1534"/>
      <c r="G145" s="1540"/>
      <c r="H145" s="1533"/>
      <c r="I145" s="1534"/>
      <c r="J145" s="3268"/>
      <c r="K145" s="3271"/>
      <c r="L145" s="3268"/>
      <c r="M145" s="3268"/>
      <c r="N145" s="3268"/>
      <c r="O145" s="3268"/>
      <c r="P145" s="3271"/>
      <c r="Q145" s="2798"/>
      <c r="R145" s="2825"/>
      <c r="S145" s="3271"/>
      <c r="T145" s="3271"/>
      <c r="U145" s="1555" t="s">
        <v>2023</v>
      </c>
      <c r="V145" s="1421">
        <v>1000000</v>
      </c>
      <c r="W145" s="3293"/>
      <c r="X145" s="3268"/>
      <c r="Y145" s="3268"/>
      <c r="Z145" s="3268"/>
      <c r="AA145" s="3280"/>
      <c r="AB145" s="3280"/>
      <c r="AC145" s="3280"/>
      <c r="AD145" s="3280"/>
      <c r="AE145" s="3280"/>
      <c r="AF145" s="3280"/>
      <c r="AG145" s="3280"/>
      <c r="AH145" s="3280"/>
      <c r="AI145" s="3280"/>
      <c r="AJ145" s="3314"/>
      <c r="AK145" s="3280"/>
      <c r="AL145" s="3280"/>
      <c r="AM145" s="3314"/>
      <c r="AN145" s="3280"/>
      <c r="AO145" s="3286"/>
      <c r="AP145" s="3286"/>
      <c r="AQ145" s="3289"/>
    </row>
    <row r="146" spans="1:43" ht="45" x14ac:dyDescent="0.2">
      <c r="A146" s="1532"/>
      <c r="B146" s="1533"/>
      <c r="C146" s="1534"/>
      <c r="D146" s="1533"/>
      <c r="E146" s="1533"/>
      <c r="F146" s="1534"/>
      <c r="G146" s="1544"/>
      <c r="H146" s="1542"/>
      <c r="I146" s="1543"/>
      <c r="J146" s="3269"/>
      <c r="K146" s="3272"/>
      <c r="L146" s="3269"/>
      <c r="M146" s="3269"/>
      <c r="N146" s="3269"/>
      <c r="O146" s="3269"/>
      <c r="P146" s="3272"/>
      <c r="Q146" s="2799"/>
      <c r="R146" s="2826"/>
      <c r="S146" s="3272"/>
      <c r="T146" s="3272"/>
      <c r="U146" s="1555" t="s">
        <v>2024</v>
      </c>
      <c r="V146" s="1421">
        <v>5000000</v>
      </c>
      <c r="W146" s="3294"/>
      <c r="X146" s="3269"/>
      <c r="Y146" s="3269"/>
      <c r="Z146" s="3269"/>
      <c r="AA146" s="3281"/>
      <c r="AB146" s="3281"/>
      <c r="AC146" s="3281"/>
      <c r="AD146" s="3281"/>
      <c r="AE146" s="3281"/>
      <c r="AF146" s="3281"/>
      <c r="AG146" s="3281"/>
      <c r="AH146" s="3281"/>
      <c r="AI146" s="3281"/>
      <c r="AJ146" s="3315"/>
      <c r="AK146" s="3281"/>
      <c r="AL146" s="3281"/>
      <c r="AM146" s="3315"/>
      <c r="AN146" s="3281"/>
      <c r="AO146" s="3287"/>
      <c r="AP146" s="3287"/>
      <c r="AQ146" s="3290"/>
    </row>
    <row r="147" spans="1:43" ht="36" customHeight="1" x14ac:dyDescent="0.2">
      <c r="A147" s="1518"/>
      <c r="B147" s="1519"/>
      <c r="C147" s="1520"/>
      <c r="D147" s="1519"/>
      <c r="E147" s="1519"/>
      <c r="F147" s="1520"/>
      <c r="G147" s="1551">
        <v>43</v>
      </c>
      <c r="H147" s="1524" t="s">
        <v>2025</v>
      </c>
      <c r="I147" s="1524"/>
      <c r="J147" s="1524"/>
      <c r="K147" s="1525"/>
      <c r="L147" s="1524"/>
      <c r="M147" s="1524"/>
      <c r="N147" s="1526"/>
      <c r="O147" s="1524"/>
      <c r="P147" s="1525"/>
      <c r="Q147" s="1524"/>
      <c r="R147" s="1552"/>
      <c r="S147" s="1524"/>
      <c r="T147" s="1525"/>
      <c r="U147" s="1525"/>
      <c r="V147" s="1553"/>
      <c r="W147" s="1554"/>
      <c r="X147" s="1526"/>
      <c r="Y147" s="1526"/>
      <c r="Z147" s="1526"/>
      <c r="AA147" s="1526"/>
      <c r="AB147" s="1526"/>
      <c r="AC147" s="1526"/>
      <c r="AD147" s="1526"/>
      <c r="AE147" s="1526"/>
      <c r="AF147" s="1526"/>
      <c r="AG147" s="1526"/>
      <c r="AH147" s="1526"/>
      <c r="AI147" s="1526"/>
      <c r="AJ147" s="1526"/>
      <c r="AK147" s="1526"/>
      <c r="AL147" s="1526"/>
      <c r="AM147" s="1526"/>
      <c r="AN147" s="1526"/>
      <c r="AO147" s="1524"/>
      <c r="AP147" s="1524"/>
      <c r="AQ147" s="1531"/>
    </row>
    <row r="148" spans="1:43" ht="107.25" customHeight="1" x14ac:dyDescent="0.2">
      <c r="A148" s="1556"/>
      <c r="B148" s="1557"/>
      <c r="C148" s="1558"/>
      <c r="D148" s="1557"/>
      <c r="E148" s="1557"/>
      <c r="F148" s="1558"/>
      <c r="G148" s="1559"/>
      <c r="H148" s="1560"/>
      <c r="I148" s="1561"/>
      <c r="J148" s="3267">
        <v>151</v>
      </c>
      <c r="K148" s="3270" t="s">
        <v>2026</v>
      </c>
      <c r="L148" s="3291" t="s">
        <v>1804</v>
      </c>
      <c r="M148" s="3291">
        <v>12</v>
      </c>
      <c r="N148" s="1595"/>
      <c r="O148" s="3267">
        <v>146</v>
      </c>
      <c r="P148" s="3270" t="s">
        <v>2027</v>
      </c>
      <c r="Q148" s="2797">
        <f>+(V148+V150+V149)/R148</f>
        <v>8.6395730253103292E-2</v>
      </c>
      <c r="R148" s="2824">
        <f>SUM(V148:V160)</f>
        <v>1518324003</v>
      </c>
      <c r="S148" s="3270" t="s">
        <v>2028</v>
      </c>
      <c r="T148" s="3270" t="s">
        <v>2029</v>
      </c>
      <c r="U148" s="1555" t="s">
        <v>2030</v>
      </c>
      <c r="V148" s="1421">
        <v>44000000</v>
      </c>
      <c r="W148" s="1596"/>
      <c r="X148" s="1595"/>
      <c r="Y148" s="3304">
        <v>292684</v>
      </c>
      <c r="Z148" s="3267">
        <v>282326</v>
      </c>
      <c r="AA148" s="3279">
        <v>135912</v>
      </c>
      <c r="AB148" s="3279">
        <v>45122</v>
      </c>
      <c r="AC148" s="3279">
        <f t="shared" ref="AC148:AD148" si="2">AC136</f>
        <v>307101</v>
      </c>
      <c r="AD148" s="3279">
        <f t="shared" si="2"/>
        <v>86875</v>
      </c>
      <c r="AE148" s="3279">
        <v>2145</v>
      </c>
      <c r="AF148" s="3279">
        <v>12718</v>
      </c>
      <c r="AG148" s="3279">
        <v>26</v>
      </c>
      <c r="AH148" s="3279">
        <v>37</v>
      </c>
      <c r="AI148" s="3279" t="s">
        <v>1811</v>
      </c>
      <c r="AJ148" s="3279" t="s">
        <v>1811</v>
      </c>
      <c r="AK148" s="3279">
        <v>53164</v>
      </c>
      <c r="AL148" s="3279">
        <v>16982</v>
      </c>
      <c r="AM148" s="3279">
        <v>60013</v>
      </c>
      <c r="AN148" s="3279">
        <v>575010</v>
      </c>
      <c r="AO148" s="3348">
        <v>43101</v>
      </c>
      <c r="AP148" s="3348">
        <v>43465</v>
      </c>
      <c r="AQ148" s="3288" t="s">
        <v>1812</v>
      </c>
    </row>
    <row r="149" spans="1:43" ht="75" x14ac:dyDescent="0.2">
      <c r="A149" s="1556"/>
      <c r="B149" s="1557"/>
      <c r="C149" s="1558"/>
      <c r="D149" s="1557"/>
      <c r="E149" s="1557"/>
      <c r="F149" s="1558"/>
      <c r="G149" s="1562"/>
      <c r="H149" s="1557"/>
      <c r="I149" s="1558"/>
      <c r="J149" s="3268"/>
      <c r="K149" s="3271"/>
      <c r="L149" s="3291"/>
      <c r="M149" s="3291"/>
      <c r="N149" s="1597"/>
      <c r="O149" s="3268"/>
      <c r="P149" s="3271"/>
      <c r="Q149" s="2798"/>
      <c r="R149" s="2825"/>
      <c r="S149" s="3271"/>
      <c r="T149" s="3271"/>
      <c r="U149" s="1555" t="s">
        <v>2031</v>
      </c>
      <c r="V149" s="1421">
        <v>44000000</v>
      </c>
      <c r="W149" s="1598"/>
      <c r="X149" s="1597"/>
      <c r="Y149" s="3305"/>
      <c r="Z149" s="3268"/>
      <c r="AA149" s="3280"/>
      <c r="AB149" s="3280"/>
      <c r="AC149" s="3280"/>
      <c r="AD149" s="3280"/>
      <c r="AE149" s="3280"/>
      <c r="AF149" s="3280"/>
      <c r="AG149" s="3280"/>
      <c r="AH149" s="3280"/>
      <c r="AI149" s="3280"/>
      <c r="AJ149" s="3280"/>
      <c r="AK149" s="3280"/>
      <c r="AL149" s="3280"/>
      <c r="AM149" s="3280"/>
      <c r="AN149" s="3280"/>
      <c r="AO149" s="3349"/>
      <c r="AP149" s="3349"/>
      <c r="AQ149" s="3289"/>
    </row>
    <row r="150" spans="1:43" ht="90" x14ac:dyDescent="0.2">
      <c r="A150" s="1556"/>
      <c r="B150" s="1557"/>
      <c r="C150" s="1558"/>
      <c r="D150" s="1557"/>
      <c r="E150" s="1557"/>
      <c r="F150" s="1558"/>
      <c r="G150" s="1562"/>
      <c r="H150" s="1557"/>
      <c r="I150" s="1558"/>
      <c r="J150" s="3269"/>
      <c r="K150" s="3272"/>
      <c r="L150" s="3291"/>
      <c r="M150" s="3291"/>
      <c r="N150" s="1597"/>
      <c r="O150" s="3268"/>
      <c r="P150" s="3271"/>
      <c r="Q150" s="2799"/>
      <c r="R150" s="2825"/>
      <c r="S150" s="3271"/>
      <c r="T150" s="3272"/>
      <c r="U150" s="1555" t="s">
        <v>2032</v>
      </c>
      <c r="V150" s="1421">
        <v>43176711</v>
      </c>
      <c r="W150" s="1598"/>
      <c r="X150" s="1597"/>
      <c r="Y150" s="3305"/>
      <c r="Z150" s="3268"/>
      <c r="AA150" s="3280"/>
      <c r="AB150" s="3280"/>
      <c r="AC150" s="3280"/>
      <c r="AD150" s="3280"/>
      <c r="AE150" s="3280"/>
      <c r="AF150" s="3280"/>
      <c r="AG150" s="3280"/>
      <c r="AH150" s="3280"/>
      <c r="AI150" s="3280"/>
      <c r="AJ150" s="3280"/>
      <c r="AK150" s="3280"/>
      <c r="AL150" s="3280"/>
      <c r="AM150" s="3280"/>
      <c r="AN150" s="3280"/>
      <c r="AO150" s="3349"/>
      <c r="AP150" s="3349"/>
      <c r="AQ150" s="3289"/>
    </row>
    <row r="151" spans="1:43" ht="75" x14ac:dyDescent="0.2">
      <c r="A151" s="1556"/>
      <c r="B151" s="1557"/>
      <c r="C151" s="1558"/>
      <c r="D151" s="1557"/>
      <c r="E151" s="1557"/>
      <c r="F151" s="1558"/>
      <c r="G151" s="1562"/>
      <c r="H151" s="1557"/>
      <c r="I151" s="1558"/>
      <c r="J151" s="3267">
        <v>152</v>
      </c>
      <c r="K151" s="3270" t="s">
        <v>2033</v>
      </c>
      <c r="L151" s="3291" t="s">
        <v>1804</v>
      </c>
      <c r="M151" s="3291">
        <v>1</v>
      </c>
      <c r="N151" s="1597" t="s">
        <v>2034</v>
      </c>
      <c r="O151" s="3268"/>
      <c r="P151" s="3271"/>
      <c r="Q151" s="2797">
        <f>+(V151+V153+V152)/R148</f>
        <v>0.10702590466785895</v>
      </c>
      <c r="R151" s="2825"/>
      <c r="S151" s="3271"/>
      <c r="T151" s="3270" t="s">
        <v>2035</v>
      </c>
      <c r="U151" s="1555" t="s">
        <v>2036</v>
      </c>
      <c r="V151" s="1421">
        <v>57000000</v>
      </c>
      <c r="W151" s="1599">
        <v>61</v>
      </c>
      <c r="X151" s="1597" t="s">
        <v>1810</v>
      </c>
      <c r="Y151" s="3305"/>
      <c r="Z151" s="3268"/>
      <c r="AA151" s="3280"/>
      <c r="AB151" s="3280"/>
      <c r="AC151" s="3280"/>
      <c r="AD151" s="3280"/>
      <c r="AE151" s="3280"/>
      <c r="AF151" s="3280"/>
      <c r="AG151" s="3280"/>
      <c r="AH151" s="3280"/>
      <c r="AI151" s="3280"/>
      <c r="AJ151" s="3280"/>
      <c r="AK151" s="3280"/>
      <c r="AL151" s="3280"/>
      <c r="AM151" s="3280"/>
      <c r="AN151" s="3280"/>
      <c r="AO151" s="3349"/>
      <c r="AP151" s="3349"/>
      <c r="AQ151" s="3289"/>
    </row>
    <row r="152" spans="1:43" ht="60" x14ac:dyDescent="0.2">
      <c r="A152" s="1556"/>
      <c r="B152" s="1557"/>
      <c r="C152" s="1558"/>
      <c r="D152" s="1557"/>
      <c r="E152" s="1557"/>
      <c r="F152" s="1558"/>
      <c r="G152" s="1562"/>
      <c r="H152" s="1557"/>
      <c r="I152" s="1558"/>
      <c r="J152" s="3268"/>
      <c r="K152" s="3271"/>
      <c r="L152" s="3291"/>
      <c r="M152" s="3291"/>
      <c r="N152" s="1597" t="s">
        <v>2037</v>
      </c>
      <c r="O152" s="3268"/>
      <c r="P152" s="3271"/>
      <c r="Q152" s="2798"/>
      <c r="R152" s="2825"/>
      <c r="S152" s="3271"/>
      <c r="T152" s="3271"/>
      <c r="U152" s="1555" t="s">
        <v>2038</v>
      </c>
      <c r="V152" s="1421">
        <v>48500000</v>
      </c>
      <c r="W152" s="1599"/>
      <c r="X152" s="1597"/>
      <c r="Y152" s="3305"/>
      <c r="Z152" s="3268"/>
      <c r="AA152" s="3280"/>
      <c r="AB152" s="3280"/>
      <c r="AC152" s="3280"/>
      <c r="AD152" s="3280"/>
      <c r="AE152" s="3280"/>
      <c r="AF152" s="3280"/>
      <c r="AG152" s="3280"/>
      <c r="AH152" s="3280"/>
      <c r="AI152" s="3280"/>
      <c r="AJ152" s="3280"/>
      <c r="AK152" s="3280"/>
      <c r="AL152" s="3280"/>
      <c r="AM152" s="3280"/>
      <c r="AN152" s="3280"/>
      <c r="AO152" s="3349"/>
      <c r="AP152" s="3349"/>
      <c r="AQ152" s="3289"/>
    </row>
    <row r="153" spans="1:43" ht="75" x14ac:dyDescent="0.2">
      <c r="A153" s="1556"/>
      <c r="B153" s="1557"/>
      <c r="C153" s="1558"/>
      <c r="D153" s="1557"/>
      <c r="E153" s="1557"/>
      <c r="F153" s="1558"/>
      <c r="G153" s="1562"/>
      <c r="H153" s="1557"/>
      <c r="I153" s="1558"/>
      <c r="J153" s="3269"/>
      <c r="K153" s="3272"/>
      <c r="L153" s="3291"/>
      <c r="M153" s="3291"/>
      <c r="N153" s="1597" t="s">
        <v>2039</v>
      </c>
      <c r="O153" s="3268"/>
      <c r="P153" s="3271"/>
      <c r="Q153" s="2799"/>
      <c r="R153" s="2825"/>
      <c r="S153" s="3271"/>
      <c r="T153" s="3271"/>
      <c r="U153" s="1555" t="s">
        <v>2040</v>
      </c>
      <c r="V153" s="1421">
        <v>57000000</v>
      </c>
      <c r="W153" s="1599">
        <v>63</v>
      </c>
      <c r="X153" s="1597" t="s">
        <v>2041</v>
      </c>
      <c r="Y153" s="3305"/>
      <c r="Z153" s="3268"/>
      <c r="AA153" s="3280"/>
      <c r="AB153" s="3280"/>
      <c r="AC153" s="3280"/>
      <c r="AD153" s="3280"/>
      <c r="AE153" s="3280"/>
      <c r="AF153" s="3280"/>
      <c r="AG153" s="3280"/>
      <c r="AH153" s="3280"/>
      <c r="AI153" s="3280"/>
      <c r="AJ153" s="3280"/>
      <c r="AK153" s="3280"/>
      <c r="AL153" s="3280"/>
      <c r="AM153" s="3280"/>
      <c r="AN153" s="3280"/>
      <c r="AO153" s="3349"/>
      <c r="AP153" s="3349"/>
      <c r="AQ153" s="3289"/>
    </row>
    <row r="154" spans="1:43" ht="75" x14ac:dyDescent="0.2">
      <c r="A154" s="1556"/>
      <c r="B154" s="1557"/>
      <c r="C154" s="1558"/>
      <c r="D154" s="1557"/>
      <c r="E154" s="1557"/>
      <c r="F154" s="1558"/>
      <c r="G154" s="1562"/>
      <c r="H154" s="1557"/>
      <c r="I154" s="1558"/>
      <c r="J154" s="3291">
        <v>153</v>
      </c>
      <c r="K154" s="3270" t="s">
        <v>2042</v>
      </c>
      <c r="L154" s="3268" t="s">
        <v>1804</v>
      </c>
      <c r="M154" s="3268">
        <v>150</v>
      </c>
      <c r="N154" s="1597" t="s">
        <v>2043</v>
      </c>
      <c r="O154" s="3268"/>
      <c r="P154" s="3271"/>
      <c r="Q154" s="2797">
        <f>SUM(V154:V160)/R148</f>
        <v>0.8065783650790378</v>
      </c>
      <c r="R154" s="2825"/>
      <c r="S154" s="3271"/>
      <c r="T154" s="3271"/>
      <c r="U154" s="1555" t="s">
        <v>2044</v>
      </c>
      <c r="V154" s="1421">
        <v>23669712</v>
      </c>
      <c r="W154" s="1599">
        <v>20</v>
      </c>
      <c r="X154" s="1597" t="s">
        <v>72</v>
      </c>
      <c r="Y154" s="3305"/>
      <c r="Z154" s="3268"/>
      <c r="AA154" s="3280"/>
      <c r="AB154" s="3280"/>
      <c r="AC154" s="3280"/>
      <c r="AD154" s="3280"/>
      <c r="AE154" s="3280"/>
      <c r="AF154" s="3280"/>
      <c r="AG154" s="3280"/>
      <c r="AH154" s="3280"/>
      <c r="AI154" s="3280"/>
      <c r="AJ154" s="3280"/>
      <c r="AK154" s="3280"/>
      <c r="AL154" s="3280"/>
      <c r="AM154" s="3280"/>
      <c r="AN154" s="3280"/>
      <c r="AO154" s="3349"/>
      <c r="AP154" s="3349"/>
      <c r="AQ154" s="3289"/>
    </row>
    <row r="155" spans="1:43" ht="56.25" customHeight="1" x14ac:dyDescent="0.2">
      <c r="A155" s="1556"/>
      <c r="B155" s="1557"/>
      <c r="C155" s="1558"/>
      <c r="D155" s="1557"/>
      <c r="E155" s="1557"/>
      <c r="F155" s="1558"/>
      <c r="G155" s="1562"/>
      <c r="H155" s="1557"/>
      <c r="I155" s="1558"/>
      <c r="J155" s="3291"/>
      <c r="K155" s="3271"/>
      <c r="L155" s="3268"/>
      <c r="M155" s="3268"/>
      <c r="N155" s="1600" t="s">
        <v>2045</v>
      </c>
      <c r="O155" s="3268"/>
      <c r="P155" s="3271"/>
      <c r="Q155" s="2798"/>
      <c r="R155" s="2825"/>
      <c r="S155" s="3271"/>
      <c r="T155" s="3271"/>
      <c r="U155" s="1555" t="s">
        <v>2046</v>
      </c>
      <c r="V155" s="1421">
        <v>1100977580</v>
      </c>
      <c r="W155" s="1599"/>
      <c r="X155" s="1597"/>
      <c r="Y155" s="3305"/>
      <c r="Z155" s="3268"/>
      <c r="AA155" s="3280"/>
      <c r="AB155" s="3280"/>
      <c r="AC155" s="3280"/>
      <c r="AD155" s="3280"/>
      <c r="AE155" s="3280"/>
      <c r="AF155" s="3280"/>
      <c r="AG155" s="3280"/>
      <c r="AH155" s="3280"/>
      <c r="AI155" s="3280"/>
      <c r="AJ155" s="3280"/>
      <c r="AK155" s="3280"/>
      <c r="AL155" s="3280"/>
      <c r="AM155" s="3280"/>
      <c r="AN155" s="3280"/>
      <c r="AO155" s="3349"/>
      <c r="AP155" s="3349"/>
      <c r="AQ155" s="3289"/>
    </row>
    <row r="156" spans="1:43" ht="45" customHeight="1" x14ac:dyDescent="0.2">
      <c r="A156" s="1556"/>
      <c r="B156" s="1557"/>
      <c r="C156" s="1558"/>
      <c r="D156" s="1557"/>
      <c r="E156" s="1557"/>
      <c r="F156" s="1558"/>
      <c r="G156" s="1562"/>
      <c r="H156" s="1557"/>
      <c r="I156" s="1558"/>
      <c r="J156" s="3291"/>
      <c r="K156" s="3271"/>
      <c r="L156" s="3268"/>
      <c r="M156" s="3268"/>
      <c r="O156" s="3268"/>
      <c r="P156" s="3271"/>
      <c r="Q156" s="2798"/>
      <c r="R156" s="2825"/>
      <c r="S156" s="3271"/>
      <c r="T156" s="3271"/>
      <c r="U156" s="1555" t="s">
        <v>2047</v>
      </c>
      <c r="V156" s="1421">
        <v>20000000</v>
      </c>
      <c r="W156" s="1599"/>
      <c r="X156" s="1597"/>
      <c r="Y156" s="3305"/>
      <c r="Z156" s="3268"/>
      <c r="AA156" s="3280"/>
      <c r="AB156" s="3280"/>
      <c r="AC156" s="3280"/>
      <c r="AD156" s="3280"/>
      <c r="AE156" s="3280"/>
      <c r="AF156" s="3280"/>
      <c r="AG156" s="3280"/>
      <c r="AH156" s="3280"/>
      <c r="AI156" s="3280"/>
      <c r="AJ156" s="3280"/>
      <c r="AK156" s="3280"/>
      <c r="AL156" s="3280"/>
      <c r="AM156" s="3280"/>
      <c r="AN156" s="3280"/>
      <c r="AO156" s="3349"/>
      <c r="AP156" s="3349"/>
      <c r="AQ156" s="3289"/>
    </row>
    <row r="157" spans="1:43" ht="86.25" customHeight="1" x14ac:dyDescent="0.2">
      <c r="A157" s="1556"/>
      <c r="B157" s="1557"/>
      <c r="C157" s="1558"/>
      <c r="D157" s="1557"/>
      <c r="E157" s="1557"/>
      <c r="F157" s="1558"/>
      <c r="G157" s="1562"/>
      <c r="H157" s="1557"/>
      <c r="I157" s="1558"/>
      <c r="J157" s="3291"/>
      <c r="K157" s="3271"/>
      <c r="L157" s="3268"/>
      <c r="M157" s="3268"/>
      <c r="N157" s="1602" t="s">
        <v>2048</v>
      </c>
      <c r="O157" s="3268"/>
      <c r="P157" s="3271"/>
      <c r="Q157" s="2798"/>
      <c r="R157" s="2825"/>
      <c r="S157" s="3271"/>
      <c r="T157" s="3271"/>
      <c r="U157" s="1555" t="s">
        <v>2049</v>
      </c>
      <c r="V157" s="1421">
        <v>20000000</v>
      </c>
      <c r="W157" s="1599"/>
      <c r="X157" s="1597"/>
      <c r="Y157" s="3305"/>
      <c r="Z157" s="3268"/>
      <c r="AA157" s="3280"/>
      <c r="AB157" s="3280"/>
      <c r="AC157" s="3280"/>
      <c r="AD157" s="3280"/>
      <c r="AE157" s="3280"/>
      <c r="AF157" s="3280"/>
      <c r="AG157" s="3280"/>
      <c r="AH157" s="3280"/>
      <c r="AI157" s="3280"/>
      <c r="AJ157" s="3280"/>
      <c r="AK157" s="3280"/>
      <c r="AL157" s="3280"/>
      <c r="AM157" s="3280"/>
      <c r="AN157" s="3280"/>
      <c r="AO157" s="3349"/>
      <c r="AP157" s="3349"/>
      <c r="AQ157" s="3289"/>
    </row>
    <row r="158" spans="1:43" ht="75" x14ac:dyDescent="0.2">
      <c r="A158" s="1556"/>
      <c r="B158" s="1557"/>
      <c r="C158" s="1558"/>
      <c r="D158" s="1557"/>
      <c r="E158" s="1557"/>
      <c r="F158" s="1558"/>
      <c r="G158" s="1562"/>
      <c r="H158" s="1557"/>
      <c r="I158" s="1558"/>
      <c r="J158" s="3291"/>
      <c r="K158" s="3271"/>
      <c r="L158" s="3268"/>
      <c r="M158" s="3268"/>
      <c r="N158" s="1597"/>
      <c r="O158" s="3268"/>
      <c r="P158" s="3271"/>
      <c r="Q158" s="2798"/>
      <c r="R158" s="2825"/>
      <c r="S158" s="3271"/>
      <c r="T158" s="3271"/>
      <c r="U158" s="1555" t="s">
        <v>2050</v>
      </c>
      <c r="V158" s="1421">
        <v>20000000</v>
      </c>
      <c r="W158" s="1599"/>
      <c r="X158" s="1597"/>
      <c r="Y158" s="3305"/>
      <c r="Z158" s="3268"/>
      <c r="AA158" s="3280"/>
      <c r="AB158" s="3280"/>
      <c r="AC158" s="3280"/>
      <c r="AD158" s="3280"/>
      <c r="AE158" s="3280"/>
      <c r="AF158" s="3280"/>
      <c r="AG158" s="3280"/>
      <c r="AH158" s="3280"/>
      <c r="AI158" s="3280"/>
      <c r="AJ158" s="3280"/>
      <c r="AK158" s="3280"/>
      <c r="AL158" s="3280"/>
      <c r="AM158" s="3280"/>
      <c r="AN158" s="3280"/>
      <c r="AO158" s="3349"/>
      <c r="AP158" s="3349"/>
      <c r="AQ158" s="3289"/>
    </row>
    <row r="159" spans="1:43" ht="45" x14ac:dyDescent="0.2">
      <c r="A159" s="1532"/>
      <c r="B159" s="1533"/>
      <c r="C159" s="1534"/>
      <c r="D159" s="1557"/>
      <c r="E159" s="1557"/>
      <c r="F159" s="1558"/>
      <c r="G159" s="1562"/>
      <c r="H159" s="1557"/>
      <c r="I159" s="1558"/>
      <c r="J159" s="3291"/>
      <c r="K159" s="3271"/>
      <c r="L159" s="3268"/>
      <c r="M159" s="3268"/>
      <c r="N159" s="1597"/>
      <c r="O159" s="3268"/>
      <c r="P159" s="3271"/>
      <c r="Q159" s="2798"/>
      <c r="R159" s="2825"/>
      <c r="S159" s="3271"/>
      <c r="T159" s="3271"/>
      <c r="U159" s="1555" t="s">
        <v>2051</v>
      </c>
      <c r="V159" s="1421">
        <v>20000000</v>
      </c>
      <c r="W159" s="1598"/>
      <c r="X159" s="1597"/>
      <c r="Y159" s="3305"/>
      <c r="Z159" s="3268"/>
      <c r="AA159" s="3280"/>
      <c r="AB159" s="3280"/>
      <c r="AC159" s="3280"/>
      <c r="AD159" s="3280"/>
      <c r="AE159" s="3280"/>
      <c r="AF159" s="3280"/>
      <c r="AG159" s="3280"/>
      <c r="AH159" s="3280"/>
      <c r="AI159" s="3280"/>
      <c r="AJ159" s="3280"/>
      <c r="AK159" s="3280"/>
      <c r="AL159" s="3280"/>
      <c r="AM159" s="3280"/>
      <c r="AN159" s="3280"/>
      <c r="AO159" s="3349"/>
      <c r="AP159" s="3349"/>
      <c r="AQ159" s="3289"/>
    </row>
    <row r="160" spans="1:43" ht="75" x14ac:dyDescent="0.2">
      <c r="A160" s="1532"/>
      <c r="B160" s="1533"/>
      <c r="C160" s="1534"/>
      <c r="D160" s="1533"/>
      <c r="E160" s="1533"/>
      <c r="F160" s="1534"/>
      <c r="G160" s="1544"/>
      <c r="H160" s="1542"/>
      <c r="I160" s="1543"/>
      <c r="J160" s="3291"/>
      <c r="K160" s="3272"/>
      <c r="L160" s="3269"/>
      <c r="M160" s="3269"/>
      <c r="N160" s="1603"/>
      <c r="O160" s="3269"/>
      <c r="P160" s="3272"/>
      <c r="Q160" s="2799"/>
      <c r="R160" s="2826"/>
      <c r="S160" s="3272"/>
      <c r="T160" s="3272"/>
      <c r="U160" s="1555" t="s">
        <v>2052</v>
      </c>
      <c r="V160" s="1421">
        <v>20000000</v>
      </c>
      <c r="W160" s="1604"/>
      <c r="X160" s="1603"/>
      <c r="Y160" s="3306"/>
      <c r="Z160" s="3269"/>
      <c r="AA160" s="3281"/>
      <c r="AB160" s="3281"/>
      <c r="AC160" s="3281"/>
      <c r="AD160" s="3281"/>
      <c r="AE160" s="3281"/>
      <c r="AF160" s="3281"/>
      <c r="AG160" s="3281"/>
      <c r="AH160" s="3281"/>
      <c r="AI160" s="3281"/>
      <c r="AJ160" s="3281"/>
      <c r="AK160" s="3281"/>
      <c r="AL160" s="3281"/>
      <c r="AM160" s="3281"/>
      <c r="AN160" s="3281"/>
      <c r="AO160" s="3350"/>
      <c r="AP160" s="3350"/>
      <c r="AQ160" s="3290"/>
    </row>
    <row r="161" spans="1:43" ht="36" customHeight="1" x14ac:dyDescent="0.2">
      <c r="A161" s="1518"/>
      <c r="B161" s="1519"/>
      <c r="C161" s="1520"/>
      <c r="D161" s="1519"/>
      <c r="E161" s="1519"/>
      <c r="F161" s="1520"/>
      <c r="G161" s="1551">
        <v>44</v>
      </c>
      <c r="H161" s="1524" t="s">
        <v>2053</v>
      </c>
      <c r="I161" s="1524"/>
      <c r="J161" s="1524"/>
      <c r="K161" s="1525"/>
      <c r="L161" s="1524"/>
      <c r="M161" s="1524"/>
      <c r="N161" s="1526"/>
      <c r="O161" s="1524"/>
      <c r="P161" s="1525"/>
      <c r="Q161" s="1524"/>
      <c r="R161" s="1552"/>
      <c r="S161" s="1524"/>
      <c r="T161" s="1525"/>
      <c r="U161" s="1524"/>
      <c r="V161" s="1552"/>
      <c r="W161" s="1554"/>
      <c r="X161" s="1526"/>
      <c r="Y161" s="1526"/>
      <c r="Z161" s="1526"/>
      <c r="AA161" s="1526"/>
      <c r="AB161" s="1526"/>
      <c r="AC161" s="1526"/>
      <c r="AD161" s="1526"/>
      <c r="AE161" s="1526"/>
      <c r="AF161" s="1526"/>
      <c r="AG161" s="1526"/>
      <c r="AH161" s="1526"/>
      <c r="AI161" s="1526"/>
      <c r="AJ161" s="1526"/>
      <c r="AK161" s="1526"/>
      <c r="AL161" s="1526"/>
      <c r="AM161" s="1526"/>
      <c r="AN161" s="1526"/>
      <c r="AO161" s="1526"/>
      <c r="AP161" s="1524"/>
      <c r="AQ161" s="1531"/>
    </row>
    <row r="162" spans="1:43" ht="86.25" customHeight="1" x14ac:dyDescent="0.2">
      <c r="A162" s="1532"/>
      <c r="B162" s="1533"/>
      <c r="C162" s="1534"/>
      <c r="D162" s="1533"/>
      <c r="E162" s="1533"/>
      <c r="F162" s="1534"/>
      <c r="G162" s="1535"/>
      <c r="H162" s="1536"/>
      <c r="I162" s="1537"/>
      <c r="J162" s="3267">
        <v>154</v>
      </c>
      <c r="K162" s="3270" t="s">
        <v>2054</v>
      </c>
      <c r="L162" s="3267" t="s">
        <v>1804</v>
      </c>
      <c r="M162" s="3267">
        <v>5</v>
      </c>
      <c r="N162" s="1595"/>
      <c r="O162" s="3267">
        <v>148</v>
      </c>
      <c r="P162" s="3270" t="s">
        <v>2055</v>
      </c>
      <c r="Q162" s="2797">
        <f>(V162+V167+V168+V163+V164+V165+V166)/R162</f>
        <v>0.31535832537088154</v>
      </c>
      <c r="R162" s="2824">
        <f>SUM(V162:V185)</f>
        <v>273927352</v>
      </c>
      <c r="S162" s="3270" t="s">
        <v>2056</v>
      </c>
      <c r="T162" s="3270" t="s">
        <v>2057</v>
      </c>
      <c r="U162" s="1555" t="s">
        <v>2058</v>
      </c>
      <c r="V162" s="1421">
        <v>9885271</v>
      </c>
      <c r="W162" s="1596"/>
      <c r="X162" s="1605"/>
      <c r="Y162" s="3292">
        <v>292684</v>
      </c>
      <c r="Z162" s="3292">
        <v>282326</v>
      </c>
      <c r="AA162" s="3279" t="s">
        <v>1811</v>
      </c>
      <c r="AB162" s="3279" t="s">
        <v>1811</v>
      </c>
      <c r="AC162" s="2877" t="s">
        <v>1811</v>
      </c>
      <c r="AD162" s="3279" t="s">
        <v>1811</v>
      </c>
      <c r="AE162" s="3279">
        <v>2145</v>
      </c>
      <c r="AF162" s="3279">
        <v>12718</v>
      </c>
      <c r="AG162" s="3279">
        <v>26</v>
      </c>
      <c r="AH162" s="3279">
        <v>37</v>
      </c>
      <c r="AI162" s="3279" t="s">
        <v>1811</v>
      </c>
      <c r="AJ162" s="3279" t="s">
        <v>1811</v>
      </c>
      <c r="AK162" s="3279">
        <v>53164</v>
      </c>
      <c r="AL162" s="3279">
        <v>16982</v>
      </c>
      <c r="AM162" s="3279">
        <v>60013</v>
      </c>
      <c r="AN162" s="3279">
        <v>575010</v>
      </c>
      <c r="AO162" s="3348">
        <v>43101</v>
      </c>
      <c r="AP162" s="3348">
        <v>43465</v>
      </c>
      <c r="AQ162" s="3351" t="s">
        <v>1812</v>
      </c>
    </row>
    <row r="163" spans="1:43" ht="45" x14ac:dyDescent="0.2">
      <c r="A163" s="1532"/>
      <c r="B163" s="1533"/>
      <c r="C163" s="1534"/>
      <c r="D163" s="1533"/>
      <c r="E163" s="1533"/>
      <c r="F163" s="1534"/>
      <c r="G163" s="1540"/>
      <c r="H163" s="1533"/>
      <c r="I163" s="1534"/>
      <c r="J163" s="3268"/>
      <c r="K163" s="3271"/>
      <c r="L163" s="3268"/>
      <c r="M163" s="3268"/>
      <c r="N163" s="1597"/>
      <c r="O163" s="3268"/>
      <c r="P163" s="3271"/>
      <c r="Q163" s="2798"/>
      <c r="R163" s="2825"/>
      <c r="S163" s="3271"/>
      <c r="T163" s="3271"/>
      <c r="U163" s="1555" t="s">
        <v>2059</v>
      </c>
      <c r="V163" s="1421">
        <v>500000</v>
      </c>
      <c r="W163" s="1598"/>
      <c r="X163" s="1599"/>
      <c r="Y163" s="3293"/>
      <c r="Z163" s="3293"/>
      <c r="AA163" s="3280"/>
      <c r="AB163" s="3280"/>
      <c r="AC163" s="2878"/>
      <c r="AD163" s="3280"/>
      <c r="AE163" s="3280"/>
      <c r="AF163" s="3280"/>
      <c r="AG163" s="3280"/>
      <c r="AH163" s="3280"/>
      <c r="AI163" s="3280"/>
      <c r="AJ163" s="3280"/>
      <c r="AK163" s="3280"/>
      <c r="AL163" s="3280"/>
      <c r="AM163" s="3280"/>
      <c r="AN163" s="3280"/>
      <c r="AO163" s="3349"/>
      <c r="AP163" s="3349"/>
      <c r="AQ163" s="3352"/>
    </row>
    <row r="164" spans="1:43" ht="90" x14ac:dyDescent="0.2">
      <c r="A164" s="1532"/>
      <c r="B164" s="1533"/>
      <c r="C164" s="1534"/>
      <c r="D164" s="1533"/>
      <c r="E164" s="1533"/>
      <c r="F164" s="1534"/>
      <c r="G164" s="1540"/>
      <c r="H164" s="1533"/>
      <c r="I164" s="1534"/>
      <c r="J164" s="3268"/>
      <c r="K164" s="3271"/>
      <c r="L164" s="3268"/>
      <c r="M164" s="3268"/>
      <c r="N164" s="1597"/>
      <c r="O164" s="3268"/>
      <c r="P164" s="3271"/>
      <c r="Q164" s="2798"/>
      <c r="R164" s="2825"/>
      <c r="S164" s="3271"/>
      <c r="T164" s="3271"/>
      <c r="U164" s="1555" t="s">
        <v>2060</v>
      </c>
      <c r="V164" s="1421">
        <v>14000000</v>
      </c>
      <c r="W164" s="1598"/>
      <c r="X164" s="1599"/>
      <c r="Y164" s="3293"/>
      <c r="Z164" s="3293"/>
      <c r="AA164" s="3280"/>
      <c r="AB164" s="3280"/>
      <c r="AC164" s="2878"/>
      <c r="AD164" s="3280"/>
      <c r="AE164" s="3280"/>
      <c r="AF164" s="3280"/>
      <c r="AG164" s="3280"/>
      <c r="AH164" s="3280"/>
      <c r="AI164" s="3280"/>
      <c r="AJ164" s="3280"/>
      <c r="AK164" s="3280"/>
      <c r="AL164" s="3280"/>
      <c r="AM164" s="3280"/>
      <c r="AN164" s="3280"/>
      <c r="AO164" s="3349"/>
      <c r="AP164" s="3349"/>
      <c r="AQ164" s="3352"/>
    </row>
    <row r="165" spans="1:43" ht="90" x14ac:dyDescent="0.2">
      <c r="A165" s="1532"/>
      <c r="B165" s="1533"/>
      <c r="C165" s="1534"/>
      <c r="D165" s="1533"/>
      <c r="E165" s="1533"/>
      <c r="F165" s="1534"/>
      <c r="G165" s="1540"/>
      <c r="H165" s="1533"/>
      <c r="I165" s="1534"/>
      <c r="J165" s="3268"/>
      <c r="K165" s="3271"/>
      <c r="L165" s="3268"/>
      <c r="M165" s="3268"/>
      <c r="N165" s="1597"/>
      <c r="O165" s="3268"/>
      <c r="P165" s="3271"/>
      <c r="Q165" s="2798"/>
      <c r="R165" s="2825"/>
      <c r="S165" s="3271"/>
      <c r="T165" s="3271"/>
      <c r="U165" s="1555" t="s">
        <v>2061</v>
      </c>
      <c r="V165" s="1421">
        <v>14000000</v>
      </c>
      <c r="W165" s="1598"/>
      <c r="X165" s="1599"/>
      <c r="Y165" s="3293"/>
      <c r="Z165" s="3293"/>
      <c r="AA165" s="3280"/>
      <c r="AB165" s="3280"/>
      <c r="AC165" s="2878"/>
      <c r="AD165" s="3280"/>
      <c r="AE165" s="3280"/>
      <c r="AF165" s="3280"/>
      <c r="AG165" s="3280"/>
      <c r="AH165" s="3280"/>
      <c r="AI165" s="3280"/>
      <c r="AJ165" s="3280"/>
      <c r="AK165" s="3280"/>
      <c r="AL165" s="3280"/>
      <c r="AM165" s="3280"/>
      <c r="AN165" s="3280"/>
      <c r="AO165" s="3349"/>
      <c r="AP165" s="3349"/>
      <c r="AQ165" s="3352"/>
    </row>
    <row r="166" spans="1:43" ht="90" x14ac:dyDescent="0.2">
      <c r="A166" s="1532"/>
      <c r="B166" s="1533"/>
      <c r="C166" s="1534"/>
      <c r="D166" s="1533"/>
      <c r="E166" s="1533"/>
      <c r="F166" s="1534"/>
      <c r="G166" s="1540"/>
      <c r="H166" s="1533"/>
      <c r="I166" s="1534"/>
      <c r="J166" s="3268"/>
      <c r="K166" s="3271"/>
      <c r="L166" s="3268"/>
      <c r="M166" s="3268"/>
      <c r="N166" s="1597"/>
      <c r="O166" s="3268"/>
      <c r="P166" s="3271"/>
      <c r="Q166" s="2798"/>
      <c r="R166" s="2825"/>
      <c r="S166" s="3271"/>
      <c r="T166" s="3271"/>
      <c r="U166" s="1555" t="s">
        <v>2062</v>
      </c>
      <c r="V166" s="1421">
        <v>14000000</v>
      </c>
      <c r="W166" s="1598"/>
      <c r="X166" s="1599"/>
      <c r="Y166" s="3293"/>
      <c r="Z166" s="3293"/>
      <c r="AA166" s="3280"/>
      <c r="AB166" s="3280"/>
      <c r="AC166" s="2878"/>
      <c r="AD166" s="3280"/>
      <c r="AE166" s="3280"/>
      <c r="AF166" s="3280"/>
      <c r="AG166" s="3280"/>
      <c r="AH166" s="3280"/>
      <c r="AI166" s="3280"/>
      <c r="AJ166" s="3280"/>
      <c r="AK166" s="3280"/>
      <c r="AL166" s="3280"/>
      <c r="AM166" s="3280"/>
      <c r="AN166" s="3280"/>
      <c r="AO166" s="3349"/>
      <c r="AP166" s="3349"/>
      <c r="AQ166" s="3352"/>
    </row>
    <row r="167" spans="1:43" ht="75" x14ac:dyDescent="0.2">
      <c r="A167" s="1532"/>
      <c r="B167" s="1533"/>
      <c r="C167" s="1534"/>
      <c r="D167" s="1533"/>
      <c r="E167" s="1533"/>
      <c r="F167" s="1534"/>
      <c r="G167" s="1540"/>
      <c r="H167" s="1533"/>
      <c r="I167" s="1534"/>
      <c r="J167" s="3268"/>
      <c r="K167" s="3271"/>
      <c r="L167" s="3268"/>
      <c r="M167" s="3268"/>
      <c r="N167" s="1597"/>
      <c r="O167" s="3268"/>
      <c r="P167" s="3271"/>
      <c r="Q167" s="2798"/>
      <c r="R167" s="2825"/>
      <c r="S167" s="3271"/>
      <c r="T167" s="3271"/>
      <c r="U167" s="1555" t="s">
        <v>2063</v>
      </c>
      <c r="V167" s="1421">
        <v>25000000</v>
      </c>
      <c r="W167" s="1598"/>
      <c r="X167" s="1599"/>
      <c r="Y167" s="3293"/>
      <c r="Z167" s="3293"/>
      <c r="AA167" s="3280"/>
      <c r="AB167" s="3280"/>
      <c r="AC167" s="2878"/>
      <c r="AD167" s="3280"/>
      <c r="AE167" s="3280"/>
      <c r="AF167" s="3280"/>
      <c r="AG167" s="3280"/>
      <c r="AH167" s="3280"/>
      <c r="AI167" s="3280"/>
      <c r="AJ167" s="3280"/>
      <c r="AK167" s="3280"/>
      <c r="AL167" s="3280"/>
      <c r="AM167" s="3280"/>
      <c r="AN167" s="3280"/>
      <c r="AO167" s="3349"/>
      <c r="AP167" s="3349"/>
      <c r="AQ167" s="3352"/>
    </row>
    <row r="168" spans="1:43" ht="60" x14ac:dyDescent="0.2">
      <c r="A168" s="1532"/>
      <c r="B168" s="1533"/>
      <c r="C168" s="1534"/>
      <c r="D168" s="1533"/>
      <c r="E168" s="1533"/>
      <c r="F168" s="1534"/>
      <c r="G168" s="1540"/>
      <c r="H168" s="1533"/>
      <c r="I168" s="1534"/>
      <c r="J168" s="3269"/>
      <c r="K168" s="3272"/>
      <c r="L168" s="3269"/>
      <c r="M168" s="3269"/>
      <c r="N168" s="1597"/>
      <c r="O168" s="3268"/>
      <c r="P168" s="3271"/>
      <c r="Q168" s="2799"/>
      <c r="R168" s="2825"/>
      <c r="S168" s="3271"/>
      <c r="T168" s="3272"/>
      <c r="U168" s="1555" t="s">
        <v>2064</v>
      </c>
      <c r="V168" s="1421">
        <v>9000000</v>
      </c>
      <c r="W168" s="1598"/>
      <c r="X168" s="1599"/>
      <c r="Y168" s="3293"/>
      <c r="Z168" s="3293"/>
      <c r="AA168" s="3280"/>
      <c r="AB168" s="3280"/>
      <c r="AC168" s="2878"/>
      <c r="AD168" s="3280"/>
      <c r="AE168" s="3280"/>
      <c r="AF168" s="3280"/>
      <c r="AG168" s="3280"/>
      <c r="AH168" s="3280"/>
      <c r="AI168" s="3280"/>
      <c r="AJ168" s="3280"/>
      <c r="AK168" s="3280"/>
      <c r="AL168" s="3280"/>
      <c r="AM168" s="3280"/>
      <c r="AN168" s="3280"/>
      <c r="AO168" s="3349"/>
      <c r="AP168" s="3349"/>
      <c r="AQ168" s="3352"/>
    </row>
    <row r="169" spans="1:43" ht="75" x14ac:dyDescent="0.2">
      <c r="A169" s="1532"/>
      <c r="B169" s="1533"/>
      <c r="C169" s="1534"/>
      <c r="D169" s="1533"/>
      <c r="E169" s="1533"/>
      <c r="F169" s="1534"/>
      <c r="G169" s="1540"/>
      <c r="H169" s="1533"/>
      <c r="I169" s="1534"/>
      <c r="J169" s="3267">
        <v>155</v>
      </c>
      <c r="K169" s="3270" t="s">
        <v>2065</v>
      </c>
      <c r="L169" s="3267" t="s">
        <v>1804</v>
      </c>
      <c r="M169" s="3267">
        <v>1</v>
      </c>
      <c r="N169" s="1597"/>
      <c r="O169" s="3268"/>
      <c r="P169" s="3271"/>
      <c r="Q169" s="2797">
        <f>(V169+V174+V175+V170+V171+V172+V173)/R162</f>
        <v>0.19275183589552605</v>
      </c>
      <c r="R169" s="2825"/>
      <c r="S169" s="3271"/>
      <c r="T169" s="3270" t="s">
        <v>2066</v>
      </c>
      <c r="U169" s="1555" t="s">
        <v>2067</v>
      </c>
      <c r="V169" s="1421">
        <v>1000000</v>
      </c>
      <c r="W169" s="1598"/>
      <c r="X169" s="1599"/>
      <c r="Y169" s="3293"/>
      <c r="Z169" s="3293"/>
      <c r="AA169" s="3280"/>
      <c r="AB169" s="3280"/>
      <c r="AC169" s="2878"/>
      <c r="AD169" s="3280"/>
      <c r="AE169" s="3280"/>
      <c r="AF169" s="3280"/>
      <c r="AG169" s="3280"/>
      <c r="AH169" s="3280"/>
      <c r="AI169" s="3280"/>
      <c r="AJ169" s="3280"/>
      <c r="AK169" s="3280"/>
      <c r="AL169" s="3280"/>
      <c r="AM169" s="3280"/>
      <c r="AN169" s="3280"/>
      <c r="AO169" s="3349"/>
      <c r="AP169" s="3349"/>
      <c r="AQ169" s="3352"/>
    </row>
    <row r="170" spans="1:43" ht="120" x14ac:dyDescent="0.2">
      <c r="A170" s="1532"/>
      <c r="B170" s="1533"/>
      <c r="C170" s="1534"/>
      <c r="D170" s="1533"/>
      <c r="E170" s="1533"/>
      <c r="F170" s="1534"/>
      <c r="G170" s="1540"/>
      <c r="H170" s="1533"/>
      <c r="I170" s="1534"/>
      <c r="J170" s="3268"/>
      <c r="K170" s="3271"/>
      <c r="L170" s="3268"/>
      <c r="M170" s="3268"/>
      <c r="N170" s="1597"/>
      <c r="O170" s="3268"/>
      <c r="P170" s="3271"/>
      <c r="Q170" s="2798"/>
      <c r="R170" s="2825"/>
      <c r="S170" s="3271"/>
      <c r="T170" s="3271"/>
      <c r="U170" s="1555" t="s">
        <v>2068</v>
      </c>
      <c r="V170" s="1421">
        <v>18000000</v>
      </c>
      <c r="W170" s="1598"/>
      <c r="X170" s="1599"/>
      <c r="Y170" s="3293"/>
      <c r="Z170" s="3293"/>
      <c r="AA170" s="3280"/>
      <c r="AB170" s="3280"/>
      <c r="AC170" s="2878"/>
      <c r="AD170" s="3280"/>
      <c r="AE170" s="3280"/>
      <c r="AF170" s="3280"/>
      <c r="AG170" s="3280"/>
      <c r="AH170" s="3280"/>
      <c r="AI170" s="3280"/>
      <c r="AJ170" s="3280"/>
      <c r="AK170" s="3280"/>
      <c r="AL170" s="3280"/>
      <c r="AM170" s="3280"/>
      <c r="AN170" s="3280"/>
      <c r="AO170" s="3349"/>
      <c r="AP170" s="3349"/>
      <c r="AQ170" s="3352"/>
    </row>
    <row r="171" spans="1:43" ht="60" x14ac:dyDescent="0.2">
      <c r="A171" s="1532"/>
      <c r="B171" s="1533"/>
      <c r="C171" s="1534"/>
      <c r="D171" s="1533"/>
      <c r="E171" s="1533"/>
      <c r="F171" s="1534"/>
      <c r="G171" s="1540"/>
      <c r="H171" s="1533"/>
      <c r="I171" s="1534"/>
      <c r="J171" s="3268"/>
      <c r="K171" s="3271"/>
      <c r="L171" s="3268"/>
      <c r="M171" s="3268"/>
      <c r="N171" s="1597"/>
      <c r="O171" s="3268"/>
      <c r="P171" s="3271"/>
      <c r="Q171" s="2798"/>
      <c r="R171" s="2825"/>
      <c r="S171" s="3271"/>
      <c r="T171" s="3271"/>
      <c r="U171" s="1555" t="s">
        <v>2069</v>
      </c>
      <c r="V171" s="1421">
        <v>17300000</v>
      </c>
      <c r="W171" s="1598"/>
      <c r="X171" s="1599"/>
      <c r="Y171" s="3293"/>
      <c r="Z171" s="3293"/>
      <c r="AA171" s="3280"/>
      <c r="AB171" s="3280"/>
      <c r="AC171" s="2878"/>
      <c r="AD171" s="3280"/>
      <c r="AE171" s="3280"/>
      <c r="AF171" s="3280"/>
      <c r="AG171" s="3280"/>
      <c r="AH171" s="3280"/>
      <c r="AI171" s="3280"/>
      <c r="AJ171" s="3280"/>
      <c r="AK171" s="3280"/>
      <c r="AL171" s="3280"/>
      <c r="AM171" s="3280"/>
      <c r="AN171" s="3280"/>
      <c r="AO171" s="3349"/>
      <c r="AP171" s="3349"/>
      <c r="AQ171" s="3352"/>
    </row>
    <row r="172" spans="1:43" ht="45" x14ac:dyDescent="0.2">
      <c r="A172" s="1532"/>
      <c r="B172" s="1533"/>
      <c r="C172" s="1534"/>
      <c r="D172" s="1533"/>
      <c r="E172" s="1533"/>
      <c r="F172" s="1534"/>
      <c r="G172" s="1540"/>
      <c r="H172" s="1533"/>
      <c r="I172" s="1534"/>
      <c r="J172" s="3268"/>
      <c r="K172" s="3271"/>
      <c r="L172" s="3268"/>
      <c r="M172" s="3268"/>
      <c r="N172" s="1597"/>
      <c r="O172" s="3268"/>
      <c r="P172" s="3271"/>
      <c r="Q172" s="2798"/>
      <c r="R172" s="2825"/>
      <c r="S172" s="3271"/>
      <c r="T172" s="3271"/>
      <c r="U172" s="1555" t="s">
        <v>2070</v>
      </c>
      <c r="V172" s="1421">
        <v>1000000</v>
      </c>
      <c r="W172" s="1598"/>
      <c r="X172" s="1599"/>
      <c r="Y172" s="3293"/>
      <c r="Z172" s="3293"/>
      <c r="AA172" s="3280"/>
      <c r="AB172" s="3280"/>
      <c r="AC172" s="2878"/>
      <c r="AD172" s="3280"/>
      <c r="AE172" s="3280"/>
      <c r="AF172" s="3280"/>
      <c r="AG172" s="3280"/>
      <c r="AH172" s="3280"/>
      <c r="AI172" s="3280"/>
      <c r="AJ172" s="3280"/>
      <c r="AK172" s="3280"/>
      <c r="AL172" s="3280"/>
      <c r="AM172" s="3280"/>
      <c r="AN172" s="3280"/>
      <c r="AO172" s="3349"/>
      <c r="AP172" s="3349"/>
      <c r="AQ172" s="3352"/>
    </row>
    <row r="173" spans="1:43" ht="60" x14ac:dyDescent="0.2">
      <c r="A173" s="1532"/>
      <c r="B173" s="1533"/>
      <c r="C173" s="1534"/>
      <c r="D173" s="1533"/>
      <c r="E173" s="1533"/>
      <c r="F173" s="1534"/>
      <c r="G173" s="1540"/>
      <c r="H173" s="1533"/>
      <c r="I173" s="1534"/>
      <c r="J173" s="3268"/>
      <c r="K173" s="3271"/>
      <c r="L173" s="3268"/>
      <c r="M173" s="3268"/>
      <c r="N173" s="1597"/>
      <c r="O173" s="3268"/>
      <c r="P173" s="3271"/>
      <c r="Q173" s="2798"/>
      <c r="R173" s="2825"/>
      <c r="S173" s="3271"/>
      <c r="T173" s="3271"/>
      <c r="U173" s="1555" t="s">
        <v>2071</v>
      </c>
      <c r="V173" s="1421">
        <v>1000000</v>
      </c>
      <c r="W173" s="1598"/>
      <c r="X173" s="1599"/>
      <c r="Y173" s="3293"/>
      <c r="Z173" s="3293"/>
      <c r="AA173" s="3280"/>
      <c r="AB173" s="3280"/>
      <c r="AC173" s="2878"/>
      <c r="AD173" s="3280"/>
      <c r="AE173" s="3280"/>
      <c r="AF173" s="3280"/>
      <c r="AG173" s="3280"/>
      <c r="AH173" s="3280"/>
      <c r="AI173" s="3280"/>
      <c r="AJ173" s="3280"/>
      <c r="AK173" s="3280"/>
      <c r="AL173" s="3280"/>
      <c r="AM173" s="3280"/>
      <c r="AN173" s="3280"/>
      <c r="AO173" s="3349"/>
      <c r="AP173" s="3349"/>
      <c r="AQ173" s="3352"/>
    </row>
    <row r="174" spans="1:43" ht="60" x14ac:dyDescent="0.2">
      <c r="A174" s="1532"/>
      <c r="B174" s="1533"/>
      <c r="C174" s="1534"/>
      <c r="D174" s="1533"/>
      <c r="E174" s="1533"/>
      <c r="F174" s="1534"/>
      <c r="G174" s="1540"/>
      <c r="H174" s="1533"/>
      <c r="I174" s="1534"/>
      <c r="J174" s="3268"/>
      <c r="K174" s="3271"/>
      <c r="L174" s="3268"/>
      <c r="M174" s="3268"/>
      <c r="N174" s="1597"/>
      <c r="O174" s="3268"/>
      <c r="P174" s="3271"/>
      <c r="Q174" s="2798"/>
      <c r="R174" s="2825"/>
      <c r="S174" s="3271"/>
      <c r="T174" s="3271"/>
      <c r="U174" s="1555" t="s">
        <v>2072</v>
      </c>
      <c r="V174" s="1421">
        <v>13500000</v>
      </c>
      <c r="W174" s="1598"/>
      <c r="X174" s="1599"/>
      <c r="Y174" s="3293"/>
      <c r="Z174" s="3293"/>
      <c r="AA174" s="3280"/>
      <c r="AB174" s="3280"/>
      <c r="AC174" s="2878"/>
      <c r="AD174" s="3280"/>
      <c r="AE174" s="3280"/>
      <c r="AF174" s="3280"/>
      <c r="AG174" s="3280"/>
      <c r="AH174" s="3280"/>
      <c r="AI174" s="3280"/>
      <c r="AJ174" s="3280"/>
      <c r="AK174" s="3280"/>
      <c r="AL174" s="3280"/>
      <c r="AM174" s="3280"/>
      <c r="AN174" s="3280"/>
      <c r="AO174" s="3349"/>
      <c r="AP174" s="3349"/>
      <c r="AQ174" s="3352"/>
    </row>
    <row r="175" spans="1:43" ht="45" x14ac:dyDescent="0.2">
      <c r="A175" s="1532"/>
      <c r="B175" s="1533"/>
      <c r="C175" s="1534"/>
      <c r="D175" s="1533"/>
      <c r="E175" s="1533"/>
      <c r="F175" s="1534"/>
      <c r="G175" s="1540"/>
      <c r="H175" s="1533"/>
      <c r="I175" s="1534"/>
      <c r="J175" s="3269"/>
      <c r="K175" s="3272"/>
      <c r="L175" s="3269"/>
      <c r="M175" s="3269"/>
      <c r="N175" s="1597" t="s">
        <v>2073</v>
      </c>
      <c r="O175" s="3268"/>
      <c r="P175" s="3271"/>
      <c r="Q175" s="2799"/>
      <c r="R175" s="2825"/>
      <c r="S175" s="3271"/>
      <c r="T175" s="3272"/>
      <c r="U175" s="1555" t="s">
        <v>2074</v>
      </c>
      <c r="V175" s="1421">
        <v>1000000</v>
      </c>
      <c r="W175" s="1599">
        <v>61</v>
      </c>
      <c r="X175" s="1597" t="s">
        <v>1810</v>
      </c>
      <c r="Y175" s="3293"/>
      <c r="Z175" s="3293"/>
      <c r="AA175" s="3280"/>
      <c r="AB175" s="3280"/>
      <c r="AC175" s="2878"/>
      <c r="AD175" s="3280"/>
      <c r="AE175" s="3280"/>
      <c r="AF175" s="3280"/>
      <c r="AG175" s="3280"/>
      <c r="AH175" s="3280"/>
      <c r="AI175" s="3280"/>
      <c r="AJ175" s="3280"/>
      <c r="AK175" s="3280"/>
      <c r="AL175" s="3280"/>
      <c r="AM175" s="3280"/>
      <c r="AN175" s="3280"/>
      <c r="AO175" s="3349"/>
      <c r="AP175" s="3349"/>
      <c r="AQ175" s="3352"/>
    </row>
    <row r="176" spans="1:43" ht="30" x14ac:dyDescent="0.2">
      <c r="A176" s="1532"/>
      <c r="B176" s="1533"/>
      <c r="C176" s="1534"/>
      <c r="D176" s="1533"/>
      <c r="E176" s="1533"/>
      <c r="F176" s="1534"/>
      <c r="G176" s="1540"/>
      <c r="H176" s="1533"/>
      <c r="I176" s="1534"/>
      <c r="J176" s="3267">
        <v>156</v>
      </c>
      <c r="K176" s="3270" t="s">
        <v>2075</v>
      </c>
      <c r="L176" s="3267" t="s">
        <v>1804</v>
      </c>
      <c r="M176" s="3267">
        <v>12</v>
      </c>
      <c r="N176" s="1414" t="s">
        <v>2076</v>
      </c>
      <c r="O176" s="3268"/>
      <c r="P176" s="3271"/>
      <c r="Q176" s="2797">
        <f>(V176+V177+V178+V179+V180+V181)/R162</f>
        <v>0.29934944211047604</v>
      </c>
      <c r="R176" s="2825"/>
      <c r="S176" s="3271"/>
      <c r="T176" s="3270" t="s">
        <v>2077</v>
      </c>
      <c r="U176" s="1555" t="s">
        <v>2078</v>
      </c>
      <c r="V176" s="1421">
        <v>14000000</v>
      </c>
      <c r="W176" s="1599">
        <v>20</v>
      </c>
      <c r="X176" s="1597" t="s">
        <v>72</v>
      </c>
      <c r="Y176" s="3293"/>
      <c r="Z176" s="3293"/>
      <c r="AA176" s="3280"/>
      <c r="AB176" s="3280"/>
      <c r="AC176" s="2878"/>
      <c r="AD176" s="3280"/>
      <c r="AE176" s="3280"/>
      <c r="AF176" s="3280"/>
      <c r="AG176" s="3280"/>
      <c r="AH176" s="3280"/>
      <c r="AI176" s="3280"/>
      <c r="AJ176" s="3280"/>
      <c r="AK176" s="3280"/>
      <c r="AL176" s="3280"/>
      <c r="AM176" s="3280"/>
      <c r="AN176" s="3280"/>
      <c r="AO176" s="3349"/>
      <c r="AP176" s="3349"/>
      <c r="AQ176" s="3352"/>
    </row>
    <row r="177" spans="1:43" ht="60" x14ac:dyDescent="0.2">
      <c r="A177" s="1532"/>
      <c r="B177" s="1533"/>
      <c r="C177" s="1534"/>
      <c r="D177" s="1533"/>
      <c r="E177" s="1533"/>
      <c r="F177" s="1534"/>
      <c r="G177" s="1540"/>
      <c r="H177" s="1533"/>
      <c r="I177" s="1534"/>
      <c r="J177" s="3268"/>
      <c r="K177" s="3271"/>
      <c r="L177" s="3268"/>
      <c r="M177" s="3268"/>
      <c r="N177" s="1597"/>
      <c r="O177" s="3268"/>
      <c r="P177" s="3271"/>
      <c r="Q177" s="2798"/>
      <c r="R177" s="2825"/>
      <c r="S177" s="3271"/>
      <c r="T177" s="3271"/>
      <c r="U177" s="1555" t="s">
        <v>2079</v>
      </c>
      <c r="V177" s="1421">
        <v>14000000</v>
      </c>
      <c r="W177" s="1599"/>
      <c r="X177" s="1597"/>
      <c r="Y177" s="3293"/>
      <c r="Z177" s="3293"/>
      <c r="AA177" s="3280"/>
      <c r="AB177" s="3280"/>
      <c r="AC177" s="2878"/>
      <c r="AD177" s="3280"/>
      <c r="AE177" s="3280"/>
      <c r="AF177" s="3280"/>
      <c r="AG177" s="3280"/>
      <c r="AH177" s="3280"/>
      <c r="AI177" s="3280"/>
      <c r="AJ177" s="3280"/>
      <c r="AK177" s="3280"/>
      <c r="AL177" s="3280"/>
      <c r="AM177" s="3280"/>
      <c r="AN177" s="3280"/>
      <c r="AO177" s="3349"/>
      <c r="AP177" s="3349"/>
      <c r="AQ177" s="3352"/>
    </row>
    <row r="178" spans="1:43" ht="75" x14ac:dyDescent="0.2">
      <c r="A178" s="1532"/>
      <c r="B178" s="1533"/>
      <c r="C178" s="1534"/>
      <c r="D178" s="1533"/>
      <c r="E178" s="1533"/>
      <c r="F178" s="1534"/>
      <c r="G178" s="1540"/>
      <c r="H178" s="1533"/>
      <c r="I178" s="1534"/>
      <c r="J178" s="3268"/>
      <c r="K178" s="3271"/>
      <c r="L178" s="3268"/>
      <c r="M178" s="3268"/>
      <c r="N178" s="1597"/>
      <c r="O178" s="3268"/>
      <c r="P178" s="3271"/>
      <c r="Q178" s="2798"/>
      <c r="R178" s="2825"/>
      <c r="S178" s="3271"/>
      <c r="T178" s="3271"/>
      <c r="U178" s="1555" t="s">
        <v>2080</v>
      </c>
      <c r="V178" s="1421">
        <v>14800000</v>
      </c>
      <c r="W178" s="1599"/>
      <c r="X178" s="1597"/>
      <c r="Y178" s="3293"/>
      <c r="Z178" s="3293"/>
      <c r="AA178" s="3280"/>
      <c r="AB178" s="3280"/>
      <c r="AC178" s="2878"/>
      <c r="AD178" s="3280"/>
      <c r="AE178" s="3280"/>
      <c r="AF178" s="3280"/>
      <c r="AG178" s="3280"/>
      <c r="AH178" s="3280"/>
      <c r="AI178" s="3280"/>
      <c r="AJ178" s="3280"/>
      <c r="AK178" s="3280"/>
      <c r="AL178" s="3280"/>
      <c r="AM178" s="3280"/>
      <c r="AN178" s="3280"/>
      <c r="AO178" s="3349"/>
      <c r="AP178" s="3349"/>
      <c r="AQ178" s="3352"/>
    </row>
    <row r="179" spans="1:43" ht="60" x14ac:dyDescent="0.2">
      <c r="A179" s="1532"/>
      <c r="B179" s="1533"/>
      <c r="C179" s="1534"/>
      <c r="D179" s="1533"/>
      <c r="E179" s="1533"/>
      <c r="F179" s="1534"/>
      <c r="G179" s="1540"/>
      <c r="H179" s="1533"/>
      <c r="I179" s="1534"/>
      <c r="J179" s="3268"/>
      <c r="K179" s="3271"/>
      <c r="L179" s="3268"/>
      <c r="M179" s="3268"/>
      <c r="N179" s="1597"/>
      <c r="O179" s="3268"/>
      <c r="P179" s="3271"/>
      <c r="Q179" s="2798"/>
      <c r="R179" s="2825"/>
      <c r="S179" s="3271"/>
      <c r="T179" s="3271"/>
      <c r="U179" s="1555" t="s">
        <v>2081</v>
      </c>
      <c r="V179" s="1421">
        <v>14800000</v>
      </c>
      <c r="W179" s="1599"/>
      <c r="X179" s="1597"/>
      <c r="Y179" s="3293"/>
      <c r="Z179" s="3293"/>
      <c r="AA179" s="3280"/>
      <c r="AB179" s="3280"/>
      <c r="AC179" s="2878"/>
      <c r="AD179" s="3280"/>
      <c r="AE179" s="3280"/>
      <c r="AF179" s="3280"/>
      <c r="AG179" s="3280"/>
      <c r="AH179" s="3280"/>
      <c r="AI179" s="3280"/>
      <c r="AJ179" s="3280"/>
      <c r="AK179" s="3280"/>
      <c r="AL179" s="3280"/>
      <c r="AM179" s="3280"/>
      <c r="AN179" s="3280"/>
      <c r="AO179" s="3349"/>
      <c r="AP179" s="3349"/>
      <c r="AQ179" s="3352"/>
    </row>
    <row r="180" spans="1:43" ht="45" x14ac:dyDescent="0.2">
      <c r="A180" s="1532"/>
      <c r="B180" s="1533"/>
      <c r="C180" s="1534"/>
      <c r="D180" s="1533"/>
      <c r="E180" s="1533"/>
      <c r="F180" s="1534"/>
      <c r="G180" s="1540"/>
      <c r="H180" s="1533"/>
      <c r="I180" s="1534"/>
      <c r="J180" s="3268"/>
      <c r="K180" s="3271"/>
      <c r="L180" s="3268"/>
      <c r="M180" s="3268"/>
      <c r="N180" s="1597"/>
      <c r="O180" s="3268"/>
      <c r="P180" s="3271"/>
      <c r="Q180" s="2798"/>
      <c r="R180" s="2825"/>
      <c r="S180" s="3271"/>
      <c r="T180" s="3271"/>
      <c r="U180" s="1555" t="s">
        <v>2082</v>
      </c>
      <c r="V180" s="1421">
        <v>14800000</v>
      </c>
      <c r="W180" s="1599"/>
      <c r="X180" s="1597"/>
      <c r="Y180" s="3293"/>
      <c r="Z180" s="3293"/>
      <c r="AA180" s="3280"/>
      <c r="AB180" s="3280"/>
      <c r="AC180" s="2878"/>
      <c r="AD180" s="3280"/>
      <c r="AE180" s="3280"/>
      <c r="AF180" s="3280"/>
      <c r="AG180" s="3280"/>
      <c r="AH180" s="3280"/>
      <c r="AI180" s="3280"/>
      <c r="AJ180" s="3280"/>
      <c r="AK180" s="3280"/>
      <c r="AL180" s="3280"/>
      <c r="AM180" s="3280"/>
      <c r="AN180" s="3280"/>
      <c r="AO180" s="3349"/>
      <c r="AP180" s="3349"/>
      <c r="AQ180" s="3352"/>
    </row>
    <row r="181" spans="1:43" ht="79.5" customHeight="1" x14ac:dyDescent="0.2">
      <c r="A181" s="1532"/>
      <c r="B181" s="1533"/>
      <c r="C181" s="1534"/>
      <c r="D181" s="1533"/>
      <c r="E181" s="1533"/>
      <c r="F181" s="1534"/>
      <c r="G181" s="1540"/>
      <c r="H181" s="1533"/>
      <c r="I181" s="1534"/>
      <c r="J181" s="3269"/>
      <c r="K181" s="3272"/>
      <c r="L181" s="3269"/>
      <c r="M181" s="3269"/>
      <c r="N181" s="1597"/>
      <c r="O181" s="3268"/>
      <c r="P181" s="3271"/>
      <c r="Q181" s="2799"/>
      <c r="R181" s="2825"/>
      <c r="S181" s="3271"/>
      <c r="T181" s="3272"/>
      <c r="U181" s="1555" t="s">
        <v>2083</v>
      </c>
      <c r="V181" s="1421">
        <v>9600000</v>
      </c>
      <c r="W181" s="1598"/>
      <c r="X181" s="1599"/>
      <c r="Y181" s="3293"/>
      <c r="Z181" s="3293"/>
      <c r="AA181" s="3280"/>
      <c r="AB181" s="3280"/>
      <c r="AC181" s="2878"/>
      <c r="AD181" s="3280"/>
      <c r="AE181" s="3280"/>
      <c r="AF181" s="3280"/>
      <c r="AG181" s="3280"/>
      <c r="AH181" s="3280"/>
      <c r="AI181" s="3280"/>
      <c r="AJ181" s="3280"/>
      <c r="AK181" s="3280"/>
      <c r="AL181" s="3280"/>
      <c r="AM181" s="3280"/>
      <c r="AN181" s="3280"/>
      <c r="AO181" s="3349"/>
      <c r="AP181" s="3349"/>
      <c r="AQ181" s="3352"/>
    </row>
    <row r="182" spans="1:43" ht="60" x14ac:dyDescent="0.2">
      <c r="A182" s="1532"/>
      <c r="B182" s="1533"/>
      <c r="C182" s="1534"/>
      <c r="D182" s="1533"/>
      <c r="E182" s="1533"/>
      <c r="F182" s="1534"/>
      <c r="G182" s="1540"/>
      <c r="H182" s="1533"/>
      <c r="I182" s="1534"/>
      <c r="J182" s="3267">
        <v>157</v>
      </c>
      <c r="K182" s="3270" t="s">
        <v>2084</v>
      </c>
      <c r="L182" s="3267" t="s">
        <v>1804</v>
      </c>
      <c r="M182" s="3267">
        <v>12</v>
      </c>
      <c r="N182" s="1597"/>
      <c r="O182" s="3268"/>
      <c r="P182" s="3271"/>
      <c r="Q182" s="2797">
        <f>(V182+V185+V183+V184)/R162</f>
        <v>0.19254039662311634</v>
      </c>
      <c r="R182" s="2825"/>
      <c r="S182" s="3271"/>
      <c r="T182" s="3270" t="s">
        <v>2085</v>
      </c>
      <c r="U182" s="1555" t="s">
        <v>2086</v>
      </c>
      <c r="V182" s="1415">
        <v>24342081</v>
      </c>
      <c r="W182" s="1598"/>
      <c r="X182" s="1599"/>
      <c r="Y182" s="3293"/>
      <c r="Z182" s="3293"/>
      <c r="AA182" s="3280"/>
      <c r="AB182" s="3280"/>
      <c r="AC182" s="2878"/>
      <c r="AD182" s="3280"/>
      <c r="AE182" s="3280"/>
      <c r="AF182" s="3280"/>
      <c r="AG182" s="3280"/>
      <c r="AH182" s="3280"/>
      <c r="AI182" s="3280"/>
      <c r="AJ182" s="3280"/>
      <c r="AK182" s="3280"/>
      <c r="AL182" s="3280"/>
      <c r="AM182" s="3280"/>
      <c r="AN182" s="3280"/>
      <c r="AO182" s="3349"/>
      <c r="AP182" s="3349"/>
      <c r="AQ182" s="3352"/>
    </row>
    <row r="183" spans="1:43" ht="114" customHeight="1" x14ac:dyDescent="0.2">
      <c r="A183" s="1532"/>
      <c r="B183" s="1533"/>
      <c r="C183" s="1534"/>
      <c r="D183" s="1533"/>
      <c r="E183" s="1533"/>
      <c r="F183" s="1534"/>
      <c r="G183" s="1540"/>
      <c r="H183" s="1533"/>
      <c r="I183" s="1534"/>
      <c r="J183" s="3268"/>
      <c r="K183" s="3271"/>
      <c r="L183" s="3268"/>
      <c r="M183" s="3268"/>
      <c r="N183" s="1597"/>
      <c r="O183" s="3268"/>
      <c r="P183" s="3271"/>
      <c r="Q183" s="2798"/>
      <c r="R183" s="2825"/>
      <c r="S183" s="3271"/>
      <c r="T183" s="3271"/>
      <c r="U183" s="1555" t="s">
        <v>2087</v>
      </c>
      <c r="V183" s="1421">
        <v>8000000</v>
      </c>
      <c r="W183" s="1598"/>
      <c r="X183" s="1599"/>
      <c r="Y183" s="3293"/>
      <c r="Z183" s="3293"/>
      <c r="AA183" s="3280"/>
      <c r="AB183" s="3280"/>
      <c r="AC183" s="2878"/>
      <c r="AD183" s="3280"/>
      <c r="AE183" s="3280"/>
      <c r="AF183" s="3280"/>
      <c r="AG183" s="3280"/>
      <c r="AH183" s="3280"/>
      <c r="AI183" s="3280"/>
      <c r="AJ183" s="3280"/>
      <c r="AK183" s="3280"/>
      <c r="AL183" s="3280"/>
      <c r="AM183" s="3280"/>
      <c r="AN183" s="3280"/>
      <c r="AO183" s="3349"/>
      <c r="AP183" s="3349"/>
      <c r="AQ183" s="3352"/>
    </row>
    <row r="184" spans="1:43" ht="60" customHeight="1" x14ac:dyDescent="0.2">
      <c r="A184" s="1532"/>
      <c r="B184" s="1533"/>
      <c r="C184" s="1534"/>
      <c r="D184" s="1533"/>
      <c r="E184" s="1533"/>
      <c r="F184" s="1534"/>
      <c r="G184" s="1540"/>
      <c r="H184" s="1533"/>
      <c r="I184" s="1534"/>
      <c r="J184" s="3268"/>
      <c r="K184" s="3271"/>
      <c r="L184" s="3268"/>
      <c r="M184" s="3268"/>
      <c r="N184" s="1597"/>
      <c r="O184" s="3268"/>
      <c r="P184" s="3271"/>
      <c r="Q184" s="2798"/>
      <c r="R184" s="2825"/>
      <c r="S184" s="3271"/>
      <c r="T184" s="3271"/>
      <c r="U184" s="1555" t="s">
        <v>2088</v>
      </c>
      <c r="V184" s="1421">
        <v>6000000</v>
      </c>
      <c r="W184" s="1598"/>
      <c r="X184" s="1599"/>
      <c r="Y184" s="3293"/>
      <c r="Z184" s="3293"/>
      <c r="AA184" s="3280"/>
      <c r="AB184" s="3280"/>
      <c r="AC184" s="2878"/>
      <c r="AD184" s="3280"/>
      <c r="AE184" s="3280"/>
      <c r="AF184" s="3280"/>
      <c r="AG184" s="3280"/>
      <c r="AH184" s="3280"/>
      <c r="AI184" s="3280"/>
      <c r="AJ184" s="3280"/>
      <c r="AK184" s="3280"/>
      <c r="AL184" s="3280"/>
      <c r="AM184" s="3280"/>
      <c r="AN184" s="3280"/>
      <c r="AO184" s="3349"/>
      <c r="AP184" s="3349"/>
      <c r="AQ184" s="3352"/>
    </row>
    <row r="185" spans="1:43" ht="90" x14ac:dyDescent="0.2">
      <c r="A185" s="1532"/>
      <c r="B185" s="1533"/>
      <c r="C185" s="1534"/>
      <c r="D185" s="1533"/>
      <c r="E185" s="1533"/>
      <c r="F185" s="1534"/>
      <c r="G185" s="1544"/>
      <c r="H185" s="1542"/>
      <c r="I185" s="1543"/>
      <c r="J185" s="3269"/>
      <c r="K185" s="3272"/>
      <c r="L185" s="3269"/>
      <c r="M185" s="3269"/>
      <c r="N185" s="1603"/>
      <c r="O185" s="3269"/>
      <c r="P185" s="3272"/>
      <c r="Q185" s="2799"/>
      <c r="R185" s="2826"/>
      <c r="S185" s="3272"/>
      <c r="T185" s="3272"/>
      <c r="U185" s="1555" t="s">
        <v>2089</v>
      </c>
      <c r="V185" s="1421">
        <v>14400000</v>
      </c>
      <c r="W185" s="1604"/>
      <c r="X185" s="1606"/>
      <c r="Y185" s="3294"/>
      <c r="Z185" s="3294"/>
      <c r="AA185" s="3281"/>
      <c r="AB185" s="3281"/>
      <c r="AC185" s="2879"/>
      <c r="AD185" s="3281"/>
      <c r="AE185" s="3281"/>
      <c r="AF185" s="3281"/>
      <c r="AG185" s="3281"/>
      <c r="AH185" s="3281"/>
      <c r="AI185" s="3281"/>
      <c r="AJ185" s="3281"/>
      <c r="AK185" s="3281"/>
      <c r="AL185" s="3281"/>
      <c r="AM185" s="3281"/>
      <c r="AN185" s="3281"/>
      <c r="AO185" s="3350"/>
      <c r="AP185" s="3350"/>
      <c r="AQ185" s="3353"/>
    </row>
    <row r="186" spans="1:43" ht="36" customHeight="1" x14ac:dyDescent="0.2">
      <c r="A186" s="1518"/>
      <c r="B186" s="1519"/>
      <c r="C186" s="1520"/>
      <c r="D186" s="1519"/>
      <c r="E186" s="1519"/>
      <c r="F186" s="1520"/>
      <c r="G186" s="1551">
        <v>45</v>
      </c>
      <c r="H186" s="1524" t="s">
        <v>2090</v>
      </c>
      <c r="I186" s="1524"/>
      <c r="J186" s="1524"/>
      <c r="K186" s="1525"/>
      <c r="L186" s="1524"/>
      <c r="M186" s="1524"/>
      <c r="N186" s="1526"/>
      <c r="O186" s="1524"/>
      <c r="P186" s="1525"/>
      <c r="Q186" s="1524"/>
      <c r="R186" s="1552"/>
      <c r="S186" s="1524"/>
      <c r="T186" s="1525"/>
      <c r="U186" s="1525"/>
      <c r="V186" s="1607"/>
      <c r="W186" s="1554"/>
      <c r="X186" s="1526"/>
      <c r="Y186" s="1526"/>
      <c r="Z186" s="1526"/>
      <c r="AA186" s="1526"/>
      <c r="AB186" s="1526"/>
      <c r="AC186" s="1526"/>
      <c r="AD186" s="1526"/>
      <c r="AE186" s="1526"/>
      <c r="AF186" s="1526"/>
      <c r="AG186" s="1526"/>
      <c r="AH186" s="1526"/>
      <c r="AI186" s="1526"/>
      <c r="AJ186" s="1526"/>
      <c r="AK186" s="1526"/>
      <c r="AL186" s="1526"/>
      <c r="AM186" s="1526"/>
      <c r="AN186" s="1526"/>
      <c r="AO186" s="1526"/>
      <c r="AP186" s="1524"/>
      <c r="AQ186" s="1531"/>
    </row>
    <row r="187" spans="1:43" s="1539" customFormat="1" ht="35.25" customHeight="1" x14ac:dyDescent="0.2">
      <c r="A187" s="1532"/>
      <c r="B187" s="1533"/>
      <c r="C187" s="1534"/>
      <c r="D187" s="1533"/>
      <c r="E187" s="1533"/>
      <c r="F187" s="1534"/>
      <c r="G187" s="1535"/>
      <c r="H187" s="1536"/>
      <c r="I187" s="1537"/>
      <c r="J187" s="3267">
        <v>158</v>
      </c>
      <c r="K187" s="3267" t="s">
        <v>2091</v>
      </c>
      <c r="L187" s="3267" t="s">
        <v>1804</v>
      </c>
      <c r="M187" s="3267">
        <v>11</v>
      </c>
      <c r="N187" s="3267" t="s">
        <v>2092</v>
      </c>
      <c r="O187" s="3267">
        <v>150</v>
      </c>
      <c r="P187" s="3270" t="s">
        <v>2093</v>
      </c>
      <c r="Q187" s="2797">
        <f>+(V187+V188+V189+V190)/R187</f>
        <v>1</v>
      </c>
      <c r="R187" s="2824">
        <f>SUM(V187:V191)</f>
        <v>1284098541</v>
      </c>
      <c r="S187" s="3270" t="s">
        <v>2094</v>
      </c>
      <c r="T187" s="3282" t="s">
        <v>2095</v>
      </c>
      <c r="U187" s="1555" t="s">
        <v>2096</v>
      </c>
      <c r="V187" s="535">
        <v>150000000</v>
      </c>
      <c r="W187" s="3292">
        <v>61</v>
      </c>
      <c r="X187" s="3267" t="s">
        <v>1810</v>
      </c>
      <c r="Y187" s="3267">
        <v>292684</v>
      </c>
      <c r="Z187" s="3267">
        <v>282326</v>
      </c>
      <c r="AA187" s="3301">
        <v>135912</v>
      </c>
      <c r="AB187" s="3301">
        <v>45122</v>
      </c>
      <c r="AC187" s="3301">
        <v>307101</v>
      </c>
      <c r="AD187" s="3301">
        <v>86875</v>
      </c>
      <c r="AE187" s="3301">
        <v>2145</v>
      </c>
      <c r="AF187" s="3301">
        <v>12718</v>
      </c>
      <c r="AG187" s="3301">
        <v>26</v>
      </c>
      <c r="AH187" s="3301">
        <v>37</v>
      </c>
      <c r="AI187" s="3301" t="s">
        <v>1811</v>
      </c>
      <c r="AJ187" s="3301" t="s">
        <v>1811</v>
      </c>
      <c r="AK187" s="3301">
        <v>53164</v>
      </c>
      <c r="AL187" s="3301">
        <v>16982</v>
      </c>
      <c r="AM187" s="3301">
        <v>60013</v>
      </c>
      <c r="AN187" s="3301">
        <v>575010</v>
      </c>
      <c r="AO187" s="3285">
        <v>43101</v>
      </c>
      <c r="AP187" s="3285">
        <v>43465</v>
      </c>
      <c r="AQ187" s="3288" t="s">
        <v>1812</v>
      </c>
    </row>
    <row r="188" spans="1:43" s="1539" customFormat="1" ht="30" customHeight="1" x14ac:dyDescent="0.2">
      <c r="A188" s="1532"/>
      <c r="B188" s="1533"/>
      <c r="C188" s="1534"/>
      <c r="D188" s="1533"/>
      <c r="E188" s="1533"/>
      <c r="F188" s="1534"/>
      <c r="G188" s="1540"/>
      <c r="H188" s="1533"/>
      <c r="I188" s="1534"/>
      <c r="J188" s="3268"/>
      <c r="K188" s="3268"/>
      <c r="L188" s="3268"/>
      <c r="M188" s="3268"/>
      <c r="N188" s="3268"/>
      <c r="O188" s="3268"/>
      <c r="P188" s="3271"/>
      <c r="Q188" s="2798"/>
      <c r="R188" s="2825"/>
      <c r="S188" s="3271"/>
      <c r="T188" s="3283"/>
      <c r="U188" s="1555" t="s">
        <v>2097</v>
      </c>
      <c r="V188" s="535">
        <v>20000000</v>
      </c>
      <c r="W188" s="3293"/>
      <c r="X188" s="3268"/>
      <c r="Y188" s="3268"/>
      <c r="Z188" s="3268"/>
      <c r="AA188" s="3302"/>
      <c r="AB188" s="3302"/>
      <c r="AC188" s="3302"/>
      <c r="AD188" s="3302"/>
      <c r="AE188" s="3302"/>
      <c r="AF188" s="3302"/>
      <c r="AG188" s="3302"/>
      <c r="AH188" s="3302"/>
      <c r="AI188" s="3302"/>
      <c r="AJ188" s="3302"/>
      <c r="AK188" s="3302"/>
      <c r="AL188" s="3302"/>
      <c r="AM188" s="3302"/>
      <c r="AN188" s="3302"/>
      <c r="AO188" s="3286"/>
      <c r="AP188" s="3286"/>
      <c r="AQ188" s="3289"/>
    </row>
    <row r="189" spans="1:43" s="1539" customFormat="1" ht="45" x14ac:dyDescent="0.2">
      <c r="A189" s="1532"/>
      <c r="B189" s="1533"/>
      <c r="C189" s="1534"/>
      <c r="D189" s="1533"/>
      <c r="E189" s="1533"/>
      <c r="F189" s="1534"/>
      <c r="G189" s="1540"/>
      <c r="H189" s="1533"/>
      <c r="I189" s="1534"/>
      <c r="J189" s="3268"/>
      <c r="K189" s="3268"/>
      <c r="L189" s="3268"/>
      <c r="M189" s="3268"/>
      <c r="N189" s="3268"/>
      <c r="O189" s="3268"/>
      <c r="P189" s="3271"/>
      <c r="Q189" s="2798"/>
      <c r="R189" s="2825"/>
      <c r="S189" s="3271"/>
      <c r="T189" s="3283"/>
      <c r="U189" s="1555" t="s">
        <v>2098</v>
      </c>
      <c r="V189" s="535">
        <v>644098541</v>
      </c>
      <c r="W189" s="3293"/>
      <c r="X189" s="3268"/>
      <c r="Y189" s="3268"/>
      <c r="Z189" s="3268"/>
      <c r="AA189" s="3302"/>
      <c r="AB189" s="3302"/>
      <c r="AC189" s="3302"/>
      <c r="AD189" s="3302"/>
      <c r="AE189" s="3302"/>
      <c r="AF189" s="3302"/>
      <c r="AG189" s="3302"/>
      <c r="AH189" s="3302"/>
      <c r="AI189" s="3302"/>
      <c r="AJ189" s="3302"/>
      <c r="AK189" s="3302"/>
      <c r="AL189" s="3302"/>
      <c r="AM189" s="3302"/>
      <c r="AN189" s="3302"/>
      <c r="AO189" s="3286"/>
      <c r="AP189" s="3286"/>
      <c r="AQ189" s="3289"/>
    </row>
    <row r="190" spans="1:43" s="1539" customFormat="1" ht="30" x14ac:dyDescent="0.2">
      <c r="A190" s="1532"/>
      <c r="B190" s="1533"/>
      <c r="C190" s="1534"/>
      <c r="D190" s="1533"/>
      <c r="E190" s="1533"/>
      <c r="F190" s="1534"/>
      <c r="G190" s="1540"/>
      <c r="H190" s="1533"/>
      <c r="I190" s="1534"/>
      <c r="J190" s="3269"/>
      <c r="K190" s="3269"/>
      <c r="L190" s="1597"/>
      <c r="M190" s="3269"/>
      <c r="N190" s="3268"/>
      <c r="O190" s="3268"/>
      <c r="P190" s="3271"/>
      <c r="Q190" s="2799"/>
      <c r="R190" s="2825"/>
      <c r="S190" s="3271"/>
      <c r="T190" s="3284"/>
      <c r="U190" s="1555" t="s">
        <v>2099</v>
      </c>
      <c r="V190" s="535">
        <v>470000000</v>
      </c>
      <c r="W190" s="3293"/>
      <c r="X190" s="3268"/>
      <c r="Y190" s="3268"/>
      <c r="Z190" s="3268"/>
      <c r="AA190" s="3302"/>
      <c r="AB190" s="3302"/>
      <c r="AC190" s="3302"/>
      <c r="AD190" s="3302"/>
      <c r="AE190" s="3302"/>
      <c r="AF190" s="3302"/>
      <c r="AG190" s="3302"/>
      <c r="AH190" s="3302"/>
      <c r="AI190" s="3302"/>
      <c r="AJ190" s="3302"/>
      <c r="AK190" s="3302"/>
      <c r="AL190" s="3302"/>
      <c r="AM190" s="3302"/>
      <c r="AN190" s="3302"/>
      <c r="AO190" s="3286"/>
      <c r="AP190" s="3286"/>
      <c r="AQ190" s="3289"/>
    </row>
    <row r="191" spans="1:43" s="1539" customFormat="1" ht="75" x14ac:dyDescent="0.2">
      <c r="A191" s="1532"/>
      <c r="B191" s="1533"/>
      <c r="C191" s="1534"/>
      <c r="D191" s="1533"/>
      <c r="E191" s="1533"/>
      <c r="F191" s="1534"/>
      <c r="G191" s="1544"/>
      <c r="H191" s="1542"/>
      <c r="I191" s="1543"/>
      <c r="J191" s="1608">
        <v>159</v>
      </c>
      <c r="K191" s="1566" t="s">
        <v>2100</v>
      </c>
      <c r="L191" s="1603" t="s">
        <v>1804</v>
      </c>
      <c r="M191" s="1608">
        <v>8</v>
      </c>
      <c r="N191" s="3269"/>
      <c r="O191" s="3269"/>
      <c r="P191" s="3272"/>
      <c r="Q191" s="1419"/>
      <c r="R191" s="2826"/>
      <c r="S191" s="3272"/>
      <c r="T191" s="1609" t="s">
        <v>2101</v>
      </c>
      <c r="U191" s="1555" t="s">
        <v>2102</v>
      </c>
      <c r="V191" s="535">
        <v>0</v>
      </c>
      <c r="W191" s="3294"/>
      <c r="X191" s="3269"/>
      <c r="Y191" s="3269"/>
      <c r="Z191" s="3269"/>
      <c r="AA191" s="3303"/>
      <c r="AB191" s="3303"/>
      <c r="AC191" s="3303"/>
      <c r="AD191" s="3303"/>
      <c r="AE191" s="3303"/>
      <c r="AF191" s="3303"/>
      <c r="AG191" s="3303"/>
      <c r="AH191" s="3303"/>
      <c r="AI191" s="3303"/>
      <c r="AJ191" s="3303"/>
      <c r="AK191" s="3303"/>
      <c r="AL191" s="3303"/>
      <c r="AM191" s="3303"/>
      <c r="AN191" s="3303"/>
      <c r="AO191" s="3287"/>
      <c r="AP191" s="3287"/>
      <c r="AQ191" s="3290"/>
    </row>
    <row r="192" spans="1:43" ht="36" customHeight="1" x14ac:dyDescent="0.2">
      <c r="A192" s="1518"/>
      <c r="B192" s="1519"/>
      <c r="C192" s="1520"/>
      <c r="D192" s="1519"/>
      <c r="E192" s="1519"/>
      <c r="F192" s="1520"/>
      <c r="G192" s="1551">
        <v>46</v>
      </c>
      <c r="H192" s="1524" t="s">
        <v>2103</v>
      </c>
      <c r="I192" s="1524"/>
      <c r="J192" s="1524"/>
      <c r="K192" s="1525"/>
      <c r="L192" s="1524"/>
      <c r="M192" s="1524"/>
      <c r="N192" s="1526"/>
      <c r="O192" s="1524"/>
      <c r="P192" s="1525"/>
      <c r="Q192" s="1524"/>
      <c r="R192" s="1552"/>
      <c r="S192" s="1524"/>
      <c r="T192" s="1525"/>
      <c r="U192" s="1525"/>
      <c r="V192" s="1553"/>
      <c r="W192" s="1554"/>
      <c r="X192" s="1526"/>
      <c r="Y192" s="1526"/>
      <c r="Z192" s="1526"/>
      <c r="AA192" s="1526"/>
      <c r="AB192" s="1526"/>
      <c r="AC192" s="1526"/>
      <c r="AD192" s="1526"/>
      <c r="AE192" s="1526"/>
      <c r="AF192" s="1526"/>
      <c r="AG192" s="1526"/>
      <c r="AH192" s="1526"/>
      <c r="AI192" s="1526"/>
      <c r="AJ192" s="1526"/>
      <c r="AK192" s="1526"/>
      <c r="AL192" s="1526"/>
      <c r="AM192" s="1526"/>
      <c r="AN192" s="1526"/>
      <c r="AO192" s="1524"/>
      <c r="AP192" s="1524"/>
      <c r="AQ192" s="1531"/>
    </row>
    <row r="193" spans="1:343" ht="31.5" customHeight="1" x14ac:dyDescent="0.2">
      <c r="A193" s="1532"/>
      <c r="B193" s="1533"/>
      <c r="C193" s="1534"/>
      <c r="D193" s="1533"/>
      <c r="E193" s="1533"/>
      <c r="F193" s="1534"/>
      <c r="G193" s="1535"/>
      <c r="H193" s="1536"/>
      <c r="I193" s="1537"/>
      <c r="J193" s="3291">
        <v>160</v>
      </c>
      <c r="K193" s="3270" t="s">
        <v>2104</v>
      </c>
      <c r="L193" s="3267" t="s">
        <v>1804</v>
      </c>
      <c r="M193" s="3267">
        <v>300</v>
      </c>
      <c r="N193" s="3267" t="s">
        <v>2105</v>
      </c>
      <c r="O193" s="3267">
        <v>151</v>
      </c>
      <c r="P193" s="3270" t="s">
        <v>2106</v>
      </c>
      <c r="Q193" s="2797">
        <v>1</v>
      </c>
      <c r="R193" s="2824">
        <f>SUM(V193:V199)</f>
        <v>1010853359</v>
      </c>
      <c r="S193" s="3270" t="s">
        <v>2107</v>
      </c>
      <c r="T193" s="3282" t="s">
        <v>2108</v>
      </c>
      <c r="U193" s="1555" t="s">
        <v>2109</v>
      </c>
      <c r="V193" s="535">
        <f>750441270-229410811</f>
        <v>521030459</v>
      </c>
      <c r="W193" s="3292">
        <v>61</v>
      </c>
      <c r="X193" s="3267" t="s">
        <v>1810</v>
      </c>
      <c r="Y193" s="3267">
        <v>292684</v>
      </c>
      <c r="Z193" s="3267">
        <v>282326</v>
      </c>
      <c r="AA193" s="3267">
        <v>135912</v>
      </c>
      <c r="AB193" s="3267">
        <v>45122</v>
      </c>
      <c r="AC193" s="3267">
        <f>SUM(AC187)</f>
        <v>307101</v>
      </c>
      <c r="AD193" s="3267">
        <f>SUM(AD187)</f>
        <v>86875</v>
      </c>
      <c r="AE193" s="3267">
        <v>2145</v>
      </c>
      <c r="AF193" s="3267">
        <v>12718</v>
      </c>
      <c r="AG193" s="3267">
        <v>26</v>
      </c>
      <c r="AH193" s="3267">
        <v>37</v>
      </c>
      <c r="AI193" s="3267" t="s">
        <v>1811</v>
      </c>
      <c r="AJ193" s="3267" t="s">
        <v>1811</v>
      </c>
      <c r="AK193" s="3267">
        <v>53164</v>
      </c>
      <c r="AL193" s="3267">
        <v>16982</v>
      </c>
      <c r="AM193" s="3267">
        <v>60013</v>
      </c>
      <c r="AN193" s="3267">
        <v>575010</v>
      </c>
      <c r="AO193" s="3354">
        <v>43101</v>
      </c>
      <c r="AP193" s="3354">
        <v>43465</v>
      </c>
      <c r="AQ193" s="3288" t="s">
        <v>1812</v>
      </c>
    </row>
    <row r="194" spans="1:343" ht="31.5" customHeight="1" x14ac:dyDescent="0.2">
      <c r="A194" s="1532"/>
      <c r="B194" s="1533"/>
      <c r="C194" s="1534"/>
      <c r="D194" s="1533"/>
      <c r="E194" s="1533"/>
      <c r="F194" s="1534"/>
      <c r="G194" s="1540"/>
      <c r="H194" s="1533"/>
      <c r="I194" s="1534"/>
      <c r="J194" s="3291"/>
      <c r="K194" s="3271"/>
      <c r="L194" s="3268"/>
      <c r="M194" s="3268"/>
      <c r="N194" s="3268"/>
      <c r="O194" s="3268"/>
      <c r="P194" s="3271"/>
      <c r="Q194" s="2798"/>
      <c r="R194" s="2825"/>
      <c r="S194" s="3271"/>
      <c r="T194" s="3283"/>
      <c r="U194" s="1555" t="s">
        <v>2110</v>
      </c>
      <c r="V194" s="535">
        <v>82822900</v>
      </c>
      <c r="W194" s="3293"/>
      <c r="X194" s="3268"/>
      <c r="Y194" s="3268"/>
      <c r="Z194" s="3268"/>
      <c r="AA194" s="3268"/>
      <c r="AB194" s="3268"/>
      <c r="AC194" s="3268"/>
      <c r="AD194" s="3268"/>
      <c r="AE194" s="3268"/>
      <c r="AF194" s="3268"/>
      <c r="AG194" s="3268"/>
      <c r="AH194" s="3268"/>
      <c r="AI194" s="3268"/>
      <c r="AJ194" s="3268"/>
      <c r="AK194" s="3268"/>
      <c r="AL194" s="3268"/>
      <c r="AM194" s="3268"/>
      <c r="AN194" s="3268"/>
      <c r="AO194" s="3354"/>
      <c r="AP194" s="3354"/>
      <c r="AQ194" s="3289"/>
    </row>
    <row r="195" spans="1:343" ht="75" x14ac:dyDescent="0.2">
      <c r="A195" s="1532"/>
      <c r="B195" s="1533"/>
      <c r="C195" s="1534"/>
      <c r="D195" s="1533"/>
      <c r="E195" s="1533"/>
      <c r="F195" s="1534"/>
      <c r="G195" s="1540"/>
      <c r="H195" s="1533"/>
      <c r="I195" s="1534"/>
      <c r="J195" s="3291"/>
      <c r="K195" s="3271"/>
      <c r="L195" s="3268"/>
      <c r="M195" s="3268"/>
      <c r="N195" s="3268"/>
      <c r="O195" s="3268"/>
      <c r="P195" s="3271"/>
      <c r="Q195" s="2798"/>
      <c r="R195" s="2825"/>
      <c r="S195" s="3271"/>
      <c r="T195" s="3283"/>
      <c r="U195" s="1555" t="s">
        <v>2111</v>
      </c>
      <c r="V195" s="535">
        <v>74900000</v>
      </c>
      <c r="W195" s="3293"/>
      <c r="X195" s="3268"/>
      <c r="Y195" s="3268"/>
      <c r="Z195" s="3268"/>
      <c r="AA195" s="3268"/>
      <c r="AB195" s="3268"/>
      <c r="AC195" s="3268"/>
      <c r="AD195" s="3268"/>
      <c r="AE195" s="3268"/>
      <c r="AF195" s="3268"/>
      <c r="AG195" s="3268"/>
      <c r="AH195" s="3268"/>
      <c r="AI195" s="3268"/>
      <c r="AJ195" s="3268"/>
      <c r="AK195" s="3268"/>
      <c r="AL195" s="3268"/>
      <c r="AM195" s="3268"/>
      <c r="AN195" s="3268"/>
      <c r="AO195" s="3354"/>
      <c r="AP195" s="3354"/>
      <c r="AQ195" s="3289"/>
    </row>
    <row r="196" spans="1:343" ht="45" x14ac:dyDescent="0.2">
      <c r="A196" s="1532"/>
      <c r="B196" s="1533"/>
      <c r="C196" s="1534"/>
      <c r="D196" s="1533"/>
      <c r="E196" s="1533"/>
      <c r="F196" s="1534"/>
      <c r="G196" s="1540"/>
      <c r="H196" s="1533"/>
      <c r="I196" s="1534"/>
      <c r="J196" s="3291"/>
      <c r="K196" s="3271"/>
      <c r="L196" s="3268"/>
      <c r="M196" s="3268"/>
      <c r="N196" s="3268"/>
      <c r="O196" s="3268"/>
      <c r="P196" s="3271"/>
      <c r="Q196" s="2798"/>
      <c r="R196" s="2825"/>
      <c r="S196" s="3271"/>
      <c r="T196" s="3284"/>
      <c r="U196" s="1555" t="s">
        <v>2112</v>
      </c>
      <c r="V196" s="535">
        <v>40630000</v>
      </c>
      <c r="W196" s="3293"/>
      <c r="X196" s="3268"/>
      <c r="Y196" s="3268"/>
      <c r="Z196" s="3268"/>
      <c r="AA196" s="3268"/>
      <c r="AB196" s="3268"/>
      <c r="AC196" s="3268"/>
      <c r="AD196" s="3268"/>
      <c r="AE196" s="3268"/>
      <c r="AF196" s="3268"/>
      <c r="AG196" s="3268"/>
      <c r="AH196" s="3268"/>
      <c r="AI196" s="3268"/>
      <c r="AJ196" s="3268"/>
      <c r="AK196" s="3268"/>
      <c r="AL196" s="3268"/>
      <c r="AM196" s="3268"/>
      <c r="AN196" s="3268"/>
      <c r="AO196" s="3354"/>
      <c r="AP196" s="3354"/>
      <c r="AQ196" s="3289"/>
    </row>
    <row r="197" spans="1:343" ht="45" x14ac:dyDescent="0.2">
      <c r="A197" s="1532"/>
      <c r="B197" s="1533"/>
      <c r="C197" s="1534"/>
      <c r="D197" s="1533"/>
      <c r="E197" s="1533"/>
      <c r="F197" s="1534"/>
      <c r="G197" s="1540"/>
      <c r="H197" s="1533"/>
      <c r="I197" s="1534"/>
      <c r="J197" s="3291"/>
      <c r="K197" s="3271"/>
      <c r="L197" s="3268"/>
      <c r="M197" s="3268"/>
      <c r="N197" s="3268"/>
      <c r="O197" s="3268"/>
      <c r="P197" s="3271"/>
      <c r="Q197" s="2798"/>
      <c r="R197" s="2825"/>
      <c r="S197" s="3271"/>
      <c r="T197" s="3355" t="s">
        <v>2113</v>
      </c>
      <c r="U197" s="1555" t="s">
        <v>2114</v>
      </c>
      <c r="V197" s="535">
        <v>44000000</v>
      </c>
      <c r="W197" s="3293"/>
      <c r="X197" s="3268"/>
      <c r="Y197" s="3268"/>
      <c r="Z197" s="3268"/>
      <c r="AA197" s="3268"/>
      <c r="AB197" s="3268"/>
      <c r="AC197" s="3268"/>
      <c r="AD197" s="3268"/>
      <c r="AE197" s="3268"/>
      <c r="AF197" s="3268"/>
      <c r="AG197" s="3268"/>
      <c r="AH197" s="3268"/>
      <c r="AI197" s="3268"/>
      <c r="AJ197" s="3268"/>
      <c r="AK197" s="3268"/>
      <c r="AL197" s="3268"/>
      <c r="AM197" s="3268"/>
      <c r="AN197" s="3268"/>
      <c r="AO197" s="3354"/>
      <c r="AP197" s="3354"/>
      <c r="AQ197" s="3289"/>
    </row>
    <row r="198" spans="1:343" ht="45" x14ac:dyDescent="0.2">
      <c r="A198" s="1532"/>
      <c r="B198" s="1533"/>
      <c r="C198" s="1534"/>
      <c r="D198" s="1533"/>
      <c r="E198" s="1533"/>
      <c r="F198" s="1534"/>
      <c r="G198" s="1540"/>
      <c r="H198" s="1533"/>
      <c r="I198" s="1534"/>
      <c r="J198" s="3291"/>
      <c r="K198" s="3271"/>
      <c r="L198" s="3268"/>
      <c r="M198" s="3268"/>
      <c r="N198" s="3268"/>
      <c r="O198" s="3268"/>
      <c r="P198" s="3271"/>
      <c r="Q198" s="2798"/>
      <c r="R198" s="2825"/>
      <c r="S198" s="3271"/>
      <c r="T198" s="3356"/>
      <c r="U198" s="1555" t="s">
        <v>2115</v>
      </c>
      <c r="V198" s="535">
        <v>140470000</v>
      </c>
      <c r="W198" s="3293"/>
      <c r="X198" s="3268"/>
      <c r="Y198" s="3268"/>
      <c r="Z198" s="3268"/>
      <c r="AA198" s="3268"/>
      <c r="AB198" s="3268"/>
      <c r="AC198" s="3268"/>
      <c r="AD198" s="3268"/>
      <c r="AE198" s="3268"/>
      <c r="AF198" s="3268"/>
      <c r="AG198" s="3268"/>
      <c r="AH198" s="3268"/>
      <c r="AI198" s="3268"/>
      <c r="AJ198" s="3268"/>
      <c r="AK198" s="3268"/>
      <c r="AL198" s="3268"/>
      <c r="AM198" s="3268"/>
      <c r="AN198" s="3268"/>
      <c r="AO198" s="3354"/>
      <c r="AP198" s="3354"/>
      <c r="AQ198" s="3289"/>
    </row>
    <row r="199" spans="1:343" ht="45" x14ac:dyDescent="0.2">
      <c r="A199" s="1532"/>
      <c r="B199" s="1533"/>
      <c r="C199" s="1534"/>
      <c r="D199" s="1533"/>
      <c r="E199" s="1533"/>
      <c r="F199" s="1534"/>
      <c r="G199" s="1540"/>
      <c r="H199" s="1533"/>
      <c r="I199" s="1534"/>
      <c r="J199" s="3291"/>
      <c r="K199" s="3272"/>
      <c r="L199" s="3269"/>
      <c r="M199" s="3269"/>
      <c r="N199" s="3269"/>
      <c r="O199" s="3269"/>
      <c r="P199" s="3272"/>
      <c r="Q199" s="2799"/>
      <c r="R199" s="2826"/>
      <c r="S199" s="3272"/>
      <c r="T199" s="1610" t="s">
        <v>2116</v>
      </c>
      <c r="U199" s="1555" t="s">
        <v>2117</v>
      </c>
      <c r="V199" s="535">
        <v>107000000</v>
      </c>
      <c r="W199" s="3294"/>
      <c r="X199" s="3269"/>
      <c r="Y199" s="3269"/>
      <c r="Z199" s="3269"/>
      <c r="AA199" s="3269"/>
      <c r="AB199" s="3269"/>
      <c r="AC199" s="3269"/>
      <c r="AD199" s="3269"/>
      <c r="AE199" s="3269"/>
      <c r="AF199" s="3269"/>
      <c r="AG199" s="3269"/>
      <c r="AH199" s="3269"/>
      <c r="AI199" s="3269"/>
      <c r="AJ199" s="3269"/>
      <c r="AK199" s="3269"/>
      <c r="AL199" s="3269"/>
      <c r="AM199" s="3269"/>
      <c r="AN199" s="3269"/>
      <c r="AO199" s="3354"/>
      <c r="AP199" s="3354"/>
      <c r="AQ199" s="3290"/>
      <c r="BU199" s="1539"/>
      <c r="BV199" s="1539"/>
      <c r="BW199" s="1539"/>
      <c r="BX199" s="1539"/>
      <c r="BY199" s="1539"/>
      <c r="BZ199" s="1539"/>
      <c r="CA199" s="1539"/>
      <c r="CB199" s="1539"/>
      <c r="CC199" s="1539"/>
      <c r="CD199" s="1539"/>
      <c r="CE199" s="1539"/>
      <c r="CF199" s="1539"/>
      <c r="CG199" s="1539"/>
    </row>
    <row r="200" spans="1:343" s="1611" customFormat="1" ht="68.25" customHeight="1" x14ac:dyDescent="0.2">
      <c r="A200" s="1532"/>
      <c r="B200" s="1533"/>
      <c r="C200" s="1534"/>
      <c r="D200" s="1533"/>
      <c r="E200" s="1533"/>
      <c r="F200" s="1534"/>
      <c r="G200" s="1540"/>
      <c r="H200" s="1533"/>
      <c r="I200" s="1534"/>
      <c r="J200" s="3267">
        <v>161</v>
      </c>
      <c r="K200" s="3270" t="s">
        <v>2118</v>
      </c>
      <c r="L200" s="3267" t="s">
        <v>1804</v>
      </c>
      <c r="M200" s="3267">
        <v>100</v>
      </c>
      <c r="N200" s="3267" t="s">
        <v>2119</v>
      </c>
      <c r="O200" s="3267">
        <v>152</v>
      </c>
      <c r="P200" s="3270" t="s">
        <v>2120</v>
      </c>
      <c r="Q200" s="2797">
        <f>(V200+V202+V203+V201)/R200</f>
        <v>0.29663193539808119</v>
      </c>
      <c r="R200" s="2824">
        <f>SUM(V200:V208)</f>
        <v>459626843</v>
      </c>
      <c r="S200" s="3270" t="s">
        <v>2121</v>
      </c>
      <c r="T200" s="3270" t="s">
        <v>2122</v>
      </c>
      <c r="U200" s="1555" t="s">
        <v>2123</v>
      </c>
      <c r="V200" s="535">
        <v>25500000</v>
      </c>
      <c r="W200" s="3292" t="s">
        <v>2124</v>
      </c>
      <c r="X200" s="3267" t="s">
        <v>2125</v>
      </c>
      <c r="Y200" s="3267">
        <v>292684</v>
      </c>
      <c r="Z200" s="3267">
        <v>282326</v>
      </c>
      <c r="AA200" s="3279">
        <v>135912</v>
      </c>
      <c r="AB200" s="3279">
        <v>45122</v>
      </c>
      <c r="AC200" s="3279">
        <f t="shared" ref="AC200:AD200" si="3">AC193</f>
        <v>307101</v>
      </c>
      <c r="AD200" s="3279">
        <f t="shared" si="3"/>
        <v>86875</v>
      </c>
      <c r="AE200" s="3279">
        <v>2145</v>
      </c>
      <c r="AF200" s="3279">
        <v>12718</v>
      </c>
      <c r="AG200" s="3279">
        <v>26</v>
      </c>
      <c r="AH200" s="3279">
        <v>37</v>
      </c>
      <c r="AI200" s="3279" t="s">
        <v>1811</v>
      </c>
      <c r="AJ200" s="3279" t="s">
        <v>1811</v>
      </c>
      <c r="AK200" s="3279">
        <v>53164</v>
      </c>
      <c r="AL200" s="3279">
        <v>16982</v>
      </c>
      <c r="AM200" s="3279">
        <v>60013</v>
      </c>
      <c r="AN200" s="3279">
        <v>575010</v>
      </c>
      <c r="AO200" s="3285">
        <v>43101</v>
      </c>
      <c r="AP200" s="3285">
        <v>43465</v>
      </c>
      <c r="AQ200" s="3288" t="s">
        <v>1812</v>
      </c>
      <c r="AR200" s="1539"/>
      <c r="AS200" s="1539"/>
      <c r="AT200" s="1539"/>
      <c r="AU200" s="1539"/>
      <c r="AV200" s="1539"/>
      <c r="AW200" s="1539"/>
      <c r="AX200" s="1539"/>
      <c r="AY200" s="1539"/>
      <c r="AZ200" s="1539"/>
      <c r="BA200" s="1539"/>
      <c r="BB200" s="1539"/>
      <c r="BC200" s="1539"/>
      <c r="BD200" s="1539"/>
      <c r="BE200" s="1539"/>
      <c r="BF200" s="1539"/>
      <c r="BG200" s="1539"/>
      <c r="BH200" s="1539"/>
      <c r="BI200" s="1539"/>
      <c r="BJ200" s="1539"/>
      <c r="BK200" s="1539"/>
      <c r="BL200" s="1539"/>
      <c r="BM200" s="1539"/>
      <c r="BN200" s="1539"/>
      <c r="BO200" s="1539"/>
      <c r="BP200" s="1539"/>
      <c r="BQ200" s="1539"/>
      <c r="BR200" s="1539"/>
      <c r="BS200" s="1539"/>
      <c r="BT200" s="1539"/>
      <c r="BU200" s="1539"/>
      <c r="BV200" s="1539"/>
      <c r="BW200" s="1539"/>
      <c r="BX200" s="1539"/>
      <c r="BY200" s="1539"/>
      <c r="BZ200" s="1539"/>
      <c r="CA200" s="1539"/>
      <c r="CB200" s="1539"/>
      <c r="CC200" s="1539"/>
      <c r="CD200" s="1539"/>
      <c r="CE200" s="1539"/>
      <c r="CF200" s="1539"/>
      <c r="CG200" s="1539"/>
      <c r="CH200" s="1507"/>
      <c r="CI200" s="1507"/>
      <c r="CJ200" s="1507"/>
      <c r="CK200" s="1507"/>
      <c r="CL200" s="1507"/>
      <c r="CM200" s="1507"/>
      <c r="CN200" s="1507"/>
      <c r="CO200" s="1507"/>
      <c r="CP200" s="1507"/>
      <c r="CQ200" s="1507"/>
      <c r="CR200" s="1507"/>
      <c r="CS200" s="1507"/>
      <c r="CT200" s="1507"/>
      <c r="CU200" s="1507"/>
      <c r="CV200" s="1507"/>
      <c r="CW200" s="1507"/>
      <c r="CX200" s="1507"/>
      <c r="CY200" s="1507"/>
      <c r="CZ200" s="1507"/>
      <c r="DA200" s="1507"/>
      <c r="DB200" s="1507"/>
      <c r="DC200" s="1507"/>
      <c r="DD200" s="1507"/>
      <c r="DE200" s="1507"/>
      <c r="DF200" s="1507"/>
      <c r="DG200" s="1507"/>
      <c r="DH200" s="1507"/>
      <c r="DI200" s="1507"/>
      <c r="DJ200" s="1507"/>
      <c r="DK200" s="1507"/>
      <c r="DL200" s="1507"/>
      <c r="DM200" s="1507"/>
      <c r="DN200" s="1507"/>
      <c r="DO200" s="1507"/>
      <c r="DP200" s="1507"/>
      <c r="DQ200" s="1507"/>
      <c r="DR200" s="1507"/>
      <c r="DS200" s="1507"/>
      <c r="DT200" s="1507"/>
      <c r="DU200" s="1507"/>
      <c r="DV200" s="1507"/>
      <c r="DW200" s="1507"/>
      <c r="DX200" s="1507"/>
      <c r="DY200" s="1507"/>
      <c r="DZ200" s="1507"/>
      <c r="EA200" s="1507"/>
      <c r="EB200" s="1507"/>
      <c r="EC200" s="1507"/>
      <c r="ED200" s="1507"/>
      <c r="EE200" s="1507"/>
      <c r="EF200" s="1507"/>
      <c r="EG200" s="1507"/>
      <c r="EH200" s="1507"/>
      <c r="EI200" s="1507"/>
      <c r="EJ200" s="1507"/>
      <c r="EK200" s="1507"/>
      <c r="EL200" s="1507"/>
      <c r="EM200" s="1507"/>
      <c r="EN200" s="1507"/>
      <c r="EO200" s="1507"/>
      <c r="EP200" s="1507"/>
      <c r="EQ200" s="1507"/>
      <c r="ER200" s="1507"/>
      <c r="ES200" s="1507"/>
      <c r="ET200" s="1507"/>
      <c r="EU200" s="1507"/>
      <c r="EV200" s="1507"/>
      <c r="EW200" s="1507"/>
      <c r="EX200" s="1507"/>
      <c r="EY200" s="1507"/>
      <c r="EZ200" s="1507"/>
      <c r="FA200" s="1507"/>
      <c r="FB200" s="1507"/>
      <c r="FC200" s="1507"/>
      <c r="FD200" s="1507"/>
      <c r="FE200" s="1507"/>
      <c r="FF200" s="1507"/>
      <c r="FG200" s="1507"/>
      <c r="FH200" s="1507"/>
      <c r="FI200" s="1507"/>
      <c r="FJ200" s="1507"/>
      <c r="FK200" s="1507"/>
      <c r="FL200" s="1507"/>
      <c r="FM200" s="1507"/>
      <c r="FN200" s="1507"/>
      <c r="FO200" s="1507"/>
      <c r="FP200" s="1507"/>
      <c r="FQ200" s="1507"/>
      <c r="FR200" s="1507"/>
      <c r="FS200" s="1507"/>
      <c r="FT200" s="1507"/>
      <c r="FU200" s="1507"/>
      <c r="FV200" s="1507"/>
      <c r="FW200" s="1507"/>
      <c r="FX200" s="1507"/>
      <c r="FY200" s="1507"/>
      <c r="FZ200" s="1507"/>
      <c r="GA200" s="1507"/>
      <c r="GB200" s="1507"/>
      <c r="GC200" s="1507"/>
      <c r="GD200" s="1507"/>
      <c r="GE200" s="1507"/>
      <c r="GF200" s="1507"/>
      <c r="GG200" s="1507"/>
      <c r="GH200" s="1507"/>
      <c r="GI200" s="1507"/>
      <c r="GJ200" s="1507"/>
      <c r="GK200" s="1507"/>
      <c r="GL200" s="1507"/>
      <c r="GM200" s="1507"/>
      <c r="GN200" s="1507"/>
      <c r="GO200" s="1507"/>
      <c r="GP200" s="1507"/>
      <c r="GQ200" s="1507"/>
      <c r="GR200" s="1507"/>
      <c r="GS200" s="1507"/>
      <c r="GT200" s="1507"/>
      <c r="GU200" s="1507"/>
      <c r="GV200" s="1507"/>
      <c r="GW200" s="1507"/>
      <c r="GX200" s="1507"/>
      <c r="GY200" s="1507"/>
      <c r="GZ200" s="1507"/>
      <c r="HA200" s="1507"/>
      <c r="HB200" s="1507"/>
      <c r="HC200" s="1507"/>
      <c r="HD200" s="1507"/>
      <c r="HE200" s="1507"/>
      <c r="HF200" s="1507"/>
      <c r="HG200" s="1507"/>
      <c r="HH200" s="1507"/>
      <c r="HI200" s="1507"/>
      <c r="HJ200" s="1507"/>
      <c r="HK200" s="1507"/>
      <c r="HL200" s="1507"/>
      <c r="HM200" s="1507"/>
      <c r="HN200" s="1507"/>
      <c r="HO200" s="1507"/>
      <c r="HP200" s="1507"/>
      <c r="HQ200" s="1507"/>
      <c r="HR200" s="1507"/>
      <c r="HS200" s="1507"/>
      <c r="HT200" s="1507"/>
      <c r="HU200" s="1507"/>
      <c r="HV200" s="1507"/>
      <c r="HW200" s="1507"/>
      <c r="HX200" s="1507"/>
      <c r="HY200" s="1507"/>
      <c r="HZ200" s="1507"/>
      <c r="IA200" s="1507"/>
      <c r="IB200" s="1507"/>
      <c r="IC200" s="1507"/>
      <c r="ID200" s="1507"/>
      <c r="IE200" s="1507"/>
      <c r="IF200" s="1507"/>
      <c r="IG200" s="1507"/>
      <c r="IH200" s="1507"/>
      <c r="II200" s="1507"/>
      <c r="IJ200" s="1507"/>
      <c r="IK200" s="1507"/>
      <c r="IL200" s="1507"/>
      <c r="IM200" s="1507"/>
      <c r="IN200" s="1507"/>
      <c r="IO200" s="1507"/>
      <c r="IP200" s="1507"/>
      <c r="IQ200" s="1507"/>
      <c r="IR200" s="1507"/>
      <c r="IS200" s="1507"/>
      <c r="IT200" s="1507"/>
      <c r="IU200" s="1507"/>
      <c r="IV200" s="1507"/>
      <c r="IW200" s="1507"/>
      <c r="IX200" s="1507"/>
      <c r="IY200" s="1507"/>
      <c r="IZ200" s="1507"/>
      <c r="JA200" s="1507"/>
      <c r="JB200" s="1507"/>
      <c r="JC200" s="1507"/>
      <c r="JD200" s="1507"/>
      <c r="JE200" s="1507"/>
      <c r="JF200" s="1507"/>
      <c r="JG200" s="1507"/>
      <c r="JH200" s="1507"/>
      <c r="JI200" s="1507"/>
      <c r="JJ200" s="1507"/>
      <c r="JK200" s="1507"/>
      <c r="JL200" s="1507"/>
      <c r="JM200" s="1507"/>
      <c r="JN200" s="1507"/>
      <c r="JO200" s="1507"/>
      <c r="JP200" s="1507"/>
      <c r="JQ200" s="1507"/>
      <c r="JR200" s="1507"/>
      <c r="JS200" s="1507"/>
      <c r="JT200" s="1507"/>
      <c r="JU200" s="1507"/>
      <c r="JV200" s="1507"/>
      <c r="JW200" s="1507"/>
      <c r="JX200" s="1507"/>
      <c r="JY200" s="1507"/>
      <c r="JZ200" s="1507"/>
      <c r="KA200" s="1507"/>
      <c r="KB200" s="1507"/>
      <c r="KC200" s="1507"/>
      <c r="KD200" s="1507"/>
      <c r="KE200" s="1507"/>
      <c r="KF200" s="1507"/>
      <c r="KG200" s="1507"/>
      <c r="KH200" s="1507"/>
      <c r="KI200" s="1507"/>
      <c r="KJ200" s="1507"/>
      <c r="KK200" s="1507"/>
      <c r="KL200" s="1507"/>
      <c r="KM200" s="1507"/>
      <c r="KN200" s="1507"/>
      <c r="KO200" s="1507"/>
      <c r="KP200" s="1507"/>
      <c r="KQ200" s="1507"/>
      <c r="KR200" s="1507"/>
      <c r="KS200" s="1507"/>
      <c r="KT200" s="1507"/>
      <c r="KU200" s="1507"/>
      <c r="KV200" s="1507"/>
      <c r="KW200" s="1507"/>
      <c r="KX200" s="1507"/>
      <c r="KY200" s="1507"/>
      <c r="KZ200" s="1507"/>
      <c r="LA200" s="1507"/>
      <c r="LB200" s="1507"/>
      <c r="LC200" s="1507"/>
      <c r="LD200" s="1507"/>
      <c r="LE200" s="1507"/>
      <c r="LF200" s="1507"/>
      <c r="LG200" s="1507"/>
      <c r="LH200" s="1507"/>
      <c r="LI200" s="1507"/>
      <c r="LJ200" s="1507"/>
      <c r="LK200" s="1507"/>
      <c r="LL200" s="1507"/>
      <c r="LM200" s="1507"/>
      <c r="LN200" s="1507"/>
      <c r="LO200" s="1507"/>
      <c r="LP200" s="1507"/>
      <c r="LQ200" s="1507"/>
      <c r="LR200" s="1507"/>
      <c r="LS200" s="1507"/>
      <c r="LT200" s="1507"/>
      <c r="LU200" s="1507"/>
      <c r="LV200" s="1507"/>
      <c r="LW200" s="1507"/>
      <c r="LX200" s="1507"/>
      <c r="LY200" s="1507"/>
      <c r="LZ200" s="1507"/>
      <c r="MA200" s="1507"/>
      <c r="MB200" s="1507"/>
      <c r="MC200" s="1507"/>
      <c r="MD200" s="1507"/>
      <c r="ME200" s="1507"/>
    </row>
    <row r="201" spans="1:343" s="1611" customFormat="1" ht="30" x14ac:dyDescent="0.2">
      <c r="A201" s="1532"/>
      <c r="B201" s="1533"/>
      <c r="C201" s="1534"/>
      <c r="D201" s="1533"/>
      <c r="E201" s="1533"/>
      <c r="F201" s="1534"/>
      <c r="G201" s="1540"/>
      <c r="H201" s="1533"/>
      <c r="I201" s="1534"/>
      <c r="J201" s="3268"/>
      <c r="K201" s="3271"/>
      <c r="L201" s="3268"/>
      <c r="M201" s="3268"/>
      <c r="N201" s="3268"/>
      <c r="O201" s="3268"/>
      <c r="P201" s="3271"/>
      <c r="Q201" s="2798"/>
      <c r="R201" s="2825"/>
      <c r="S201" s="3271"/>
      <c r="T201" s="3271"/>
      <c r="U201" s="1555" t="s">
        <v>2126</v>
      </c>
      <c r="V201" s="535">
        <v>45000000</v>
      </c>
      <c r="W201" s="3293"/>
      <c r="X201" s="3268"/>
      <c r="Y201" s="3268"/>
      <c r="Z201" s="3268"/>
      <c r="AA201" s="3280"/>
      <c r="AB201" s="3280"/>
      <c r="AC201" s="3280"/>
      <c r="AD201" s="3280"/>
      <c r="AE201" s="3280"/>
      <c r="AF201" s="3280"/>
      <c r="AG201" s="3280"/>
      <c r="AH201" s="3280"/>
      <c r="AI201" s="3280"/>
      <c r="AJ201" s="3280"/>
      <c r="AK201" s="3280"/>
      <c r="AL201" s="3280"/>
      <c r="AM201" s="3280"/>
      <c r="AN201" s="3280"/>
      <c r="AO201" s="3286"/>
      <c r="AP201" s="3286"/>
      <c r="AQ201" s="3289"/>
      <c r="AR201" s="1539"/>
      <c r="AS201" s="1539"/>
      <c r="AT201" s="1539"/>
      <c r="AU201" s="1539"/>
      <c r="AV201" s="1539"/>
      <c r="AW201" s="1539"/>
      <c r="AX201" s="1539"/>
      <c r="AY201" s="1539"/>
      <c r="AZ201" s="1539"/>
      <c r="BA201" s="1539"/>
      <c r="BB201" s="1539"/>
      <c r="BC201" s="1539"/>
      <c r="BD201" s="1539"/>
      <c r="BE201" s="1539"/>
      <c r="BF201" s="1539"/>
      <c r="BG201" s="1539"/>
      <c r="BH201" s="1539"/>
      <c r="BI201" s="1539"/>
      <c r="BJ201" s="1539"/>
      <c r="BK201" s="1539"/>
      <c r="BL201" s="1539"/>
      <c r="BM201" s="1539"/>
      <c r="BN201" s="1539"/>
      <c r="BO201" s="1539"/>
      <c r="BP201" s="1539"/>
      <c r="BQ201" s="1539"/>
      <c r="BR201" s="1539"/>
      <c r="BS201" s="1539"/>
      <c r="BT201" s="1539"/>
      <c r="BU201" s="1539"/>
      <c r="BV201" s="1539"/>
      <c r="BW201" s="1539"/>
      <c r="BX201" s="1539"/>
      <c r="BY201" s="1539"/>
      <c r="BZ201" s="1539"/>
      <c r="CA201" s="1539"/>
      <c r="CB201" s="1539"/>
      <c r="CC201" s="1539"/>
      <c r="CD201" s="1539"/>
      <c r="CE201" s="1539"/>
      <c r="CF201" s="1539"/>
      <c r="CG201" s="1539"/>
      <c r="CH201" s="1507"/>
      <c r="CI201" s="1507"/>
      <c r="CJ201" s="1507"/>
      <c r="CK201" s="1507"/>
      <c r="CL201" s="1507"/>
      <c r="CM201" s="1507"/>
      <c r="CN201" s="1507"/>
      <c r="CO201" s="1507"/>
      <c r="CP201" s="1507"/>
      <c r="CQ201" s="1507"/>
      <c r="CR201" s="1507"/>
      <c r="CS201" s="1507"/>
      <c r="CT201" s="1507"/>
      <c r="CU201" s="1507"/>
      <c r="CV201" s="1507"/>
      <c r="CW201" s="1507"/>
      <c r="CX201" s="1507"/>
      <c r="CY201" s="1507"/>
      <c r="CZ201" s="1507"/>
      <c r="DA201" s="1507"/>
      <c r="DB201" s="1507"/>
      <c r="DC201" s="1507"/>
      <c r="DD201" s="1507"/>
      <c r="DE201" s="1507"/>
      <c r="DF201" s="1507"/>
      <c r="DG201" s="1507"/>
      <c r="DH201" s="1507"/>
      <c r="DI201" s="1507"/>
      <c r="DJ201" s="1507"/>
      <c r="DK201" s="1507"/>
      <c r="DL201" s="1507"/>
      <c r="DM201" s="1507"/>
      <c r="DN201" s="1507"/>
      <c r="DO201" s="1507"/>
      <c r="DP201" s="1507"/>
      <c r="DQ201" s="1507"/>
      <c r="DR201" s="1507"/>
      <c r="DS201" s="1507"/>
      <c r="DT201" s="1507"/>
      <c r="DU201" s="1507"/>
      <c r="DV201" s="1507"/>
      <c r="DW201" s="1507"/>
      <c r="DX201" s="1507"/>
      <c r="DY201" s="1507"/>
      <c r="DZ201" s="1507"/>
      <c r="EA201" s="1507"/>
      <c r="EB201" s="1507"/>
      <c r="EC201" s="1507"/>
      <c r="ED201" s="1507"/>
      <c r="EE201" s="1507"/>
      <c r="EF201" s="1507"/>
      <c r="EG201" s="1507"/>
      <c r="EH201" s="1507"/>
      <c r="EI201" s="1507"/>
      <c r="EJ201" s="1507"/>
      <c r="EK201" s="1507"/>
      <c r="EL201" s="1507"/>
      <c r="EM201" s="1507"/>
      <c r="EN201" s="1507"/>
      <c r="EO201" s="1507"/>
      <c r="EP201" s="1507"/>
      <c r="EQ201" s="1507"/>
      <c r="ER201" s="1507"/>
      <c r="ES201" s="1507"/>
      <c r="ET201" s="1507"/>
      <c r="EU201" s="1507"/>
      <c r="EV201" s="1507"/>
      <c r="EW201" s="1507"/>
      <c r="EX201" s="1507"/>
      <c r="EY201" s="1507"/>
      <c r="EZ201" s="1507"/>
      <c r="FA201" s="1507"/>
      <c r="FB201" s="1507"/>
      <c r="FC201" s="1507"/>
      <c r="FD201" s="1507"/>
      <c r="FE201" s="1507"/>
      <c r="FF201" s="1507"/>
      <c r="FG201" s="1507"/>
      <c r="FH201" s="1507"/>
      <c r="FI201" s="1507"/>
      <c r="FJ201" s="1507"/>
      <c r="FK201" s="1507"/>
      <c r="FL201" s="1507"/>
      <c r="FM201" s="1507"/>
      <c r="FN201" s="1507"/>
      <c r="FO201" s="1507"/>
      <c r="FP201" s="1507"/>
      <c r="FQ201" s="1507"/>
      <c r="FR201" s="1507"/>
      <c r="FS201" s="1507"/>
      <c r="FT201" s="1507"/>
      <c r="FU201" s="1507"/>
      <c r="FV201" s="1507"/>
      <c r="FW201" s="1507"/>
      <c r="FX201" s="1507"/>
      <c r="FY201" s="1507"/>
      <c r="FZ201" s="1507"/>
      <c r="GA201" s="1507"/>
      <c r="GB201" s="1507"/>
      <c r="GC201" s="1507"/>
      <c r="GD201" s="1507"/>
      <c r="GE201" s="1507"/>
      <c r="GF201" s="1507"/>
      <c r="GG201" s="1507"/>
      <c r="GH201" s="1507"/>
      <c r="GI201" s="1507"/>
      <c r="GJ201" s="1507"/>
      <c r="GK201" s="1507"/>
      <c r="GL201" s="1507"/>
      <c r="GM201" s="1507"/>
      <c r="GN201" s="1507"/>
      <c r="GO201" s="1507"/>
      <c r="GP201" s="1507"/>
      <c r="GQ201" s="1507"/>
      <c r="GR201" s="1507"/>
      <c r="GS201" s="1507"/>
      <c r="GT201" s="1507"/>
      <c r="GU201" s="1507"/>
      <c r="GV201" s="1507"/>
      <c r="GW201" s="1507"/>
      <c r="GX201" s="1507"/>
      <c r="GY201" s="1507"/>
      <c r="GZ201" s="1507"/>
      <c r="HA201" s="1507"/>
      <c r="HB201" s="1507"/>
      <c r="HC201" s="1507"/>
      <c r="HD201" s="1507"/>
      <c r="HE201" s="1507"/>
      <c r="HF201" s="1507"/>
      <c r="HG201" s="1507"/>
      <c r="HH201" s="1507"/>
      <c r="HI201" s="1507"/>
      <c r="HJ201" s="1507"/>
      <c r="HK201" s="1507"/>
      <c r="HL201" s="1507"/>
      <c r="HM201" s="1507"/>
      <c r="HN201" s="1507"/>
      <c r="HO201" s="1507"/>
      <c r="HP201" s="1507"/>
      <c r="HQ201" s="1507"/>
      <c r="HR201" s="1507"/>
      <c r="HS201" s="1507"/>
      <c r="HT201" s="1507"/>
      <c r="HU201" s="1507"/>
      <c r="HV201" s="1507"/>
      <c r="HW201" s="1507"/>
      <c r="HX201" s="1507"/>
      <c r="HY201" s="1507"/>
      <c r="HZ201" s="1507"/>
      <c r="IA201" s="1507"/>
      <c r="IB201" s="1507"/>
      <c r="IC201" s="1507"/>
      <c r="ID201" s="1507"/>
      <c r="IE201" s="1507"/>
      <c r="IF201" s="1507"/>
      <c r="IG201" s="1507"/>
      <c r="IH201" s="1507"/>
      <c r="II201" s="1507"/>
      <c r="IJ201" s="1507"/>
      <c r="IK201" s="1507"/>
      <c r="IL201" s="1507"/>
      <c r="IM201" s="1507"/>
      <c r="IN201" s="1507"/>
      <c r="IO201" s="1507"/>
      <c r="IP201" s="1507"/>
      <c r="IQ201" s="1507"/>
      <c r="IR201" s="1507"/>
      <c r="IS201" s="1507"/>
      <c r="IT201" s="1507"/>
      <c r="IU201" s="1507"/>
      <c r="IV201" s="1507"/>
      <c r="IW201" s="1507"/>
      <c r="IX201" s="1507"/>
      <c r="IY201" s="1507"/>
      <c r="IZ201" s="1507"/>
      <c r="JA201" s="1507"/>
      <c r="JB201" s="1507"/>
      <c r="JC201" s="1507"/>
      <c r="JD201" s="1507"/>
      <c r="JE201" s="1507"/>
      <c r="JF201" s="1507"/>
      <c r="JG201" s="1507"/>
      <c r="JH201" s="1507"/>
      <c r="JI201" s="1507"/>
      <c r="JJ201" s="1507"/>
      <c r="JK201" s="1507"/>
      <c r="JL201" s="1507"/>
      <c r="JM201" s="1507"/>
      <c r="JN201" s="1507"/>
      <c r="JO201" s="1507"/>
      <c r="JP201" s="1507"/>
      <c r="JQ201" s="1507"/>
      <c r="JR201" s="1507"/>
      <c r="JS201" s="1507"/>
      <c r="JT201" s="1507"/>
      <c r="JU201" s="1507"/>
      <c r="JV201" s="1507"/>
      <c r="JW201" s="1507"/>
      <c r="JX201" s="1507"/>
      <c r="JY201" s="1507"/>
      <c r="JZ201" s="1507"/>
      <c r="KA201" s="1507"/>
      <c r="KB201" s="1507"/>
      <c r="KC201" s="1507"/>
      <c r="KD201" s="1507"/>
      <c r="KE201" s="1507"/>
      <c r="KF201" s="1507"/>
      <c r="KG201" s="1507"/>
      <c r="KH201" s="1507"/>
      <c r="KI201" s="1507"/>
      <c r="KJ201" s="1507"/>
      <c r="KK201" s="1507"/>
      <c r="KL201" s="1507"/>
      <c r="KM201" s="1507"/>
      <c r="KN201" s="1507"/>
      <c r="KO201" s="1507"/>
      <c r="KP201" s="1507"/>
      <c r="KQ201" s="1507"/>
      <c r="KR201" s="1507"/>
      <c r="KS201" s="1507"/>
      <c r="KT201" s="1507"/>
      <c r="KU201" s="1507"/>
      <c r="KV201" s="1507"/>
      <c r="KW201" s="1507"/>
      <c r="KX201" s="1507"/>
      <c r="KY201" s="1507"/>
      <c r="KZ201" s="1507"/>
      <c r="LA201" s="1507"/>
      <c r="LB201" s="1507"/>
      <c r="LC201" s="1507"/>
      <c r="LD201" s="1507"/>
      <c r="LE201" s="1507"/>
      <c r="LF201" s="1507"/>
      <c r="LG201" s="1507"/>
      <c r="LH201" s="1507"/>
      <c r="LI201" s="1507"/>
      <c r="LJ201" s="1507"/>
      <c r="LK201" s="1507"/>
      <c r="LL201" s="1507"/>
      <c r="LM201" s="1507"/>
      <c r="LN201" s="1507"/>
      <c r="LO201" s="1507"/>
      <c r="LP201" s="1507"/>
      <c r="LQ201" s="1507"/>
      <c r="LR201" s="1507"/>
      <c r="LS201" s="1507"/>
      <c r="LT201" s="1507"/>
      <c r="LU201" s="1507"/>
      <c r="LV201" s="1507"/>
      <c r="LW201" s="1507"/>
      <c r="LX201" s="1507"/>
      <c r="LY201" s="1507"/>
      <c r="LZ201" s="1507"/>
      <c r="MA201" s="1507"/>
      <c r="MB201" s="1507"/>
      <c r="MC201" s="1507"/>
      <c r="MD201" s="1507"/>
      <c r="ME201" s="1507"/>
    </row>
    <row r="202" spans="1:343" s="1611" customFormat="1" ht="90" x14ac:dyDescent="0.2">
      <c r="A202" s="1532"/>
      <c r="B202" s="1533"/>
      <c r="C202" s="1534"/>
      <c r="D202" s="1533"/>
      <c r="E202" s="1533"/>
      <c r="F202" s="1534"/>
      <c r="G202" s="1540"/>
      <c r="H202" s="1533"/>
      <c r="I202" s="1534"/>
      <c r="J202" s="3268"/>
      <c r="K202" s="3271"/>
      <c r="L202" s="3268"/>
      <c r="M202" s="3268"/>
      <c r="N202" s="3268"/>
      <c r="O202" s="3268"/>
      <c r="P202" s="3271"/>
      <c r="Q202" s="2798"/>
      <c r="R202" s="2825"/>
      <c r="S202" s="3271"/>
      <c r="T202" s="3271"/>
      <c r="U202" s="1555" t="s">
        <v>2127</v>
      </c>
      <c r="V202" s="535">
        <v>45000000</v>
      </c>
      <c r="W202" s="3293"/>
      <c r="X202" s="3268"/>
      <c r="Y202" s="3268"/>
      <c r="Z202" s="3268"/>
      <c r="AA202" s="3280"/>
      <c r="AB202" s="3280"/>
      <c r="AC202" s="3280"/>
      <c r="AD202" s="3280"/>
      <c r="AE202" s="3280"/>
      <c r="AF202" s="3280"/>
      <c r="AG202" s="3280"/>
      <c r="AH202" s="3280"/>
      <c r="AI202" s="3280"/>
      <c r="AJ202" s="3280"/>
      <c r="AK202" s="3280"/>
      <c r="AL202" s="3280"/>
      <c r="AM202" s="3280"/>
      <c r="AN202" s="3280"/>
      <c r="AO202" s="3286"/>
      <c r="AP202" s="3286"/>
      <c r="AQ202" s="3289"/>
      <c r="AR202" s="1539"/>
      <c r="AS202" s="1539"/>
      <c r="AT202" s="1539"/>
      <c r="AU202" s="1539"/>
      <c r="AV202" s="1539"/>
      <c r="AW202" s="1539"/>
      <c r="AX202" s="1539"/>
      <c r="AY202" s="1539"/>
      <c r="AZ202" s="1539"/>
      <c r="BA202" s="1539"/>
      <c r="BB202" s="1539"/>
      <c r="BC202" s="1539"/>
      <c r="BD202" s="1539"/>
      <c r="BE202" s="1539"/>
      <c r="BF202" s="1539"/>
      <c r="BG202" s="1539"/>
      <c r="BH202" s="1539"/>
      <c r="BI202" s="1539"/>
      <c r="BJ202" s="1539"/>
      <c r="BK202" s="1539"/>
      <c r="BL202" s="1539"/>
      <c r="BM202" s="1539"/>
      <c r="BN202" s="1539"/>
      <c r="BO202" s="1539"/>
      <c r="BP202" s="1539"/>
      <c r="BQ202" s="1539"/>
      <c r="BR202" s="1539"/>
      <c r="BS202" s="1539"/>
      <c r="BT202" s="1539"/>
      <c r="BU202" s="1539"/>
      <c r="BV202" s="1539"/>
      <c r="BW202" s="1539"/>
      <c r="BX202" s="1539"/>
      <c r="BY202" s="1539"/>
      <c r="BZ202" s="1539"/>
      <c r="CA202" s="1539"/>
      <c r="CB202" s="1539"/>
      <c r="CC202" s="1539"/>
      <c r="CD202" s="1539"/>
      <c r="CE202" s="1539"/>
      <c r="CF202" s="1539"/>
      <c r="CG202" s="1539"/>
      <c r="CH202" s="1507"/>
      <c r="CI202" s="1507"/>
      <c r="CJ202" s="1507"/>
      <c r="CK202" s="1507"/>
      <c r="CL202" s="1507"/>
      <c r="CM202" s="1507"/>
      <c r="CN202" s="1507"/>
      <c r="CO202" s="1507"/>
      <c r="CP202" s="1507"/>
      <c r="CQ202" s="1507"/>
      <c r="CR202" s="1507"/>
      <c r="CS202" s="1507"/>
      <c r="CT202" s="1507"/>
      <c r="CU202" s="1507"/>
      <c r="CV202" s="1507"/>
      <c r="CW202" s="1507"/>
      <c r="CX202" s="1507"/>
      <c r="CY202" s="1507"/>
      <c r="CZ202" s="1507"/>
      <c r="DA202" s="1507"/>
      <c r="DB202" s="1507"/>
      <c r="DC202" s="1507"/>
      <c r="DD202" s="1507"/>
      <c r="DE202" s="1507"/>
      <c r="DF202" s="1507"/>
      <c r="DG202" s="1507"/>
      <c r="DH202" s="1507"/>
      <c r="DI202" s="1507"/>
      <c r="DJ202" s="1507"/>
      <c r="DK202" s="1507"/>
      <c r="DL202" s="1507"/>
      <c r="DM202" s="1507"/>
      <c r="DN202" s="1507"/>
      <c r="DO202" s="1507"/>
      <c r="DP202" s="1507"/>
      <c r="DQ202" s="1507"/>
      <c r="DR202" s="1507"/>
      <c r="DS202" s="1507"/>
      <c r="DT202" s="1507"/>
      <c r="DU202" s="1507"/>
      <c r="DV202" s="1507"/>
      <c r="DW202" s="1507"/>
      <c r="DX202" s="1507"/>
      <c r="DY202" s="1507"/>
      <c r="DZ202" s="1507"/>
      <c r="EA202" s="1507"/>
      <c r="EB202" s="1507"/>
      <c r="EC202" s="1507"/>
      <c r="ED202" s="1507"/>
      <c r="EE202" s="1507"/>
      <c r="EF202" s="1507"/>
      <c r="EG202" s="1507"/>
      <c r="EH202" s="1507"/>
      <c r="EI202" s="1507"/>
      <c r="EJ202" s="1507"/>
      <c r="EK202" s="1507"/>
      <c r="EL202" s="1507"/>
      <c r="EM202" s="1507"/>
      <c r="EN202" s="1507"/>
      <c r="EO202" s="1507"/>
      <c r="EP202" s="1507"/>
      <c r="EQ202" s="1507"/>
      <c r="ER202" s="1507"/>
      <c r="ES202" s="1507"/>
      <c r="ET202" s="1507"/>
      <c r="EU202" s="1507"/>
      <c r="EV202" s="1507"/>
      <c r="EW202" s="1507"/>
      <c r="EX202" s="1507"/>
      <c r="EY202" s="1507"/>
      <c r="EZ202" s="1507"/>
      <c r="FA202" s="1507"/>
      <c r="FB202" s="1507"/>
      <c r="FC202" s="1507"/>
      <c r="FD202" s="1507"/>
      <c r="FE202" s="1507"/>
      <c r="FF202" s="1507"/>
      <c r="FG202" s="1507"/>
      <c r="FH202" s="1507"/>
      <c r="FI202" s="1507"/>
      <c r="FJ202" s="1507"/>
      <c r="FK202" s="1507"/>
      <c r="FL202" s="1507"/>
      <c r="FM202" s="1507"/>
      <c r="FN202" s="1507"/>
      <c r="FO202" s="1507"/>
      <c r="FP202" s="1507"/>
      <c r="FQ202" s="1507"/>
      <c r="FR202" s="1507"/>
      <c r="FS202" s="1507"/>
      <c r="FT202" s="1507"/>
      <c r="FU202" s="1507"/>
      <c r="FV202" s="1507"/>
      <c r="FW202" s="1507"/>
      <c r="FX202" s="1507"/>
      <c r="FY202" s="1507"/>
      <c r="FZ202" s="1507"/>
      <c r="GA202" s="1507"/>
      <c r="GB202" s="1507"/>
      <c r="GC202" s="1507"/>
      <c r="GD202" s="1507"/>
      <c r="GE202" s="1507"/>
      <c r="GF202" s="1507"/>
      <c r="GG202" s="1507"/>
      <c r="GH202" s="1507"/>
      <c r="GI202" s="1507"/>
      <c r="GJ202" s="1507"/>
      <c r="GK202" s="1507"/>
      <c r="GL202" s="1507"/>
      <c r="GM202" s="1507"/>
      <c r="GN202" s="1507"/>
      <c r="GO202" s="1507"/>
      <c r="GP202" s="1507"/>
      <c r="GQ202" s="1507"/>
      <c r="GR202" s="1507"/>
      <c r="GS202" s="1507"/>
      <c r="GT202" s="1507"/>
      <c r="GU202" s="1507"/>
      <c r="GV202" s="1507"/>
      <c r="GW202" s="1507"/>
      <c r="GX202" s="1507"/>
      <c r="GY202" s="1507"/>
      <c r="GZ202" s="1507"/>
      <c r="HA202" s="1507"/>
      <c r="HB202" s="1507"/>
      <c r="HC202" s="1507"/>
      <c r="HD202" s="1507"/>
      <c r="HE202" s="1507"/>
      <c r="HF202" s="1507"/>
      <c r="HG202" s="1507"/>
      <c r="HH202" s="1507"/>
      <c r="HI202" s="1507"/>
      <c r="HJ202" s="1507"/>
      <c r="HK202" s="1507"/>
      <c r="HL202" s="1507"/>
      <c r="HM202" s="1507"/>
      <c r="HN202" s="1507"/>
      <c r="HO202" s="1507"/>
      <c r="HP202" s="1507"/>
      <c r="HQ202" s="1507"/>
      <c r="HR202" s="1507"/>
      <c r="HS202" s="1507"/>
      <c r="HT202" s="1507"/>
      <c r="HU202" s="1507"/>
      <c r="HV202" s="1507"/>
      <c r="HW202" s="1507"/>
      <c r="HX202" s="1507"/>
      <c r="HY202" s="1507"/>
      <c r="HZ202" s="1507"/>
      <c r="IA202" s="1507"/>
      <c r="IB202" s="1507"/>
      <c r="IC202" s="1507"/>
      <c r="ID202" s="1507"/>
      <c r="IE202" s="1507"/>
      <c r="IF202" s="1507"/>
      <c r="IG202" s="1507"/>
      <c r="IH202" s="1507"/>
      <c r="II202" s="1507"/>
      <c r="IJ202" s="1507"/>
      <c r="IK202" s="1507"/>
      <c r="IL202" s="1507"/>
      <c r="IM202" s="1507"/>
      <c r="IN202" s="1507"/>
      <c r="IO202" s="1507"/>
      <c r="IP202" s="1507"/>
      <c r="IQ202" s="1507"/>
      <c r="IR202" s="1507"/>
      <c r="IS202" s="1507"/>
      <c r="IT202" s="1507"/>
      <c r="IU202" s="1507"/>
      <c r="IV202" s="1507"/>
      <c r="IW202" s="1507"/>
      <c r="IX202" s="1507"/>
      <c r="IY202" s="1507"/>
      <c r="IZ202" s="1507"/>
      <c r="JA202" s="1507"/>
      <c r="JB202" s="1507"/>
      <c r="JC202" s="1507"/>
      <c r="JD202" s="1507"/>
      <c r="JE202" s="1507"/>
      <c r="JF202" s="1507"/>
      <c r="JG202" s="1507"/>
      <c r="JH202" s="1507"/>
      <c r="JI202" s="1507"/>
      <c r="JJ202" s="1507"/>
      <c r="JK202" s="1507"/>
      <c r="JL202" s="1507"/>
      <c r="JM202" s="1507"/>
      <c r="JN202" s="1507"/>
      <c r="JO202" s="1507"/>
      <c r="JP202" s="1507"/>
      <c r="JQ202" s="1507"/>
      <c r="JR202" s="1507"/>
      <c r="JS202" s="1507"/>
      <c r="JT202" s="1507"/>
      <c r="JU202" s="1507"/>
      <c r="JV202" s="1507"/>
      <c r="JW202" s="1507"/>
      <c r="JX202" s="1507"/>
      <c r="JY202" s="1507"/>
      <c r="JZ202" s="1507"/>
      <c r="KA202" s="1507"/>
      <c r="KB202" s="1507"/>
      <c r="KC202" s="1507"/>
      <c r="KD202" s="1507"/>
      <c r="KE202" s="1507"/>
      <c r="KF202" s="1507"/>
      <c r="KG202" s="1507"/>
      <c r="KH202" s="1507"/>
      <c r="KI202" s="1507"/>
      <c r="KJ202" s="1507"/>
      <c r="KK202" s="1507"/>
      <c r="KL202" s="1507"/>
      <c r="KM202" s="1507"/>
      <c r="KN202" s="1507"/>
      <c r="KO202" s="1507"/>
      <c r="KP202" s="1507"/>
      <c r="KQ202" s="1507"/>
      <c r="KR202" s="1507"/>
      <c r="KS202" s="1507"/>
      <c r="KT202" s="1507"/>
      <c r="KU202" s="1507"/>
      <c r="KV202" s="1507"/>
      <c r="KW202" s="1507"/>
      <c r="KX202" s="1507"/>
      <c r="KY202" s="1507"/>
      <c r="KZ202" s="1507"/>
      <c r="LA202" s="1507"/>
      <c r="LB202" s="1507"/>
      <c r="LC202" s="1507"/>
      <c r="LD202" s="1507"/>
      <c r="LE202" s="1507"/>
      <c r="LF202" s="1507"/>
      <c r="LG202" s="1507"/>
      <c r="LH202" s="1507"/>
      <c r="LI202" s="1507"/>
      <c r="LJ202" s="1507"/>
      <c r="LK202" s="1507"/>
      <c r="LL202" s="1507"/>
      <c r="LM202" s="1507"/>
      <c r="LN202" s="1507"/>
      <c r="LO202" s="1507"/>
      <c r="LP202" s="1507"/>
      <c r="LQ202" s="1507"/>
      <c r="LR202" s="1507"/>
      <c r="LS202" s="1507"/>
      <c r="LT202" s="1507"/>
      <c r="LU202" s="1507"/>
      <c r="LV202" s="1507"/>
      <c r="LW202" s="1507"/>
      <c r="LX202" s="1507"/>
      <c r="LY202" s="1507"/>
      <c r="LZ202" s="1507"/>
      <c r="MA202" s="1507"/>
      <c r="MB202" s="1507"/>
      <c r="MC202" s="1507"/>
      <c r="MD202" s="1507"/>
      <c r="ME202" s="1507"/>
    </row>
    <row r="203" spans="1:343" s="1611" customFormat="1" ht="30" x14ac:dyDescent="0.2">
      <c r="A203" s="1532"/>
      <c r="B203" s="1533"/>
      <c r="C203" s="1534"/>
      <c r="D203" s="1533"/>
      <c r="E203" s="1533"/>
      <c r="F203" s="1534"/>
      <c r="G203" s="1540"/>
      <c r="H203" s="1533"/>
      <c r="I203" s="1534"/>
      <c r="J203" s="3269"/>
      <c r="K203" s="3272"/>
      <c r="L203" s="3269"/>
      <c r="M203" s="3269"/>
      <c r="N203" s="3268"/>
      <c r="O203" s="3268"/>
      <c r="P203" s="3271"/>
      <c r="Q203" s="2799"/>
      <c r="R203" s="2825"/>
      <c r="S203" s="3271"/>
      <c r="T203" s="3272"/>
      <c r="U203" s="1555" t="s">
        <v>2128</v>
      </c>
      <c r="V203" s="535">
        <v>20840000</v>
      </c>
      <c r="W203" s="3293"/>
      <c r="X203" s="3268"/>
      <c r="Y203" s="3268"/>
      <c r="Z203" s="3268"/>
      <c r="AA203" s="3280"/>
      <c r="AB203" s="3280"/>
      <c r="AC203" s="3280"/>
      <c r="AD203" s="3280"/>
      <c r="AE203" s="3280"/>
      <c r="AF203" s="3280"/>
      <c r="AG203" s="3280"/>
      <c r="AH203" s="3280"/>
      <c r="AI203" s="3280"/>
      <c r="AJ203" s="3280"/>
      <c r="AK203" s="3280"/>
      <c r="AL203" s="3280"/>
      <c r="AM203" s="3280"/>
      <c r="AN203" s="3280"/>
      <c r="AO203" s="3286"/>
      <c r="AP203" s="3286"/>
      <c r="AQ203" s="3289"/>
      <c r="AR203" s="1539"/>
      <c r="AS203" s="1539"/>
      <c r="AT203" s="1539"/>
      <c r="AU203" s="1539"/>
      <c r="AV203" s="1539"/>
      <c r="AW203" s="1539"/>
      <c r="AX203" s="1539"/>
      <c r="AY203" s="1539"/>
      <c r="AZ203" s="1539"/>
      <c r="BA203" s="1539"/>
      <c r="BB203" s="1539"/>
      <c r="BC203" s="1539"/>
      <c r="BD203" s="1539"/>
      <c r="BE203" s="1539"/>
      <c r="BF203" s="1539"/>
      <c r="BG203" s="1539"/>
      <c r="BH203" s="1539"/>
      <c r="BI203" s="1539"/>
      <c r="BJ203" s="1539"/>
      <c r="BK203" s="1539"/>
      <c r="BL203" s="1539"/>
      <c r="BM203" s="1539"/>
      <c r="BN203" s="1539"/>
      <c r="BO203" s="1539"/>
      <c r="BP203" s="1539"/>
      <c r="BQ203" s="1539"/>
      <c r="BR203" s="1539"/>
      <c r="BS203" s="1539"/>
      <c r="BT203" s="1539"/>
      <c r="BU203" s="1539"/>
      <c r="BV203" s="1539"/>
      <c r="BW203" s="1539"/>
      <c r="BX203" s="1539"/>
      <c r="BY203" s="1539"/>
      <c r="BZ203" s="1539"/>
      <c r="CA203" s="1539"/>
      <c r="CB203" s="1539"/>
      <c r="CC203" s="1539"/>
      <c r="CD203" s="1539"/>
      <c r="CE203" s="1539"/>
      <c r="CF203" s="1539"/>
      <c r="CG203" s="1539"/>
      <c r="CH203" s="1507"/>
      <c r="CI203" s="1507"/>
      <c r="CJ203" s="1507"/>
      <c r="CK203" s="1507"/>
      <c r="CL203" s="1507"/>
      <c r="CM203" s="1507"/>
      <c r="CN203" s="1507"/>
      <c r="CO203" s="1507"/>
      <c r="CP203" s="1507"/>
      <c r="CQ203" s="1507"/>
      <c r="CR203" s="1507"/>
      <c r="CS203" s="1507"/>
      <c r="CT203" s="1507"/>
      <c r="CU203" s="1507"/>
      <c r="CV203" s="1507"/>
      <c r="CW203" s="1507"/>
      <c r="CX203" s="1507"/>
      <c r="CY203" s="1507"/>
      <c r="CZ203" s="1507"/>
      <c r="DA203" s="1507"/>
      <c r="DB203" s="1507"/>
      <c r="DC203" s="1507"/>
      <c r="DD203" s="1507"/>
      <c r="DE203" s="1507"/>
      <c r="DF203" s="1507"/>
      <c r="DG203" s="1507"/>
      <c r="DH203" s="1507"/>
      <c r="DI203" s="1507"/>
      <c r="DJ203" s="1507"/>
      <c r="DK203" s="1507"/>
      <c r="DL203" s="1507"/>
      <c r="DM203" s="1507"/>
      <c r="DN203" s="1507"/>
      <c r="DO203" s="1507"/>
      <c r="DP203" s="1507"/>
      <c r="DQ203" s="1507"/>
      <c r="DR203" s="1507"/>
      <c r="DS203" s="1507"/>
      <c r="DT203" s="1507"/>
      <c r="DU203" s="1507"/>
      <c r="DV203" s="1507"/>
      <c r="DW203" s="1507"/>
      <c r="DX203" s="1507"/>
      <c r="DY203" s="1507"/>
      <c r="DZ203" s="1507"/>
      <c r="EA203" s="1507"/>
      <c r="EB203" s="1507"/>
      <c r="EC203" s="1507"/>
      <c r="ED203" s="1507"/>
      <c r="EE203" s="1507"/>
      <c r="EF203" s="1507"/>
      <c r="EG203" s="1507"/>
      <c r="EH203" s="1507"/>
      <c r="EI203" s="1507"/>
      <c r="EJ203" s="1507"/>
      <c r="EK203" s="1507"/>
      <c r="EL203" s="1507"/>
      <c r="EM203" s="1507"/>
      <c r="EN203" s="1507"/>
      <c r="EO203" s="1507"/>
      <c r="EP203" s="1507"/>
      <c r="EQ203" s="1507"/>
      <c r="ER203" s="1507"/>
      <c r="ES203" s="1507"/>
      <c r="ET203" s="1507"/>
      <c r="EU203" s="1507"/>
      <c r="EV203" s="1507"/>
      <c r="EW203" s="1507"/>
      <c r="EX203" s="1507"/>
      <c r="EY203" s="1507"/>
      <c r="EZ203" s="1507"/>
      <c r="FA203" s="1507"/>
      <c r="FB203" s="1507"/>
      <c r="FC203" s="1507"/>
      <c r="FD203" s="1507"/>
      <c r="FE203" s="1507"/>
      <c r="FF203" s="1507"/>
      <c r="FG203" s="1507"/>
      <c r="FH203" s="1507"/>
      <c r="FI203" s="1507"/>
      <c r="FJ203" s="1507"/>
      <c r="FK203" s="1507"/>
      <c r="FL203" s="1507"/>
      <c r="FM203" s="1507"/>
      <c r="FN203" s="1507"/>
      <c r="FO203" s="1507"/>
      <c r="FP203" s="1507"/>
      <c r="FQ203" s="1507"/>
      <c r="FR203" s="1507"/>
      <c r="FS203" s="1507"/>
      <c r="FT203" s="1507"/>
      <c r="FU203" s="1507"/>
      <c r="FV203" s="1507"/>
      <c r="FW203" s="1507"/>
      <c r="FX203" s="1507"/>
      <c r="FY203" s="1507"/>
      <c r="FZ203" s="1507"/>
      <c r="GA203" s="1507"/>
      <c r="GB203" s="1507"/>
      <c r="GC203" s="1507"/>
      <c r="GD203" s="1507"/>
      <c r="GE203" s="1507"/>
      <c r="GF203" s="1507"/>
      <c r="GG203" s="1507"/>
      <c r="GH203" s="1507"/>
      <c r="GI203" s="1507"/>
      <c r="GJ203" s="1507"/>
      <c r="GK203" s="1507"/>
      <c r="GL203" s="1507"/>
      <c r="GM203" s="1507"/>
      <c r="GN203" s="1507"/>
      <c r="GO203" s="1507"/>
      <c r="GP203" s="1507"/>
      <c r="GQ203" s="1507"/>
      <c r="GR203" s="1507"/>
      <c r="GS203" s="1507"/>
      <c r="GT203" s="1507"/>
      <c r="GU203" s="1507"/>
      <c r="GV203" s="1507"/>
      <c r="GW203" s="1507"/>
      <c r="GX203" s="1507"/>
      <c r="GY203" s="1507"/>
      <c r="GZ203" s="1507"/>
      <c r="HA203" s="1507"/>
      <c r="HB203" s="1507"/>
      <c r="HC203" s="1507"/>
      <c r="HD203" s="1507"/>
      <c r="HE203" s="1507"/>
      <c r="HF203" s="1507"/>
      <c r="HG203" s="1507"/>
      <c r="HH203" s="1507"/>
      <c r="HI203" s="1507"/>
      <c r="HJ203" s="1507"/>
      <c r="HK203" s="1507"/>
      <c r="HL203" s="1507"/>
      <c r="HM203" s="1507"/>
      <c r="HN203" s="1507"/>
      <c r="HO203" s="1507"/>
      <c r="HP203" s="1507"/>
      <c r="HQ203" s="1507"/>
      <c r="HR203" s="1507"/>
      <c r="HS203" s="1507"/>
      <c r="HT203" s="1507"/>
      <c r="HU203" s="1507"/>
      <c r="HV203" s="1507"/>
      <c r="HW203" s="1507"/>
      <c r="HX203" s="1507"/>
      <c r="HY203" s="1507"/>
      <c r="HZ203" s="1507"/>
      <c r="IA203" s="1507"/>
      <c r="IB203" s="1507"/>
      <c r="IC203" s="1507"/>
      <c r="ID203" s="1507"/>
      <c r="IE203" s="1507"/>
      <c r="IF203" s="1507"/>
      <c r="IG203" s="1507"/>
      <c r="IH203" s="1507"/>
      <c r="II203" s="1507"/>
      <c r="IJ203" s="1507"/>
      <c r="IK203" s="1507"/>
      <c r="IL203" s="1507"/>
      <c r="IM203" s="1507"/>
      <c r="IN203" s="1507"/>
      <c r="IO203" s="1507"/>
      <c r="IP203" s="1507"/>
      <c r="IQ203" s="1507"/>
      <c r="IR203" s="1507"/>
      <c r="IS203" s="1507"/>
      <c r="IT203" s="1507"/>
      <c r="IU203" s="1507"/>
      <c r="IV203" s="1507"/>
      <c r="IW203" s="1507"/>
      <c r="IX203" s="1507"/>
      <c r="IY203" s="1507"/>
      <c r="IZ203" s="1507"/>
      <c r="JA203" s="1507"/>
      <c r="JB203" s="1507"/>
      <c r="JC203" s="1507"/>
      <c r="JD203" s="1507"/>
      <c r="JE203" s="1507"/>
      <c r="JF203" s="1507"/>
      <c r="JG203" s="1507"/>
      <c r="JH203" s="1507"/>
      <c r="JI203" s="1507"/>
      <c r="JJ203" s="1507"/>
      <c r="JK203" s="1507"/>
      <c r="JL203" s="1507"/>
      <c r="JM203" s="1507"/>
      <c r="JN203" s="1507"/>
      <c r="JO203" s="1507"/>
      <c r="JP203" s="1507"/>
      <c r="JQ203" s="1507"/>
      <c r="JR203" s="1507"/>
      <c r="JS203" s="1507"/>
      <c r="JT203" s="1507"/>
      <c r="JU203" s="1507"/>
      <c r="JV203" s="1507"/>
      <c r="JW203" s="1507"/>
      <c r="JX203" s="1507"/>
      <c r="JY203" s="1507"/>
      <c r="JZ203" s="1507"/>
      <c r="KA203" s="1507"/>
      <c r="KB203" s="1507"/>
      <c r="KC203" s="1507"/>
      <c r="KD203" s="1507"/>
      <c r="KE203" s="1507"/>
      <c r="KF203" s="1507"/>
      <c r="KG203" s="1507"/>
      <c r="KH203" s="1507"/>
      <c r="KI203" s="1507"/>
      <c r="KJ203" s="1507"/>
      <c r="KK203" s="1507"/>
      <c r="KL203" s="1507"/>
      <c r="KM203" s="1507"/>
      <c r="KN203" s="1507"/>
      <c r="KO203" s="1507"/>
      <c r="KP203" s="1507"/>
      <c r="KQ203" s="1507"/>
      <c r="KR203" s="1507"/>
      <c r="KS203" s="1507"/>
      <c r="KT203" s="1507"/>
      <c r="KU203" s="1507"/>
      <c r="KV203" s="1507"/>
      <c r="KW203" s="1507"/>
      <c r="KX203" s="1507"/>
      <c r="KY203" s="1507"/>
      <c r="KZ203" s="1507"/>
      <c r="LA203" s="1507"/>
      <c r="LB203" s="1507"/>
      <c r="LC203" s="1507"/>
      <c r="LD203" s="1507"/>
      <c r="LE203" s="1507"/>
      <c r="LF203" s="1507"/>
      <c r="LG203" s="1507"/>
      <c r="LH203" s="1507"/>
      <c r="LI203" s="1507"/>
      <c r="LJ203" s="1507"/>
      <c r="LK203" s="1507"/>
      <c r="LL203" s="1507"/>
      <c r="LM203" s="1507"/>
      <c r="LN203" s="1507"/>
      <c r="LO203" s="1507"/>
      <c r="LP203" s="1507"/>
      <c r="LQ203" s="1507"/>
      <c r="LR203" s="1507"/>
      <c r="LS203" s="1507"/>
      <c r="LT203" s="1507"/>
      <c r="LU203" s="1507"/>
      <c r="LV203" s="1507"/>
      <c r="LW203" s="1507"/>
      <c r="LX203" s="1507"/>
      <c r="LY203" s="1507"/>
      <c r="LZ203" s="1507"/>
      <c r="MA203" s="1507"/>
      <c r="MB203" s="1507"/>
      <c r="MC203" s="1507"/>
      <c r="MD203" s="1507"/>
      <c r="ME203" s="1507"/>
    </row>
    <row r="204" spans="1:343" s="1611" customFormat="1" ht="75" x14ac:dyDescent="0.2">
      <c r="A204" s="1532"/>
      <c r="B204" s="1533"/>
      <c r="C204" s="1534"/>
      <c r="D204" s="1533"/>
      <c r="E204" s="1533"/>
      <c r="F204" s="1534"/>
      <c r="G204" s="1540"/>
      <c r="H204" s="1533"/>
      <c r="I204" s="1534"/>
      <c r="J204" s="3291">
        <v>162</v>
      </c>
      <c r="K204" s="3270" t="s">
        <v>2129</v>
      </c>
      <c r="L204" s="3267" t="s">
        <v>1804</v>
      </c>
      <c r="M204" s="3267">
        <v>83</v>
      </c>
      <c r="N204" s="3268"/>
      <c r="O204" s="3268"/>
      <c r="P204" s="3271"/>
      <c r="Q204" s="2797">
        <f>(V204+V205+V206+V207+V208)/R200</f>
        <v>0.70336806460191881</v>
      </c>
      <c r="R204" s="2825"/>
      <c r="S204" s="3271"/>
      <c r="T204" s="3270" t="s">
        <v>2130</v>
      </c>
      <c r="U204" s="1555" t="s">
        <v>2131</v>
      </c>
      <c r="V204" s="535">
        <v>160000000</v>
      </c>
      <c r="W204" s="3293"/>
      <c r="X204" s="3268"/>
      <c r="Y204" s="3268"/>
      <c r="Z204" s="3268"/>
      <c r="AA204" s="3280"/>
      <c r="AB204" s="3280"/>
      <c r="AC204" s="3280"/>
      <c r="AD204" s="3280"/>
      <c r="AE204" s="3280"/>
      <c r="AF204" s="3280"/>
      <c r="AG204" s="3280"/>
      <c r="AH204" s="3280"/>
      <c r="AI204" s="3280"/>
      <c r="AJ204" s="3280"/>
      <c r="AK204" s="3280"/>
      <c r="AL204" s="3280"/>
      <c r="AM204" s="3280"/>
      <c r="AN204" s="3280"/>
      <c r="AO204" s="3286"/>
      <c r="AP204" s="3286"/>
      <c r="AQ204" s="3289"/>
      <c r="AR204" s="1539"/>
      <c r="AS204" s="1539"/>
      <c r="AT204" s="1539"/>
      <c r="AU204" s="1539"/>
      <c r="AV204" s="1539"/>
      <c r="AW204" s="1539"/>
      <c r="AX204" s="1539"/>
      <c r="AY204" s="1539"/>
      <c r="AZ204" s="1539"/>
      <c r="BA204" s="1539"/>
      <c r="BB204" s="1539"/>
      <c r="BC204" s="1539"/>
      <c r="BD204" s="1539"/>
      <c r="BE204" s="1539"/>
      <c r="BF204" s="1539"/>
      <c r="BG204" s="1539"/>
      <c r="BH204" s="1539"/>
      <c r="BI204" s="1539"/>
      <c r="BJ204" s="1539"/>
      <c r="BK204" s="1539"/>
      <c r="BL204" s="1539"/>
      <c r="BM204" s="1539"/>
      <c r="BN204" s="1539"/>
      <c r="BO204" s="1539"/>
      <c r="BP204" s="1539"/>
      <c r="BQ204" s="1539"/>
      <c r="BR204" s="1539"/>
      <c r="BS204" s="1539"/>
      <c r="BT204" s="1539"/>
      <c r="BU204" s="1539"/>
      <c r="BV204" s="1539"/>
      <c r="BW204" s="1539"/>
      <c r="BX204" s="1539"/>
      <c r="BY204" s="1539"/>
      <c r="BZ204" s="1539"/>
      <c r="CA204" s="1539"/>
      <c r="CB204" s="1539"/>
      <c r="CC204" s="1539"/>
      <c r="CD204" s="1539"/>
      <c r="CE204" s="1539"/>
      <c r="CF204" s="1539"/>
      <c r="CG204" s="1539"/>
      <c r="CH204" s="1507"/>
      <c r="CI204" s="1507"/>
      <c r="CJ204" s="1507"/>
      <c r="CK204" s="1507"/>
      <c r="CL204" s="1507"/>
      <c r="CM204" s="1507"/>
      <c r="CN204" s="1507"/>
      <c r="CO204" s="1507"/>
      <c r="CP204" s="1507"/>
      <c r="CQ204" s="1507"/>
      <c r="CR204" s="1507"/>
      <c r="CS204" s="1507"/>
      <c r="CT204" s="1507"/>
      <c r="CU204" s="1507"/>
      <c r="CV204" s="1507"/>
      <c r="CW204" s="1507"/>
      <c r="CX204" s="1507"/>
      <c r="CY204" s="1507"/>
      <c r="CZ204" s="1507"/>
      <c r="DA204" s="1507"/>
      <c r="DB204" s="1507"/>
      <c r="DC204" s="1507"/>
      <c r="DD204" s="1507"/>
      <c r="DE204" s="1507"/>
      <c r="DF204" s="1507"/>
      <c r="DG204" s="1507"/>
      <c r="DH204" s="1507"/>
      <c r="DI204" s="1507"/>
      <c r="DJ204" s="1507"/>
      <c r="DK204" s="1507"/>
      <c r="DL204" s="1507"/>
      <c r="DM204" s="1507"/>
      <c r="DN204" s="1507"/>
      <c r="DO204" s="1507"/>
      <c r="DP204" s="1507"/>
      <c r="DQ204" s="1507"/>
      <c r="DR204" s="1507"/>
      <c r="DS204" s="1507"/>
      <c r="DT204" s="1507"/>
      <c r="DU204" s="1507"/>
      <c r="DV204" s="1507"/>
      <c r="DW204" s="1507"/>
      <c r="DX204" s="1507"/>
      <c r="DY204" s="1507"/>
      <c r="DZ204" s="1507"/>
      <c r="EA204" s="1507"/>
      <c r="EB204" s="1507"/>
      <c r="EC204" s="1507"/>
      <c r="ED204" s="1507"/>
      <c r="EE204" s="1507"/>
      <c r="EF204" s="1507"/>
      <c r="EG204" s="1507"/>
      <c r="EH204" s="1507"/>
      <c r="EI204" s="1507"/>
      <c r="EJ204" s="1507"/>
      <c r="EK204" s="1507"/>
      <c r="EL204" s="1507"/>
      <c r="EM204" s="1507"/>
      <c r="EN204" s="1507"/>
      <c r="EO204" s="1507"/>
      <c r="EP204" s="1507"/>
      <c r="EQ204" s="1507"/>
      <c r="ER204" s="1507"/>
      <c r="ES204" s="1507"/>
      <c r="ET204" s="1507"/>
      <c r="EU204" s="1507"/>
      <c r="EV204" s="1507"/>
      <c r="EW204" s="1507"/>
      <c r="EX204" s="1507"/>
      <c r="EY204" s="1507"/>
      <c r="EZ204" s="1507"/>
      <c r="FA204" s="1507"/>
      <c r="FB204" s="1507"/>
      <c r="FC204" s="1507"/>
      <c r="FD204" s="1507"/>
      <c r="FE204" s="1507"/>
      <c r="FF204" s="1507"/>
      <c r="FG204" s="1507"/>
      <c r="FH204" s="1507"/>
      <c r="FI204" s="1507"/>
      <c r="FJ204" s="1507"/>
      <c r="FK204" s="1507"/>
      <c r="FL204" s="1507"/>
      <c r="FM204" s="1507"/>
      <c r="FN204" s="1507"/>
      <c r="FO204" s="1507"/>
      <c r="FP204" s="1507"/>
      <c r="FQ204" s="1507"/>
      <c r="FR204" s="1507"/>
      <c r="FS204" s="1507"/>
      <c r="FT204" s="1507"/>
      <c r="FU204" s="1507"/>
      <c r="FV204" s="1507"/>
      <c r="FW204" s="1507"/>
      <c r="FX204" s="1507"/>
      <c r="FY204" s="1507"/>
      <c r="FZ204" s="1507"/>
      <c r="GA204" s="1507"/>
      <c r="GB204" s="1507"/>
      <c r="GC204" s="1507"/>
      <c r="GD204" s="1507"/>
      <c r="GE204" s="1507"/>
      <c r="GF204" s="1507"/>
      <c r="GG204" s="1507"/>
      <c r="GH204" s="1507"/>
      <c r="GI204" s="1507"/>
      <c r="GJ204" s="1507"/>
      <c r="GK204" s="1507"/>
      <c r="GL204" s="1507"/>
      <c r="GM204" s="1507"/>
      <c r="GN204" s="1507"/>
      <c r="GO204" s="1507"/>
      <c r="GP204" s="1507"/>
      <c r="GQ204" s="1507"/>
      <c r="GR204" s="1507"/>
      <c r="GS204" s="1507"/>
      <c r="GT204" s="1507"/>
      <c r="GU204" s="1507"/>
      <c r="GV204" s="1507"/>
      <c r="GW204" s="1507"/>
      <c r="GX204" s="1507"/>
      <c r="GY204" s="1507"/>
      <c r="GZ204" s="1507"/>
      <c r="HA204" s="1507"/>
      <c r="HB204" s="1507"/>
      <c r="HC204" s="1507"/>
      <c r="HD204" s="1507"/>
      <c r="HE204" s="1507"/>
      <c r="HF204" s="1507"/>
      <c r="HG204" s="1507"/>
      <c r="HH204" s="1507"/>
      <c r="HI204" s="1507"/>
      <c r="HJ204" s="1507"/>
      <c r="HK204" s="1507"/>
      <c r="HL204" s="1507"/>
      <c r="HM204" s="1507"/>
      <c r="HN204" s="1507"/>
      <c r="HO204" s="1507"/>
      <c r="HP204" s="1507"/>
      <c r="HQ204" s="1507"/>
      <c r="HR204" s="1507"/>
      <c r="HS204" s="1507"/>
      <c r="HT204" s="1507"/>
      <c r="HU204" s="1507"/>
      <c r="HV204" s="1507"/>
      <c r="HW204" s="1507"/>
      <c r="HX204" s="1507"/>
      <c r="HY204" s="1507"/>
      <c r="HZ204" s="1507"/>
      <c r="IA204" s="1507"/>
      <c r="IB204" s="1507"/>
      <c r="IC204" s="1507"/>
      <c r="ID204" s="1507"/>
      <c r="IE204" s="1507"/>
      <c r="IF204" s="1507"/>
      <c r="IG204" s="1507"/>
      <c r="IH204" s="1507"/>
      <c r="II204" s="1507"/>
      <c r="IJ204" s="1507"/>
      <c r="IK204" s="1507"/>
      <c r="IL204" s="1507"/>
      <c r="IM204" s="1507"/>
      <c r="IN204" s="1507"/>
      <c r="IO204" s="1507"/>
      <c r="IP204" s="1507"/>
      <c r="IQ204" s="1507"/>
      <c r="IR204" s="1507"/>
      <c r="IS204" s="1507"/>
      <c r="IT204" s="1507"/>
      <c r="IU204" s="1507"/>
      <c r="IV204" s="1507"/>
      <c r="IW204" s="1507"/>
      <c r="IX204" s="1507"/>
      <c r="IY204" s="1507"/>
      <c r="IZ204" s="1507"/>
      <c r="JA204" s="1507"/>
      <c r="JB204" s="1507"/>
      <c r="JC204" s="1507"/>
      <c r="JD204" s="1507"/>
      <c r="JE204" s="1507"/>
      <c r="JF204" s="1507"/>
      <c r="JG204" s="1507"/>
      <c r="JH204" s="1507"/>
      <c r="JI204" s="1507"/>
      <c r="JJ204" s="1507"/>
      <c r="JK204" s="1507"/>
      <c r="JL204" s="1507"/>
      <c r="JM204" s="1507"/>
      <c r="JN204" s="1507"/>
      <c r="JO204" s="1507"/>
      <c r="JP204" s="1507"/>
      <c r="JQ204" s="1507"/>
      <c r="JR204" s="1507"/>
      <c r="JS204" s="1507"/>
      <c r="JT204" s="1507"/>
      <c r="JU204" s="1507"/>
      <c r="JV204" s="1507"/>
      <c r="JW204" s="1507"/>
      <c r="JX204" s="1507"/>
      <c r="JY204" s="1507"/>
      <c r="JZ204" s="1507"/>
      <c r="KA204" s="1507"/>
      <c r="KB204" s="1507"/>
      <c r="KC204" s="1507"/>
      <c r="KD204" s="1507"/>
      <c r="KE204" s="1507"/>
      <c r="KF204" s="1507"/>
      <c r="KG204" s="1507"/>
      <c r="KH204" s="1507"/>
      <c r="KI204" s="1507"/>
      <c r="KJ204" s="1507"/>
      <c r="KK204" s="1507"/>
      <c r="KL204" s="1507"/>
      <c r="KM204" s="1507"/>
      <c r="KN204" s="1507"/>
      <c r="KO204" s="1507"/>
      <c r="KP204" s="1507"/>
      <c r="KQ204" s="1507"/>
      <c r="KR204" s="1507"/>
      <c r="KS204" s="1507"/>
      <c r="KT204" s="1507"/>
      <c r="KU204" s="1507"/>
      <c r="KV204" s="1507"/>
      <c r="KW204" s="1507"/>
      <c r="KX204" s="1507"/>
      <c r="KY204" s="1507"/>
      <c r="KZ204" s="1507"/>
      <c r="LA204" s="1507"/>
      <c r="LB204" s="1507"/>
      <c r="LC204" s="1507"/>
      <c r="LD204" s="1507"/>
      <c r="LE204" s="1507"/>
      <c r="LF204" s="1507"/>
      <c r="LG204" s="1507"/>
      <c r="LH204" s="1507"/>
      <c r="LI204" s="1507"/>
      <c r="LJ204" s="1507"/>
      <c r="LK204" s="1507"/>
      <c r="LL204" s="1507"/>
      <c r="LM204" s="1507"/>
      <c r="LN204" s="1507"/>
      <c r="LO204" s="1507"/>
      <c r="LP204" s="1507"/>
      <c r="LQ204" s="1507"/>
      <c r="LR204" s="1507"/>
      <c r="LS204" s="1507"/>
      <c r="LT204" s="1507"/>
      <c r="LU204" s="1507"/>
      <c r="LV204" s="1507"/>
      <c r="LW204" s="1507"/>
      <c r="LX204" s="1507"/>
      <c r="LY204" s="1507"/>
      <c r="LZ204" s="1507"/>
      <c r="MA204" s="1507"/>
      <c r="MB204" s="1507"/>
      <c r="MC204" s="1507"/>
      <c r="MD204" s="1507"/>
      <c r="ME204" s="1507"/>
    </row>
    <row r="205" spans="1:343" s="1611" customFormat="1" ht="60" customHeight="1" x14ac:dyDescent="0.2">
      <c r="A205" s="1532"/>
      <c r="B205" s="1533"/>
      <c r="C205" s="1534"/>
      <c r="D205" s="1533"/>
      <c r="E205" s="1533"/>
      <c r="F205" s="1534"/>
      <c r="G205" s="1540"/>
      <c r="H205" s="1533"/>
      <c r="I205" s="1534"/>
      <c r="J205" s="3291"/>
      <c r="K205" s="3271"/>
      <c r="L205" s="3268"/>
      <c r="M205" s="3268"/>
      <c r="N205" s="3268"/>
      <c r="O205" s="3268"/>
      <c r="P205" s="3271"/>
      <c r="Q205" s="2798"/>
      <c r="R205" s="2825"/>
      <c r="S205" s="3271"/>
      <c r="T205" s="3271"/>
      <c r="U205" s="1555" t="s">
        <v>2132</v>
      </c>
      <c r="V205" s="535">
        <v>62000000</v>
      </c>
      <c r="W205" s="3293"/>
      <c r="X205" s="3268"/>
      <c r="Y205" s="3268"/>
      <c r="Z205" s="3268"/>
      <c r="AA205" s="3280"/>
      <c r="AB205" s="3280"/>
      <c r="AC205" s="3280"/>
      <c r="AD205" s="3280"/>
      <c r="AE205" s="3280"/>
      <c r="AF205" s="3280"/>
      <c r="AG205" s="3280"/>
      <c r="AH205" s="3280"/>
      <c r="AI205" s="3280"/>
      <c r="AJ205" s="3280"/>
      <c r="AK205" s="3280"/>
      <c r="AL205" s="3280"/>
      <c r="AM205" s="3280"/>
      <c r="AN205" s="3280"/>
      <c r="AO205" s="3286"/>
      <c r="AP205" s="3286"/>
      <c r="AQ205" s="3289"/>
      <c r="AR205" s="1539"/>
      <c r="AS205" s="1539"/>
      <c r="AT205" s="1539"/>
      <c r="AU205" s="1539"/>
      <c r="AV205" s="1539"/>
      <c r="AW205" s="1539"/>
      <c r="AX205" s="1539"/>
      <c r="AY205" s="1539"/>
      <c r="AZ205" s="1539"/>
      <c r="BA205" s="1539"/>
      <c r="BB205" s="1539"/>
      <c r="BC205" s="1539"/>
      <c r="BD205" s="1539"/>
      <c r="BE205" s="1539"/>
      <c r="BF205" s="1539"/>
      <c r="BG205" s="1539"/>
      <c r="BH205" s="1539"/>
      <c r="BI205" s="1539"/>
      <c r="BJ205" s="1539"/>
      <c r="BK205" s="1539"/>
      <c r="BL205" s="1539"/>
      <c r="BM205" s="1539"/>
      <c r="BN205" s="1539"/>
      <c r="BO205" s="1539"/>
      <c r="BP205" s="1539"/>
      <c r="BQ205" s="1539"/>
      <c r="BR205" s="1539"/>
      <c r="BS205" s="1539"/>
      <c r="BT205" s="1539"/>
      <c r="BU205" s="1539"/>
      <c r="BV205" s="1539"/>
      <c r="BW205" s="1539"/>
      <c r="BX205" s="1539"/>
      <c r="BY205" s="1539"/>
      <c r="BZ205" s="1507"/>
      <c r="CA205" s="1507"/>
      <c r="CB205" s="1507"/>
      <c r="CC205" s="1507"/>
      <c r="CD205" s="1507"/>
      <c r="CE205" s="1507"/>
      <c r="CF205" s="1507"/>
      <c r="CG205" s="1507"/>
      <c r="CH205" s="1507"/>
      <c r="CI205" s="1507"/>
      <c r="CJ205" s="1507"/>
      <c r="CK205" s="1507"/>
      <c r="CL205" s="1507"/>
      <c r="CM205" s="1507"/>
      <c r="CN205" s="1507"/>
      <c r="CO205" s="1507"/>
      <c r="CP205" s="1507"/>
      <c r="CQ205" s="1507"/>
      <c r="CR205" s="1507"/>
      <c r="CS205" s="1507"/>
      <c r="CT205" s="1507"/>
      <c r="CU205" s="1507"/>
      <c r="CV205" s="1507"/>
      <c r="CW205" s="1507"/>
      <c r="CX205" s="1507"/>
      <c r="CY205" s="1507"/>
      <c r="CZ205" s="1507"/>
      <c r="DA205" s="1507"/>
      <c r="DB205" s="1507"/>
      <c r="DC205" s="1507"/>
      <c r="DD205" s="1507"/>
      <c r="DE205" s="1507"/>
      <c r="DF205" s="1507"/>
      <c r="DG205" s="1507"/>
      <c r="DH205" s="1507"/>
      <c r="DI205" s="1507"/>
      <c r="DJ205" s="1507"/>
      <c r="DK205" s="1507"/>
      <c r="DL205" s="1507"/>
      <c r="DM205" s="1507"/>
      <c r="DN205" s="1507"/>
      <c r="DO205" s="1507"/>
      <c r="DP205" s="1507"/>
      <c r="DQ205" s="1507"/>
      <c r="DR205" s="1507"/>
      <c r="DS205" s="1507"/>
      <c r="DT205" s="1507"/>
      <c r="DU205" s="1507"/>
      <c r="DV205" s="1507"/>
      <c r="DW205" s="1507"/>
      <c r="DX205" s="1507"/>
      <c r="DY205" s="1507"/>
      <c r="DZ205" s="1507"/>
      <c r="EA205" s="1507"/>
      <c r="EB205" s="1507"/>
      <c r="EC205" s="1507"/>
      <c r="ED205" s="1507"/>
      <c r="EE205" s="1507"/>
      <c r="EF205" s="1507"/>
      <c r="EG205" s="1507"/>
      <c r="EH205" s="1507"/>
      <c r="EI205" s="1507"/>
      <c r="EJ205" s="1507"/>
      <c r="EK205" s="1507"/>
      <c r="EL205" s="1507"/>
      <c r="EM205" s="1507"/>
      <c r="EN205" s="1507"/>
      <c r="EO205" s="1507"/>
      <c r="EP205" s="1507"/>
      <c r="EQ205" s="1507"/>
      <c r="ER205" s="1507"/>
      <c r="ES205" s="1507"/>
      <c r="ET205" s="1507"/>
      <c r="EU205" s="1507"/>
      <c r="EV205" s="1507"/>
      <c r="EW205" s="1507"/>
      <c r="EX205" s="1507"/>
      <c r="EY205" s="1507"/>
      <c r="EZ205" s="1507"/>
      <c r="FA205" s="1507"/>
      <c r="FB205" s="1507"/>
      <c r="FC205" s="1507"/>
      <c r="FD205" s="1507"/>
      <c r="FE205" s="1507"/>
      <c r="FF205" s="1507"/>
      <c r="FG205" s="1507"/>
      <c r="FH205" s="1507"/>
      <c r="FI205" s="1507"/>
      <c r="FJ205" s="1507"/>
      <c r="FK205" s="1507"/>
      <c r="FL205" s="1507"/>
      <c r="FM205" s="1507"/>
      <c r="FN205" s="1507"/>
      <c r="FO205" s="1507"/>
      <c r="FP205" s="1507"/>
      <c r="FQ205" s="1507"/>
      <c r="FR205" s="1507"/>
      <c r="FS205" s="1507"/>
      <c r="FT205" s="1507"/>
      <c r="FU205" s="1507"/>
      <c r="FV205" s="1507"/>
      <c r="FW205" s="1507"/>
      <c r="FX205" s="1507"/>
      <c r="FY205" s="1507"/>
      <c r="FZ205" s="1507"/>
      <c r="GA205" s="1507"/>
      <c r="GB205" s="1507"/>
      <c r="GC205" s="1507"/>
      <c r="GD205" s="1507"/>
      <c r="GE205" s="1507"/>
      <c r="GF205" s="1507"/>
      <c r="GG205" s="1507"/>
      <c r="GH205" s="1507"/>
      <c r="GI205" s="1507"/>
      <c r="GJ205" s="1507"/>
      <c r="GK205" s="1507"/>
      <c r="GL205" s="1507"/>
      <c r="GM205" s="1507"/>
      <c r="GN205" s="1507"/>
      <c r="GO205" s="1507"/>
      <c r="GP205" s="1507"/>
      <c r="GQ205" s="1507"/>
      <c r="GR205" s="1507"/>
      <c r="GS205" s="1507"/>
      <c r="GT205" s="1507"/>
      <c r="GU205" s="1507"/>
      <c r="GV205" s="1507"/>
      <c r="GW205" s="1507"/>
      <c r="GX205" s="1507"/>
      <c r="GY205" s="1507"/>
      <c r="GZ205" s="1507"/>
      <c r="HA205" s="1507"/>
      <c r="HB205" s="1507"/>
      <c r="HC205" s="1507"/>
      <c r="HD205" s="1507"/>
      <c r="HE205" s="1507"/>
      <c r="HF205" s="1507"/>
      <c r="HG205" s="1507"/>
      <c r="HH205" s="1507"/>
      <c r="HI205" s="1507"/>
      <c r="HJ205" s="1507"/>
      <c r="HK205" s="1507"/>
      <c r="HL205" s="1507"/>
      <c r="HM205" s="1507"/>
      <c r="HN205" s="1507"/>
      <c r="HO205" s="1507"/>
      <c r="HP205" s="1507"/>
      <c r="HQ205" s="1507"/>
      <c r="HR205" s="1507"/>
      <c r="HS205" s="1507"/>
      <c r="HT205" s="1507"/>
      <c r="HU205" s="1507"/>
      <c r="HV205" s="1507"/>
      <c r="HW205" s="1507"/>
      <c r="HX205" s="1507"/>
      <c r="HY205" s="1507"/>
      <c r="HZ205" s="1507"/>
      <c r="IA205" s="1507"/>
      <c r="IB205" s="1507"/>
      <c r="IC205" s="1507"/>
      <c r="ID205" s="1507"/>
      <c r="IE205" s="1507"/>
      <c r="IF205" s="1507"/>
      <c r="IG205" s="1507"/>
      <c r="IH205" s="1507"/>
      <c r="II205" s="1507"/>
      <c r="IJ205" s="1507"/>
      <c r="IK205" s="1507"/>
      <c r="IL205" s="1507"/>
      <c r="IM205" s="1507"/>
      <c r="IN205" s="1507"/>
      <c r="IO205" s="1507"/>
      <c r="IP205" s="1507"/>
      <c r="IQ205" s="1507"/>
      <c r="IR205" s="1507"/>
      <c r="IS205" s="1507"/>
      <c r="IT205" s="1507"/>
      <c r="IU205" s="1507"/>
      <c r="IV205" s="1507"/>
      <c r="IW205" s="1507"/>
      <c r="IX205" s="1507"/>
      <c r="IY205" s="1507"/>
      <c r="IZ205" s="1507"/>
      <c r="JA205" s="1507"/>
      <c r="JB205" s="1507"/>
      <c r="JC205" s="1507"/>
      <c r="JD205" s="1507"/>
      <c r="JE205" s="1507"/>
      <c r="JF205" s="1507"/>
      <c r="JG205" s="1507"/>
      <c r="JH205" s="1507"/>
      <c r="JI205" s="1507"/>
      <c r="JJ205" s="1507"/>
      <c r="JK205" s="1507"/>
      <c r="JL205" s="1507"/>
      <c r="JM205" s="1507"/>
      <c r="JN205" s="1507"/>
      <c r="JO205" s="1507"/>
      <c r="JP205" s="1507"/>
      <c r="JQ205" s="1507"/>
      <c r="JR205" s="1507"/>
      <c r="JS205" s="1507"/>
      <c r="JT205" s="1507"/>
      <c r="JU205" s="1507"/>
      <c r="JV205" s="1507"/>
      <c r="JW205" s="1507"/>
      <c r="JX205" s="1507"/>
      <c r="JY205" s="1507"/>
      <c r="JZ205" s="1507"/>
      <c r="KA205" s="1507"/>
      <c r="KB205" s="1507"/>
      <c r="KC205" s="1507"/>
      <c r="KD205" s="1507"/>
      <c r="KE205" s="1507"/>
      <c r="KF205" s="1507"/>
      <c r="KG205" s="1507"/>
      <c r="KH205" s="1507"/>
      <c r="KI205" s="1507"/>
      <c r="KJ205" s="1507"/>
      <c r="KK205" s="1507"/>
      <c r="KL205" s="1507"/>
      <c r="KM205" s="1507"/>
      <c r="KN205" s="1507"/>
      <c r="KO205" s="1507"/>
      <c r="KP205" s="1507"/>
      <c r="KQ205" s="1507"/>
      <c r="KR205" s="1507"/>
      <c r="KS205" s="1507"/>
      <c r="KT205" s="1507"/>
      <c r="KU205" s="1507"/>
      <c r="KV205" s="1507"/>
      <c r="KW205" s="1507"/>
      <c r="KX205" s="1507"/>
      <c r="KY205" s="1507"/>
      <c r="KZ205" s="1507"/>
      <c r="LA205" s="1507"/>
      <c r="LB205" s="1507"/>
      <c r="LC205" s="1507"/>
      <c r="LD205" s="1507"/>
      <c r="LE205" s="1507"/>
      <c r="LF205" s="1507"/>
      <c r="LG205" s="1507"/>
      <c r="LH205" s="1507"/>
      <c r="LI205" s="1507"/>
      <c r="LJ205" s="1507"/>
      <c r="LK205" s="1507"/>
      <c r="LL205" s="1507"/>
      <c r="LM205" s="1507"/>
      <c r="LN205" s="1507"/>
      <c r="LO205" s="1507"/>
      <c r="LP205" s="1507"/>
      <c r="LQ205" s="1507"/>
      <c r="LR205" s="1507"/>
      <c r="LS205" s="1507"/>
      <c r="LT205" s="1507"/>
      <c r="LU205" s="1507"/>
      <c r="LV205" s="1507"/>
      <c r="LW205" s="1507"/>
      <c r="LX205" s="1507"/>
      <c r="LY205" s="1507"/>
      <c r="LZ205" s="1507"/>
      <c r="MA205" s="1507"/>
      <c r="MB205" s="1507"/>
      <c r="MC205" s="1507"/>
      <c r="MD205" s="1507"/>
      <c r="ME205" s="1507"/>
    </row>
    <row r="206" spans="1:343" s="1611" customFormat="1" ht="70.5" customHeight="1" x14ac:dyDescent="0.2">
      <c r="A206" s="1532"/>
      <c r="B206" s="1533"/>
      <c r="C206" s="1534"/>
      <c r="D206" s="1533"/>
      <c r="E206" s="1533"/>
      <c r="F206" s="1534"/>
      <c r="G206" s="1540"/>
      <c r="H206" s="1533"/>
      <c r="I206" s="1534"/>
      <c r="J206" s="3291"/>
      <c r="K206" s="3271"/>
      <c r="L206" s="3268"/>
      <c r="M206" s="3268"/>
      <c r="N206" s="3268"/>
      <c r="O206" s="3268"/>
      <c r="P206" s="3271"/>
      <c r="Q206" s="2798"/>
      <c r="R206" s="2825"/>
      <c r="S206" s="3271"/>
      <c r="T206" s="3271"/>
      <c r="U206" s="1555" t="s">
        <v>2133</v>
      </c>
      <c r="V206" s="535">
        <v>42000000</v>
      </c>
      <c r="W206" s="3293"/>
      <c r="X206" s="3268"/>
      <c r="Y206" s="3268"/>
      <c r="Z206" s="3268"/>
      <c r="AA206" s="3280"/>
      <c r="AB206" s="3280"/>
      <c r="AC206" s="3280"/>
      <c r="AD206" s="3280"/>
      <c r="AE206" s="3280"/>
      <c r="AF206" s="3280"/>
      <c r="AG206" s="3280"/>
      <c r="AH206" s="3280"/>
      <c r="AI206" s="3280"/>
      <c r="AJ206" s="3280"/>
      <c r="AK206" s="3280"/>
      <c r="AL206" s="3280"/>
      <c r="AM206" s="3280"/>
      <c r="AN206" s="3280"/>
      <c r="AO206" s="3286"/>
      <c r="AP206" s="3286"/>
      <c r="AQ206" s="3289"/>
      <c r="AR206" s="1539"/>
      <c r="AS206" s="1539"/>
      <c r="AT206" s="1539"/>
      <c r="AU206" s="1539"/>
      <c r="AV206" s="1539"/>
      <c r="AW206" s="1539"/>
      <c r="AX206" s="1539"/>
      <c r="AY206" s="1539"/>
      <c r="AZ206" s="1539"/>
      <c r="BA206" s="1539"/>
      <c r="BB206" s="1539"/>
      <c r="BC206" s="1539"/>
      <c r="BD206" s="1539"/>
      <c r="BE206" s="1539"/>
      <c r="BF206" s="1539"/>
      <c r="BG206" s="1539"/>
      <c r="BH206" s="1539"/>
      <c r="BI206" s="1539"/>
      <c r="BJ206" s="1539"/>
      <c r="BK206" s="1539"/>
      <c r="BL206" s="1539"/>
      <c r="BM206" s="1539"/>
      <c r="BN206" s="1539"/>
      <c r="BO206" s="1539"/>
      <c r="BP206" s="1539"/>
      <c r="BQ206" s="1539"/>
      <c r="BR206" s="1539"/>
      <c r="BS206" s="1539"/>
      <c r="BT206" s="1539"/>
      <c r="BU206" s="1539"/>
      <c r="BV206" s="1539"/>
      <c r="BW206" s="1539"/>
      <c r="BX206" s="1539"/>
      <c r="BY206" s="1539"/>
      <c r="BZ206" s="1507"/>
      <c r="CA206" s="1507"/>
      <c r="CB206" s="1507"/>
      <c r="CC206" s="1507"/>
      <c r="CD206" s="1507"/>
      <c r="CE206" s="1507"/>
      <c r="CF206" s="1507"/>
      <c r="CG206" s="1507"/>
      <c r="CH206" s="1507"/>
      <c r="CI206" s="1507"/>
      <c r="CJ206" s="1507"/>
      <c r="CK206" s="1507"/>
      <c r="CL206" s="1507"/>
      <c r="CM206" s="1507"/>
      <c r="CN206" s="1507"/>
      <c r="CO206" s="1507"/>
      <c r="CP206" s="1507"/>
      <c r="CQ206" s="1507"/>
      <c r="CR206" s="1507"/>
      <c r="CS206" s="1507"/>
      <c r="CT206" s="1507"/>
      <c r="CU206" s="1507"/>
      <c r="CV206" s="1507"/>
      <c r="CW206" s="1507"/>
      <c r="CX206" s="1507"/>
      <c r="CY206" s="1507"/>
      <c r="CZ206" s="1507"/>
      <c r="DA206" s="1507"/>
      <c r="DB206" s="1507"/>
      <c r="DC206" s="1507"/>
      <c r="DD206" s="1507"/>
      <c r="DE206" s="1507"/>
      <c r="DF206" s="1507"/>
      <c r="DG206" s="1507"/>
      <c r="DH206" s="1507"/>
      <c r="DI206" s="1507"/>
      <c r="DJ206" s="1507"/>
      <c r="DK206" s="1507"/>
      <c r="DL206" s="1507"/>
      <c r="DM206" s="1507"/>
      <c r="DN206" s="1507"/>
      <c r="DO206" s="1507"/>
      <c r="DP206" s="1507"/>
      <c r="DQ206" s="1507"/>
      <c r="DR206" s="1507"/>
      <c r="DS206" s="1507"/>
      <c r="DT206" s="1507"/>
      <c r="DU206" s="1507"/>
      <c r="DV206" s="1507"/>
      <c r="DW206" s="1507"/>
      <c r="DX206" s="1507"/>
      <c r="DY206" s="1507"/>
      <c r="DZ206" s="1507"/>
      <c r="EA206" s="1507"/>
      <c r="EB206" s="1507"/>
      <c r="EC206" s="1507"/>
      <c r="ED206" s="1507"/>
      <c r="EE206" s="1507"/>
      <c r="EF206" s="1507"/>
      <c r="EG206" s="1507"/>
      <c r="EH206" s="1507"/>
      <c r="EI206" s="1507"/>
      <c r="EJ206" s="1507"/>
      <c r="EK206" s="1507"/>
      <c r="EL206" s="1507"/>
      <c r="EM206" s="1507"/>
      <c r="EN206" s="1507"/>
      <c r="EO206" s="1507"/>
      <c r="EP206" s="1507"/>
      <c r="EQ206" s="1507"/>
      <c r="ER206" s="1507"/>
      <c r="ES206" s="1507"/>
      <c r="ET206" s="1507"/>
      <c r="EU206" s="1507"/>
      <c r="EV206" s="1507"/>
      <c r="EW206" s="1507"/>
      <c r="EX206" s="1507"/>
      <c r="EY206" s="1507"/>
      <c r="EZ206" s="1507"/>
      <c r="FA206" s="1507"/>
      <c r="FB206" s="1507"/>
      <c r="FC206" s="1507"/>
      <c r="FD206" s="1507"/>
      <c r="FE206" s="1507"/>
      <c r="FF206" s="1507"/>
      <c r="FG206" s="1507"/>
      <c r="FH206" s="1507"/>
      <c r="FI206" s="1507"/>
      <c r="FJ206" s="1507"/>
      <c r="FK206" s="1507"/>
      <c r="FL206" s="1507"/>
      <c r="FM206" s="1507"/>
      <c r="FN206" s="1507"/>
      <c r="FO206" s="1507"/>
      <c r="FP206" s="1507"/>
      <c r="FQ206" s="1507"/>
      <c r="FR206" s="1507"/>
      <c r="FS206" s="1507"/>
      <c r="FT206" s="1507"/>
      <c r="FU206" s="1507"/>
      <c r="FV206" s="1507"/>
      <c r="FW206" s="1507"/>
      <c r="FX206" s="1507"/>
      <c r="FY206" s="1507"/>
      <c r="FZ206" s="1507"/>
      <c r="GA206" s="1507"/>
      <c r="GB206" s="1507"/>
      <c r="GC206" s="1507"/>
      <c r="GD206" s="1507"/>
      <c r="GE206" s="1507"/>
      <c r="GF206" s="1507"/>
      <c r="GG206" s="1507"/>
      <c r="GH206" s="1507"/>
      <c r="GI206" s="1507"/>
      <c r="GJ206" s="1507"/>
      <c r="GK206" s="1507"/>
      <c r="GL206" s="1507"/>
      <c r="GM206" s="1507"/>
      <c r="GN206" s="1507"/>
      <c r="GO206" s="1507"/>
      <c r="GP206" s="1507"/>
      <c r="GQ206" s="1507"/>
      <c r="GR206" s="1507"/>
      <c r="GS206" s="1507"/>
      <c r="GT206" s="1507"/>
      <c r="GU206" s="1507"/>
      <c r="GV206" s="1507"/>
      <c r="GW206" s="1507"/>
      <c r="GX206" s="1507"/>
      <c r="GY206" s="1507"/>
      <c r="GZ206" s="1507"/>
      <c r="HA206" s="1507"/>
      <c r="HB206" s="1507"/>
      <c r="HC206" s="1507"/>
      <c r="HD206" s="1507"/>
      <c r="HE206" s="1507"/>
      <c r="HF206" s="1507"/>
      <c r="HG206" s="1507"/>
      <c r="HH206" s="1507"/>
      <c r="HI206" s="1507"/>
      <c r="HJ206" s="1507"/>
      <c r="HK206" s="1507"/>
      <c r="HL206" s="1507"/>
      <c r="HM206" s="1507"/>
      <c r="HN206" s="1507"/>
      <c r="HO206" s="1507"/>
      <c r="HP206" s="1507"/>
      <c r="HQ206" s="1507"/>
      <c r="HR206" s="1507"/>
      <c r="HS206" s="1507"/>
      <c r="HT206" s="1507"/>
      <c r="HU206" s="1507"/>
      <c r="HV206" s="1507"/>
      <c r="HW206" s="1507"/>
      <c r="HX206" s="1507"/>
      <c r="HY206" s="1507"/>
      <c r="HZ206" s="1507"/>
      <c r="IA206" s="1507"/>
      <c r="IB206" s="1507"/>
      <c r="IC206" s="1507"/>
      <c r="ID206" s="1507"/>
      <c r="IE206" s="1507"/>
      <c r="IF206" s="1507"/>
      <c r="IG206" s="1507"/>
      <c r="IH206" s="1507"/>
      <c r="II206" s="1507"/>
      <c r="IJ206" s="1507"/>
      <c r="IK206" s="1507"/>
      <c r="IL206" s="1507"/>
      <c r="IM206" s="1507"/>
      <c r="IN206" s="1507"/>
      <c r="IO206" s="1507"/>
      <c r="IP206" s="1507"/>
      <c r="IQ206" s="1507"/>
      <c r="IR206" s="1507"/>
      <c r="IS206" s="1507"/>
      <c r="IT206" s="1507"/>
      <c r="IU206" s="1507"/>
      <c r="IV206" s="1507"/>
      <c r="IW206" s="1507"/>
      <c r="IX206" s="1507"/>
      <c r="IY206" s="1507"/>
      <c r="IZ206" s="1507"/>
      <c r="JA206" s="1507"/>
      <c r="JB206" s="1507"/>
      <c r="JC206" s="1507"/>
      <c r="JD206" s="1507"/>
      <c r="JE206" s="1507"/>
      <c r="JF206" s="1507"/>
      <c r="JG206" s="1507"/>
      <c r="JH206" s="1507"/>
      <c r="JI206" s="1507"/>
      <c r="JJ206" s="1507"/>
      <c r="JK206" s="1507"/>
      <c r="JL206" s="1507"/>
      <c r="JM206" s="1507"/>
      <c r="JN206" s="1507"/>
      <c r="JO206" s="1507"/>
      <c r="JP206" s="1507"/>
      <c r="JQ206" s="1507"/>
      <c r="JR206" s="1507"/>
      <c r="JS206" s="1507"/>
      <c r="JT206" s="1507"/>
      <c r="JU206" s="1507"/>
      <c r="JV206" s="1507"/>
      <c r="JW206" s="1507"/>
      <c r="JX206" s="1507"/>
      <c r="JY206" s="1507"/>
      <c r="JZ206" s="1507"/>
      <c r="KA206" s="1507"/>
      <c r="KB206" s="1507"/>
      <c r="KC206" s="1507"/>
      <c r="KD206" s="1507"/>
      <c r="KE206" s="1507"/>
      <c r="KF206" s="1507"/>
      <c r="KG206" s="1507"/>
      <c r="KH206" s="1507"/>
      <c r="KI206" s="1507"/>
      <c r="KJ206" s="1507"/>
      <c r="KK206" s="1507"/>
      <c r="KL206" s="1507"/>
      <c r="KM206" s="1507"/>
      <c r="KN206" s="1507"/>
      <c r="KO206" s="1507"/>
      <c r="KP206" s="1507"/>
      <c r="KQ206" s="1507"/>
      <c r="KR206" s="1507"/>
      <c r="KS206" s="1507"/>
      <c r="KT206" s="1507"/>
      <c r="KU206" s="1507"/>
      <c r="KV206" s="1507"/>
      <c r="KW206" s="1507"/>
      <c r="KX206" s="1507"/>
      <c r="KY206" s="1507"/>
      <c r="KZ206" s="1507"/>
      <c r="LA206" s="1507"/>
      <c r="LB206" s="1507"/>
      <c r="LC206" s="1507"/>
      <c r="LD206" s="1507"/>
      <c r="LE206" s="1507"/>
      <c r="LF206" s="1507"/>
      <c r="LG206" s="1507"/>
      <c r="LH206" s="1507"/>
      <c r="LI206" s="1507"/>
      <c r="LJ206" s="1507"/>
      <c r="LK206" s="1507"/>
      <c r="LL206" s="1507"/>
      <c r="LM206" s="1507"/>
      <c r="LN206" s="1507"/>
      <c r="LO206" s="1507"/>
      <c r="LP206" s="1507"/>
      <c r="LQ206" s="1507"/>
      <c r="LR206" s="1507"/>
      <c r="LS206" s="1507"/>
      <c r="LT206" s="1507"/>
      <c r="LU206" s="1507"/>
      <c r="LV206" s="1507"/>
      <c r="LW206" s="1507"/>
      <c r="LX206" s="1507"/>
      <c r="LY206" s="1507"/>
      <c r="LZ206" s="1507"/>
      <c r="MA206" s="1507"/>
      <c r="MB206" s="1507"/>
      <c r="MC206" s="1507"/>
      <c r="MD206" s="1507"/>
      <c r="ME206" s="1507"/>
    </row>
    <row r="207" spans="1:343" s="1611" customFormat="1" ht="67.5" customHeight="1" x14ac:dyDescent="0.2">
      <c r="A207" s="1532"/>
      <c r="B207" s="1533"/>
      <c r="C207" s="1534"/>
      <c r="D207" s="1533"/>
      <c r="E207" s="1533"/>
      <c r="F207" s="1534"/>
      <c r="G207" s="1540"/>
      <c r="H207" s="1533"/>
      <c r="I207" s="1534"/>
      <c r="J207" s="3291"/>
      <c r="K207" s="3271"/>
      <c r="L207" s="3268"/>
      <c r="M207" s="3268"/>
      <c r="N207" s="3268"/>
      <c r="O207" s="3268"/>
      <c r="P207" s="3271"/>
      <c r="Q207" s="2798"/>
      <c r="R207" s="2825"/>
      <c r="S207" s="3271"/>
      <c r="T207" s="3271"/>
      <c r="U207" s="1555" t="s">
        <v>2134</v>
      </c>
      <c r="V207" s="535">
        <v>20000000</v>
      </c>
      <c r="W207" s="3293"/>
      <c r="X207" s="3268"/>
      <c r="Y207" s="3268"/>
      <c r="Z207" s="3268"/>
      <c r="AA207" s="3280"/>
      <c r="AB207" s="3280"/>
      <c r="AC207" s="3280"/>
      <c r="AD207" s="3280"/>
      <c r="AE207" s="3280"/>
      <c r="AF207" s="3280"/>
      <c r="AG207" s="3280"/>
      <c r="AH207" s="3280"/>
      <c r="AI207" s="3280"/>
      <c r="AJ207" s="3280"/>
      <c r="AK207" s="3280"/>
      <c r="AL207" s="3280"/>
      <c r="AM207" s="3280"/>
      <c r="AN207" s="3280"/>
      <c r="AO207" s="3286"/>
      <c r="AP207" s="3286"/>
      <c r="AQ207" s="3289"/>
      <c r="AR207" s="1539"/>
      <c r="AS207" s="1539"/>
      <c r="AT207" s="1539"/>
      <c r="AU207" s="1539"/>
      <c r="AV207" s="1539"/>
      <c r="AW207" s="1539"/>
      <c r="AX207" s="1539"/>
      <c r="AY207" s="1539"/>
      <c r="AZ207" s="1539"/>
      <c r="BA207" s="1539"/>
      <c r="BB207" s="1539"/>
      <c r="BC207" s="1539"/>
      <c r="BD207" s="1539"/>
      <c r="BE207" s="1539"/>
      <c r="BF207" s="1539"/>
      <c r="BG207" s="1539"/>
      <c r="BH207" s="1539"/>
      <c r="BI207" s="1539"/>
      <c r="BJ207" s="1539"/>
      <c r="BK207" s="1539"/>
      <c r="BL207" s="1539"/>
      <c r="BM207" s="1539"/>
      <c r="BN207" s="1539"/>
      <c r="BO207" s="1539"/>
      <c r="BP207" s="1539"/>
      <c r="BQ207" s="1539"/>
      <c r="BR207" s="1539"/>
      <c r="BS207" s="1539"/>
      <c r="BT207" s="1539"/>
      <c r="BU207" s="1539"/>
      <c r="BV207" s="1539"/>
      <c r="BW207" s="1539"/>
      <c r="BX207" s="1539"/>
      <c r="BY207" s="1539"/>
      <c r="BZ207" s="1507"/>
      <c r="CA207" s="1507"/>
      <c r="CB207" s="1507"/>
      <c r="CC207" s="1507"/>
      <c r="CD207" s="1507"/>
      <c r="CE207" s="1507"/>
      <c r="CF207" s="1507"/>
      <c r="CG207" s="1507"/>
      <c r="CH207" s="1507"/>
      <c r="CI207" s="1507"/>
      <c r="CJ207" s="1507"/>
      <c r="CK207" s="1507"/>
      <c r="CL207" s="1507"/>
      <c r="CM207" s="1507"/>
      <c r="CN207" s="1507"/>
      <c r="CO207" s="1507"/>
      <c r="CP207" s="1507"/>
      <c r="CQ207" s="1507"/>
      <c r="CR207" s="1507"/>
      <c r="CS207" s="1507"/>
      <c r="CT207" s="1507"/>
      <c r="CU207" s="1507"/>
      <c r="CV207" s="1507"/>
      <c r="CW207" s="1507"/>
      <c r="CX207" s="1507"/>
      <c r="CY207" s="1507"/>
      <c r="CZ207" s="1507"/>
      <c r="DA207" s="1507"/>
      <c r="DB207" s="1507"/>
      <c r="DC207" s="1507"/>
      <c r="DD207" s="1507"/>
      <c r="DE207" s="1507"/>
      <c r="DF207" s="1507"/>
      <c r="DG207" s="1507"/>
      <c r="DH207" s="1507"/>
      <c r="DI207" s="1507"/>
      <c r="DJ207" s="1507"/>
      <c r="DK207" s="1507"/>
      <c r="DL207" s="1507"/>
      <c r="DM207" s="1507"/>
      <c r="DN207" s="1507"/>
      <c r="DO207" s="1507"/>
      <c r="DP207" s="1507"/>
      <c r="DQ207" s="1507"/>
      <c r="DR207" s="1507"/>
      <c r="DS207" s="1507"/>
      <c r="DT207" s="1507"/>
      <c r="DU207" s="1507"/>
      <c r="DV207" s="1507"/>
      <c r="DW207" s="1507"/>
      <c r="DX207" s="1507"/>
      <c r="DY207" s="1507"/>
      <c r="DZ207" s="1507"/>
      <c r="EA207" s="1507"/>
      <c r="EB207" s="1507"/>
      <c r="EC207" s="1507"/>
      <c r="ED207" s="1507"/>
      <c r="EE207" s="1507"/>
      <c r="EF207" s="1507"/>
      <c r="EG207" s="1507"/>
      <c r="EH207" s="1507"/>
      <c r="EI207" s="1507"/>
      <c r="EJ207" s="1507"/>
      <c r="EK207" s="1507"/>
      <c r="EL207" s="1507"/>
      <c r="EM207" s="1507"/>
      <c r="EN207" s="1507"/>
      <c r="EO207" s="1507"/>
      <c r="EP207" s="1507"/>
      <c r="EQ207" s="1507"/>
      <c r="ER207" s="1507"/>
      <c r="ES207" s="1507"/>
      <c r="ET207" s="1507"/>
      <c r="EU207" s="1507"/>
      <c r="EV207" s="1507"/>
      <c r="EW207" s="1507"/>
      <c r="EX207" s="1507"/>
      <c r="EY207" s="1507"/>
      <c r="EZ207" s="1507"/>
      <c r="FA207" s="1507"/>
      <c r="FB207" s="1507"/>
      <c r="FC207" s="1507"/>
      <c r="FD207" s="1507"/>
      <c r="FE207" s="1507"/>
      <c r="FF207" s="1507"/>
      <c r="FG207" s="1507"/>
      <c r="FH207" s="1507"/>
      <c r="FI207" s="1507"/>
      <c r="FJ207" s="1507"/>
      <c r="FK207" s="1507"/>
      <c r="FL207" s="1507"/>
      <c r="FM207" s="1507"/>
      <c r="FN207" s="1507"/>
      <c r="FO207" s="1507"/>
      <c r="FP207" s="1507"/>
      <c r="FQ207" s="1507"/>
      <c r="FR207" s="1507"/>
      <c r="FS207" s="1507"/>
      <c r="FT207" s="1507"/>
      <c r="FU207" s="1507"/>
      <c r="FV207" s="1507"/>
      <c r="FW207" s="1507"/>
      <c r="FX207" s="1507"/>
      <c r="FY207" s="1507"/>
      <c r="FZ207" s="1507"/>
      <c r="GA207" s="1507"/>
      <c r="GB207" s="1507"/>
      <c r="GC207" s="1507"/>
      <c r="GD207" s="1507"/>
      <c r="GE207" s="1507"/>
      <c r="GF207" s="1507"/>
      <c r="GG207" s="1507"/>
      <c r="GH207" s="1507"/>
      <c r="GI207" s="1507"/>
      <c r="GJ207" s="1507"/>
      <c r="GK207" s="1507"/>
      <c r="GL207" s="1507"/>
      <c r="GM207" s="1507"/>
      <c r="GN207" s="1507"/>
      <c r="GO207" s="1507"/>
      <c r="GP207" s="1507"/>
      <c r="GQ207" s="1507"/>
      <c r="GR207" s="1507"/>
      <c r="GS207" s="1507"/>
      <c r="GT207" s="1507"/>
      <c r="GU207" s="1507"/>
      <c r="GV207" s="1507"/>
      <c r="GW207" s="1507"/>
      <c r="GX207" s="1507"/>
      <c r="GY207" s="1507"/>
      <c r="GZ207" s="1507"/>
      <c r="HA207" s="1507"/>
      <c r="HB207" s="1507"/>
      <c r="HC207" s="1507"/>
      <c r="HD207" s="1507"/>
      <c r="HE207" s="1507"/>
      <c r="HF207" s="1507"/>
      <c r="HG207" s="1507"/>
      <c r="HH207" s="1507"/>
      <c r="HI207" s="1507"/>
      <c r="HJ207" s="1507"/>
      <c r="HK207" s="1507"/>
      <c r="HL207" s="1507"/>
      <c r="HM207" s="1507"/>
      <c r="HN207" s="1507"/>
      <c r="HO207" s="1507"/>
      <c r="HP207" s="1507"/>
      <c r="HQ207" s="1507"/>
      <c r="HR207" s="1507"/>
      <c r="HS207" s="1507"/>
      <c r="HT207" s="1507"/>
      <c r="HU207" s="1507"/>
      <c r="HV207" s="1507"/>
      <c r="HW207" s="1507"/>
      <c r="HX207" s="1507"/>
      <c r="HY207" s="1507"/>
      <c r="HZ207" s="1507"/>
      <c r="IA207" s="1507"/>
      <c r="IB207" s="1507"/>
      <c r="IC207" s="1507"/>
      <c r="ID207" s="1507"/>
      <c r="IE207" s="1507"/>
      <c r="IF207" s="1507"/>
      <c r="IG207" s="1507"/>
      <c r="IH207" s="1507"/>
      <c r="II207" s="1507"/>
      <c r="IJ207" s="1507"/>
      <c r="IK207" s="1507"/>
      <c r="IL207" s="1507"/>
      <c r="IM207" s="1507"/>
      <c r="IN207" s="1507"/>
      <c r="IO207" s="1507"/>
      <c r="IP207" s="1507"/>
      <c r="IQ207" s="1507"/>
      <c r="IR207" s="1507"/>
      <c r="IS207" s="1507"/>
      <c r="IT207" s="1507"/>
      <c r="IU207" s="1507"/>
      <c r="IV207" s="1507"/>
      <c r="IW207" s="1507"/>
      <c r="IX207" s="1507"/>
      <c r="IY207" s="1507"/>
      <c r="IZ207" s="1507"/>
      <c r="JA207" s="1507"/>
      <c r="JB207" s="1507"/>
      <c r="JC207" s="1507"/>
      <c r="JD207" s="1507"/>
      <c r="JE207" s="1507"/>
      <c r="JF207" s="1507"/>
      <c r="JG207" s="1507"/>
      <c r="JH207" s="1507"/>
      <c r="JI207" s="1507"/>
      <c r="JJ207" s="1507"/>
      <c r="JK207" s="1507"/>
      <c r="JL207" s="1507"/>
      <c r="JM207" s="1507"/>
      <c r="JN207" s="1507"/>
      <c r="JO207" s="1507"/>
      <c r="JP207" s="1507"/>
      <c r="JQ207" s="1507"/>
      <c r="JR207" s="1507"/>
      <c r="JS207" s="1507"/>
      <c r="JT207" s="1507"/>
      <c r="JU207" s="1507"/>
      <c r="JV207" s="1507"/>
      <c r="JW207" s="1507"/>
      <c r="JX207" s="1507"/>
      <c r="JY207" s="1507"/>
      <c r="JZ207" s="1507"/>
      <c r="KA207" s="1507"/>
      <c r="KB207" s="1507"/>
      <c r="KC207" s="1507"/>
      <c r="KD207" s="1507"/>
      <c r="KE207" s="1507"/>
      <c r="KF207" s="1507"/>
      <c r="KG207" s="1507"/>
      <c r="KH207" s="1507"/>
      <c r="KI207" s="1507"/>
      <c r="KJ207" s="1507"/>
      <c r="KK207" s="1507"/>
      <c r="KL207" s="1507"/>
      <c r="KM207" s="1507"/>
      <c r="KN207" s="1507"/>
      <c r="KO207" s="1507"/>
      <c r="KP207" s="1507"/>
      <c r="KQ207" s="1507"/>
      <c r="KR207" s="1507"/>
      <c r="KS207" s="1507"/>
      <c r="KT207" s="1507"/>
      <c r="KU207" s="1507"/>
      <c r="KV207" s="1507"/>
      <c r="KW207" s="1507"/>
      <c r="KX207" s="1507"/>
      <c r="KY207" s="1507"/>
      <c r="KZ207" s="1507"/>
      <c r="LA207" s="1507"/>
      <c r="LB207" s="1507"/>
      <c r="LC207" s="1507"/>
      <c r="LD207" s="1507"/>
      <c r="LE207" s="1507"/>
      <c r="LF207" s="1507"/>
      <c r="LG207" s="1507"/>
      <c r="LH207" s="1507"/>
      <c r="LI207" s="1507"/>
      <c r="LJ207" s="1507"/>
      <c r="LK207" s="1507"/>
      <c r="LL207" s="1507"/>
      <c r="LM207" s="1507"/>
      <c r="LN207" s="1507"/>
      <c r="LO207" s="1507"/>
      <c r="LP207" s="1507"/>
      <c r="LQ207" s="1507"/>
      <c r="LR207" s="1507"/>
      <c r="LS207" s="1507"/>
      <c r="LT207" s="1507"/>
      <c r="LU207" s="1507"/>
      <c r="LV207" s="1507"/>
      <c r="LW207" s="1507"/>
      <c r="LX207" s="1507"/>
      <c r="LY207" s="1507"/>
      <c r="LZ207" s="1507"/>
      <c r="MA207" s="1507"/>
      <c r="MB207" s="1507"/>
      <c r="MC207" s="1507"/>
      <c r="MD207" s="1507"/>
      <c r="ME207" s="1507"/>
    </row>
    <row r="208" spans="1:343" s="1611" customFormat="1" ht="90" x14ac:dyDescent="0.2">
      <c r="A208" s="1532"/>
      <c r="B208" s="1533"/>
      <c r="C208" s="1534"/>
      <c r="D208" s="1542"/>
      <c r="E208" s="1542"/>
      <c r="F208" s="1543"/>
      <c r="G208" s="1544"/>
      <c r="H208" s="1542"/>
      <c r="I208" s="1543"/>
      <c r="J208" s="3291"/>
      <c r="K208" s="3271"/>
      <c r="L208" s="3268"/>
      <c r="M208" s="3268"/>
      <c r="N208" s="3268"/>
      <c r="O208" s="3268"/>
      <c r="P208" s="3271"/>
      <c r="Q208" s="2798"/>
      <c r="R208" s="2825"/>
      <c r="S208" s="3271"/>
      <c r="T208" s="3271"/>
      <c r="U208" s="1555" t="s">
        <v>2135</v>
      </c>
      <c r="V208" s="535">
        <v>39286843</v>
      </c>
      <c r="W208" s="3293"/>
      <c r="X208" s="3268"/>
      <c r="Y208" s="3268"/>
      <c r="Z208" s="3268"/>
      <c r="AA208" s="3280"/>
      <c r="AB208" s="3280"/>
      <c r="AC208" s="3280"/>
      <c r="AD208" s="3280"/>
      <c r="AE208" s="3280"/>
      <c r="AF208" s="3280"/>
      <c r="AG208" s="3280"/>
      <c r="AH208" s="3280"/>
      <c r="AI208" s="3280"/>
      <c r="AJ208" s="3280"/>
      <c r="AK208" s="3280"/>
      <c r="AL208" s="3280"/>
      <c r="AM208" s="3280"/>
      <c r="AN208" s="3280"/>
      <c r="AO208" s="3286"/>
      <c r="AP208" s="3286"/>
      <c r="AQ208" s="3289"/>
      <c r="AR208" s="1539"/>
      <c r="AS208" s="1539"/>
      <c r="AT208" s="1539"/>
      <c r="AU208" s="1539"/>
      <c r="AV208" s="1539"/>
      <c r="AW208" s="1539"/>
      <c r="AX208" s="1539"/>
      <c r="AY208" s="1539"/>
      <c r="AZ208" s="1539"/>
      <c r="BA208" s="1539"/>
      <c r="BB208" s="1539"/>
      <c r="BC208" s="1539"/>
      <c r="BD208" s="1539"/>
      <c r="BE208" s="1539"/>
      <c r="BF208" s="1539"/>
      <c r="BG208" s="1539"/>
      <c r="BH208" s="1539"/>
      <c r="BI208" s="1539"/>
      <c r="BJ208" s="1539"/>
      <c r="BK208" s="1539"/>
      <c r="BL208" s="1539"/>
      <c r="BM208" s="1539"/>
      <c r="BN208" s="1539"/>
      <c r="BO208" s="1539"/>
      <c r="BP208" s="1539"/>
      <c r="BQ208" s="1539"/>
      <c r="BR208" s="1539"/>
      <c r="BS208" s="1539"/>
      <c r="BT208" s="1539"/>
      <c r="BU208" s="1539"/>
      <c r="BV208" s="1539"/>
      <c r="BW208" s="1539"/>
      <c r="BX208" s="1539"/>
      <c r="BY208" s="1539"/>
      <c r="BZ208" s="1507"/>
      <c r="CA208" s="1507"/>
      <c r="CB208" s="1507"/>
      <c r="CC208" s="1507"/>
      <c r="CD208" s="1507"/>
      <c r="CE208" s="1507"/>
      <c r="CF208" s="1507"/>
      <c r="CG208" s="1507"/>
      <c r="CH208" s="1507"/>
      <c r="CI208" s="1507"/>
      <c r="CJ208" s="1507"/>
      <c r="CK208" s="1507"/>
      <c r="CL208" s="1507"/>
      <c r="CM208" s="1507"/>
      <c r="CN208" s="1507"/>
      <c r="CO208" s="1507"/>
      <c r="CP208" s="1507"/>
      <c r="CQ208" s="1507"/>
      <c r="CR208" s="1507"/>
      <c r="CS208" s="1507"/>
      <c r="CT208" s="1507"/>
      <c r="CU208" s="1507"/>
      <c r="CV208" s="1507"/>
      <c r="CW208" s="1507"/>
      <c r="CX208" s="1507"/>
      <c r="CY208" s="1507"/>
      <c r="CZ208" s="1507"/>
      <c r="DA208" s="1507"/>
      <c r="DB208" s="1507"/>
      <c r="DC208" s="1507"/>
      <c r="DD208" s="1507"/>
      <c r="DE208" s="1507"/>
      <c r="DF208" s="1507"/>
      <c r="DG208" s="1507"/>
      <c r="DH208" s="1507"/>
      <c r="DI208" s="1507"/>
      <c r="DJ208" s="1507"/>
      <c r="DK208" s="1507"/>
      <c r="DL208" s="1507"/>
      <c r="DM208" s="1507"/>
      <c r="DN208" s="1507"/>
      <c r="DO208" s="1507"/>
      <c r="DP208" s="1507"/>
      <c r="DQ208" s="1507"/>
      <c r="DR208" s="1507"/>
      <c r="DS208" s="1507"/>
      <c r="DT208" s="1507"/>
      <c r="DU208" s="1507"/>
      <c r="DV208" s="1507"/>
      <c r="DW208" s="1507"/>
      <c r="DX208" s="1507"/>
      <c r="DY208" s="1507"/>
      <c r="DZ208" s="1507"/>
      <c r="EA208" s="1507"/>
      <c r="EB208" s="1507"/>
      <c r="EC208" s="1507"/>
      <c r="ED208" s="1507"/>
      <c r="EE208" s="1507"/>
      <c r="EF208" s="1507"/>
      <c r="EG208" s="1507"/>
      <c r="EH208" s="1507"/>
      <c r="EI208" s="1507"/>
      <c r="EJ208" s="1507"/>
      <c r="EK208" s="1507"/>
      <c r="EL208" s="1507"/>
      <c r="EM208" s="1507"/>
      <c r="EN208" s="1507"/>
      <c r="EO208" s="1507"/>
      <c r="EP208" s="1507"/>
      <c r="EQ208" s="1507"/>
      <c r="ER208" s="1507"/>
      <c r="ES208" s="1507"/>
      <c r="ET208" s="1507"/>
      <c r="EU208" s="1507"/>
      <c r="EV208" s="1507"/>
      <c r="EW208" s="1507"/>
      <c r="EX208" s="1507"/>
      <c r="EY208" s="1507"/>
      <c r="EZ208" s="1507"/>
      <c r="FA208" s="1507"/>
      <c r="FB208" s="1507"/>
      <c r="FC208" s="1507"/>
      <c r="FD208" s="1507"/>
      <c r="FE208" s="1507"/>
      <c r="FF208" s="1507"/>
      <c r="FG208" s="1507"/>
      <c r="FH208" s="1507"/>
      <c r="FI208" s="1507"/>
      <c r="FJ208" s="1507"/>
      <c r="FK208" s="1507"/>
      <c r="FL208" s="1507"/>
      <c r="FM208" s="1507"/>
      <c r="FN208" s="1507"/>
      <c r="FO208" s="1507"/>
      <c r="FP208" s="1507"/>
      <c r="FQ208" s="1507"/>
      <c r="FR208" s="1507"/>
      <c r="FS208" s="1507"/>
      <c r="FT208" s="1507"/>
      <c r="FU208" s="1507"/>
      <c r="FV208" s="1507"/>
      <c r="FW208" s="1507"/>
      <c r="FX208" s="1507"/>
      <c r="FY208" s="1507"/>
      <c r="FZ208" s="1507"/>
      <c r="GA208" s="1507"/>
      <c r="GB208" s="1507"/>
      <c r="GC208" s="1507"/>
      <c r="GD208" s="1507"/>
      <c r="GE208" s="1507"/>
      <c r="GF208" s="1507"/>
      <c r="GG208" s="1507"/>
      <c r="GH208" s="1507"/>
      <c r="GI208" s="1507"/>
      <c r="GJ208" s="1507"/>
      <c r="GK208" s="1507"/>
      <c r="GL208" s="1507"/>
      <c r="GM208" s="1507"/>
      <c r="GN208" s="1507"/>
      <c r="GO208" s="1507"/>
      <c r="GP208" s="1507"/>
      <c r="GQ208" s="1507"/>
      <c r="GR208" s="1507"/>
      <c r="GS208" s="1507"/>
      <c r="GT208" s="1507"/>
      <c r="GU208" s="1507"/>
      <c r="GV208" s="1507"/>
      <c r="GW208" s="1507"/>
      <c r="GX208" s="1507"/>
      <c r="GY208" s="1507"/>
      <c r="GZ208" s="1507"/>
      <c r="HA208" s="1507"/>
      <c r="HB208" s="1507"/>
      <c r="HC208" s="1507"/>
      <c r="HD208" s="1507"/>
      <c r="HE208" s="1507"/>
      <c r="HF208" s="1507"/>
      <c r="HG208" s="1507"/>
      <c r="HH208" s="1507"/>
      <c r="HI208" s="1507"/>
      <c r="HJ208" s="1507"/>
      <c r="HK208" s="1507"/>
      <c r="HL208" s="1507"/>
      <c r="HM208" s="1507"/>
      <c r="HN208" s="1507"/>
      <c r="HO208" s="1507"/>
      <c r="HP208" s="1507"/>
      <c r="HQ208" s="1507"/>
      <c r="HR208" s="1507"/>
      <c r="HS208" s="1507"/>
      <c r="HT208" s="1507"/>
      <c r="HU208" s="1507"/>
      <c r="HV208" s="1507"/>
      <c r="HW208" s="1507"/>
      <c r="HX208" s="1507"/>
      <c r="HY208" s="1507"/>
      <c r="HZ208" s="1507"/>
      <c r="IA208" s="1507"/>
      <c r="IB208" s="1507"/>
      <c r="IC208" s="1507"/>
      <c r="ID208" s="1507"/>
      <c r="IE208" s="1507"/>
      <c r="IF208" s="1507"/>
      <c r="IG208" s="1507"/>
      <c r="IH208" s="1507"/>
      <c r="II208" s="1507"/>
      <c r="IJ208" s="1507"/>
      <c r="IK208" s="1507"/>
      <c r="IL208" s="1507"/>
      <c r="IM208" s="1507"/>
      <c r="IN208" s="1507"/>
      <c r="IO208" s="1507"/>
      <c r="IP208" s="1507"/>
      <c r="IQ208" s="1507"/>
      <c r="IR208" s="1507"/>
      <c r="IS208" s="1507"/>
      <c r="IT208" s="1507"/>
      <c r="IU208" s="1507"/>
      <c r="IV208" s="1507"/>
      <c r="IW208" s="1507"/>
      <c r="IX208" s="1507"/>
      <c r="IY208" s="1507"/>
      <c r="IZ208" s="1507"/>
      <c r="JA208" s="1507"/>
      <c r="JB208" s="1507"/>
      <c r="JC208" s="1507"/>
      <c r="JD208" s="1507"/>
      <c r="JE208" s="1507"/>
      <c r="JF208" s="1507"/>
      <c r="JG208" s="1507"/>
      <c r="JH208" s="1507"/>
      <c r="JI208" s="1507"/>
      <c r="JJ208" s="1507"/>
      <c r="JK208" s="1507"/>
      <c r="JL208" s="1507"/>
      <c r="JM208" s="1507"/>
      <c r="JN208" s="1507"/>
      <c r="JO208" s="1507"/>
      <c r="JP208" s="1507"/>
      <c r="JQ208" s="1507"/>
      <c r="JR208" s="1507"/>
      <c r="JS208" s="1507"/>
      <c r="JT208" s="1507"/>
      <c r="JU208" s="1507"/>
      <c r="JV208" s="1507"/>
      <c r="JW208" s="1507"/>
      <c r="JX208" s="1507"/>
      <c r="JY208" s="1507"/>
      <c r="JZ208" s="1507"/>
      <c r="KA208" s="1507"/>
      <c r="KB208" s="1507"/>
      <c r="KC208" s="1507"/>
      <c r="KD208" s="1507"/>
      <c r="KE208" s="1507"/>
      <c r="KF208" s="1507"/>
      <c r="KG208" s="1507"/>
      <c r="KH208" s="1507"/>
      <c r="KI208" s="1507"/>
      <c r="KJ208" s="1507"/>
      <c r="KK208" s="1507"/>
      <c r="KL208" s="1507"/>
      <c r="KM208" s="1507"/>
      <c r="KN208" s="1507"/>
      <c r="KO208" s="1507"/>
      <c r="KP208" s="1507"/>
      <c r="KQ208" s="1507"/>
      <c r="KR208" s="1507"/>
      <c r="KS208" s="1507"/>
      <c r="KT208" s="1507"/>
      <c r="KU208" s="1507"/>
      <c r="KV208" s="1507"/>
      <c r="KW208" s="1507"/>
      <c r="KX208" s="1507"/>
      <c r="KY208" s="1507"/>
      <c r="KZ208" s="1507"/>
      <c r="LA208" s="1507"/>
      <c r="LB208" s="1507"/>
      <c r="LC208" s="1507"/>
      <c r="LD208" s="1507"/>
      <c r="LE208" s="1507"/>
      <c r="LF208" s="1507"/>
      <c r="LG208" s="1507"/>
      <c r="LH208" s="1507"/>
      <c r="LI208" s="1507"/>
      <c r="LJ208" s="1507"/>
      <c r="LK208" s="1507"/>
      <c r="LL208" s="1507"/>
      <c r="LM208" s="1507"/>
      <c r="LN208" s="1507"/>
      <c r="LO208" s="1507"/>
      <c r="LP208" s="1507"/>
      <c r="LQ208" s="1507"/>
      <c r="LR208" s="1507"/>
      <c r="LS208" s="1507"/>
      <c r="LT208" s="1507"/>
      <c r="LU208" s="1507"/>
      <c r="LV208" s="1507"/>
      <c r="LW208" s="1507"/>
      <c r="LX208" s="1507"/>
      <c r="LY208" s="1507"/>
      <c r="LZ208" s="1507"/>
      <c r="MA208" s="1507"/>
      <c r="MB208" s="1507"/>
      <c r="MC208" s="1507"/>
      <c r="MD208" s="1507"/>
      <c r="ME208" s="1507"/>
    </row>
    <row r="209" spans="1:214" ht="15.75" x14ac:dyDescent="0.2">
      <c r="A209" s="1518"/>
      <c r="C209" s="1545"/>
      <c r="D209" s="1612">
        <v>13</v>
      </c>
      <c r="E209" s="1613" t="s">
        <v>2136</v>
      </c>
      <c r="F209" s="1613"/>
      <c r="G209" s="1614"/>
      <c r="H209" s="1614"/>
      <c r="I209" s="1614"/>
      <c r="J209" s="1614"/>
      <c r="K209" s="1615"/>
      <c r="L209" s="1614"/>
      <c r="M209" s="1614"/>
      <c r="N209" s="1616"/>
      <c r="O209" s="1614"/>
      <c r="P209" s="1615"/>
      <c r="Q209" s="1614"/>
      <c r="R209" s="646"/>
      <c r="S209" s="1614"/>
      <c r="T209" s="1615"/>
      <c r="U209" s="1615"/>
      <c r="V209" s="1134"/>
      <c r="W209" s="1617"/>
      <c r="X209" s="1616"/>
      <c r="Y209" s="1616"/>
      <c r="Z209" s="1616"/>
      <c r="AA209" s="1616"/>
      <c r="AB209" s="1616"/>
      <c r="AC209" s="1616"/>
      <c r="AD209" s="1616"/>
      <c r="AE209" s="1616"/>
      <c r="AF209" s="1616"/>
      <c r="AG209" s="1616"/>
      <c r="AH209" s="1616"/>
      <c r="AI209" s="1616"/>
      <c r="AJ209" s="1616"/>
      <c r="AK209" s="1616"/>
      <c r="AL209" s="1616"/>
      <c r="AM209" s="1616"/>
      <c r="AN209" s="1616"/>
      <c r="AO209" s="1614"/>
      <c r="AP209" s="1614"/>
      <c r="AQ209" s="1618"/>
    </row>
    <row r="210" spans="1:214" ht="15.75" x14ac:dyDescent="0.2">
      <c r="A210" s="1518"/>
      <c r="B210" s="1519"/>
      <c r="C210" s="1520"/>
      <c r="D210" s="3357"/>
      <c r="E210" s="3358"/>
      <c r="F210" s="3358"/>
      <c r="G210" s="1551">
        <v>47</v>
      </c>
      <c r="H210" s="1524" t="s">
        <v>2137</v>
      </c>
      <c r="I210" s="1524"/>
      <c r="J210" s="1524"/>
      <c r="K210" s="1525"/>
      <c r="L210" s="1524"/>
      <c r="M210" s="1524"/>
      <c r="N210" s="1526"/>
      <c r="O210" s="1524"/>
      <c r="P210" s="1525"/>
      <c r="Q210" s="1524"/>
      <c r="R210" s="1552"/>
      <c r="S210" s="1524"/>
      <c r="T210" s="1525"/>
      <c r="U210" s="1525"/>
      <c r="V210" s="1553"/>
      <c r="W210" s="1554"/>
      <c r="X210" s="1526"/>
      <c r="Y210" s="1526"/>
      <c r="Z210" s="1526"/>
      <c r="AA210" s="1526"/>
      <c r="AB210" s="1526"/>
      <c r="AC210" s="1526"/>
      <c r="AD210" s="1526"/>
      <c r="AE210" s="1526"/>
      <c r="AF210" s="1526"/>
      <c r="AG210" s="1526"/>
      <c r="AH210" s="1526"/>
      <c r="AI210" s="1526"/>
      <c r="AJ210" s="1526"/>
      <c r="AK210" s="1526"/>
      <c r="AL210" s="1526"/>
      <c r="AM210" s="1526"/>
      <c r="AN210" s="1526"/>
      <c r="AO210" s="1524"/>
      <c r="AP210" s="1524"/>
      <c r="AQ210" s="1531"/>
    </row>
    <row r="211" spans="1:214" ht="69" customHeight="1" x14ac:dyDescent="0.2">
      <c r="A211" s="1518"/>
      <c r="B211" s="1519"/>
      <c r="C211" s="1520"/>
      <c r="D211" s="3359"/>
      <c r="E211" s="3360"/>
      <c r="F211" s="3360"/>
      <c r="G211" s="3291"/>
      <c r="H211" s="3291"/>
      <c r="I211" s="3291"/>
      <c r="J211" s="3291">
        <v>163</v>
      </c>
      <c r="K211" s="3363" t="s">
        <v>2138</v>
      </c>
      <c r="L211" s="3291" t="s">
        <v>1804</v>
      </c>
      <c r="M211" s="3291">
        <v>12</v>
      </c>
      <c r="N211" s="3363" t="s">
        <v>2139</v>
      </c>
      <c r="O211" s="3291">
        <v>153</v>
      </c>
      <c r="P211" s="3291" t="s">
        <v>2140</v>
      </c>
      <c r="Q211" s="3369">
        <f>(V211+V212)/R211</f>
        <v>9.3537709863065674E-4</v>
      </c>
      <c r="R211" s="2839">
        <f>SUM(V211+V212+V214+V216+V217)</f>
        <v>31052716645</v>
      </c>
      <c r="S211" s="3370" t="s">
        <v>2141</v>
      </c>
      <c r="T211" s="3282" t="s">
        <v>2142</v>
      </c>
      <c r="U211" s="1619" t="s">
        <v>2143</v>
      </c>
      <c r="V211" s="1620">
        <v>14523000</v>
      </c>
      <c r="W211" s="3368">
        <v>72</v>
      </c>
      <c r="X211" s="3363" t="s">
        <v>2144</v>
      </c>
      <c r="Y211" s="3291">
        <v>292684</v>
      </c>
      <c r="Z211" s="3291">
        <v>282326</v>
      </c>
      <c r="AA211" s="3365">
        <v>135912</v>
      </c>
      <c r="AB211" s="3365">
        <v>45122</v>
      </c>
      <c r="AC211" s="3365">
        <f>SUM(AC200)</f>
        <v>307101</v>
      </c>
      <c r="AD211" s="3365">
        <f>SUM(AD200)</f>
        <v>86875</v>
      </c>
      <c r="AE211" s="3365">
        <v>2145</v>
      </c>
      <c r="AF211" s="3365">
        <v>12718</v>
      </c>
      <c r="AG211" s="3365">
        <v>26</v>
      </c>
      <c r="AH211" s="3365">
        <v>37</v>
      </c>
      <c r="AI211" s="3365" t="s">
        <v>1811</v>
      </c>
      <c r="AJ211" s="3365" t="s">
        <v>1811</v>
      </c>
      <c r="AK211" s="3365">
        <v>53164</v>
      </c>
      <c r="AL211" s="3365">
        <v>16982</v>
      </c>
      <c r="AM211" s="3365">
        <v>60013</v>
      </c>
      <c r="AN211" s="3276">
        <v>575010</v>
      </c>
      <c r="AO211" s="3354">
        <v>43101</v>
      </c>
      <c r="AP211" s="3354">
        <v>43465</v>
      </c>
      <c r="AQ211" s="3288" t="s">
        <v>1812</v>
      </c>
    </row>
    <row r="212" spans="1:214" ht="69" customHeight="1" x14ac:dyDescent="0.2">
      <c r="A212" s="1518"/>
      <c r="B212" s="1519"/>
      <c r="C212" s="1520"/>
      <c r="D212" s="3359"/>
      <c r="E212" s="3360"/>
      <c r="F212" s="3360"/>
      <c r="G212" s="3291"/>
      <c r="H212" s="3291"/>
      <c r="I212" s="3291"/>
      <c r="J212" s="3291"/>
      <c r="K212" s="3364"/>
      <c r="L212" s="3291"/>
      <c r="M212" s="3291"/>
      <c r="N212" s="3364"/>
      <c r="O212" s="3291"/>
      <c r="P212" s="3291"/>
      <c r="Q212" s="3369"/>
      <c r="R212" s="2839"/>
      <c r="S212" s="3370"/>
      <c r="T212" s="3284"/>
      <c r="U212" s="1619" t="s">
        <v>2145</v>
      </c>
      <c r="V212" s="1620">
        <v>14523000</v>
      </c>
      <c r="W212" s="3368"/>
      <c r="X212" s="3364"/>
      <c r="Y212" s="3291"/>
      <c r="Z212" s="3291"/>
      <c r="AA212" s="3365"/>
      <c r="AB212" s="3365"/>
      <c r="AC212" s="3365"/>
      <c r="AD212" s="3365"/>
      <c r="AE212" s="3365"/>
      <c r="AF212" s="3365"/>
      <c r="AG212" s="3365"/>
      <c r="AH212" s="3365"/>
      <c r="AI212" s="3365"/>
      <c r="AJ212" s="3365"/>
      <c r="AK212" s="3365"/>
      <c r="AL212" s="3365"/>
      <c r="AM212" s="3365"/>
      <c r="AN212" s="3277"/>
      <c r="AO212" s="3354"/>
      <c r="AP212" s="3354"/>
      <c r="AQ212" s="3289"/>
    </row>
    <row r="213" spans="1:214" ht="35.1" customHeight="1" x14ac:dyDescent="0.2">
      <c r="A213" s="1518"/>
      <c r="B213" s="1519"/>
      <c r="C213" s="1520"/>
      <c r="D213" s="3359"/>
      <c r="E213" s="3360"/>
      <c r="F213" s="3360"/>
      <c r="G213" s="1551">
        <v>48</v>
      </c>
      <c r="H213" s="1524" t="s">
        <v>2146</v>
      </c>
      <c r="I213" s="1524"/>
      <c r="J213" s="1524"/>
      <c r="K213" s="1525"/>
      <c r="L213" s="1524"/>
      <c r="M213" s="1524"/>
      <c r="N213" s="1526"/>
      <c r="O213" s="3291"/>
      <c r="P213" s="3291"/>
      <c r="Q213" s="1621"/>
      <c r="R213" s="2839"/>
      <c r="S213" s="3370"/>
      <c r="T213" s="1525"/>
      <c r="U213" s="1525"/>
      <c r="V213" s="1553"/>
      <c r="W213" s="1527"/>
      <c r="X213" s="1526"/>
      <c r="Y213" s="3291"/>
      <c r="Z213" s="3291"/>
      <c r="AA213" s="3365"/>
      <c r="AB213" s="3365"/>
      <c r="AC213" s="3365"/>
      <c r="AD213" s="3365"/>
      <c r="AE213" s="3365"/>
      <c r="AF213" s="3365"/>
      <c r="AG213" s="3365"/>
      <c r="AH213" s="3365"/>
      <c r="AI213" s="3365"/>
      <c r="AJ213" s="3365"/>
      <c r="AK213" s="3365"/>
      <c r="AL213" s="3365"/>
      <c r="AM213" s="3365"/>
      <c r="AN213" s="3277"/>
      <c r="AO213" s="3354"/>
      <c r="AP213" s="3354"/>
      <c r="AQ213" s="3289"/>
    </row>
    <row r="214" spans="1:214" ht="120" x14ac:dyDescent="0.2">
      <c r="A214" s="1518"/>
      <c r="B214" s="1519"/>
      <c r="C214" s="1520"/>
      <c r="D214" s="3359"/>
      <c r="E214" s="3360"/>
      <c r="F214" s="3360"/>
      <c r="G214" s="1535"/>
      <c r="H214" s="1536"/>
      <c r="I214" s="1537"/>
      <c r="J214" s="1608">
        <v>164</v>
      </c>
      <c r="K214" s="1566" t="s">
        <v>2147</v>
      </c>
      <c r="L214" s="1608" t="s">
        <v>1804</v>
      </c>
      <c r="M214" s="1608">
        <v>12</v>
      </c>
      <c r="N214" s="1622" t="s">
        <v>2148</v>
      </c>
      <c r="O214" s="3291"/>
      <c r="P214" s="3291"/>
      <c r="Q214" s="1623">
        <f>V214/R211</f>
        <v>0.99839115139035528</v>
      </c>
      <c r="R214" s="2839"/>
      <c r="S214" s="3370"/>
      <c r="T214" s="1566" t="s">
        <v>2149</v>
      </c>
      <c r="U214" s="1619" t="s">
        <v>2150</v>
      </c>
      <c r="V214" s="368">
        <v>31002757525</v>
      </c>
      <c r="W214" s="1624" t="s">
        <v>2151</v>
      </c>
      <c r="X214" s="1622" t="s">
        <v>2152</v>
      </c>
      <c r="Y214" s="3291"/>
      <c r="Z214" s="3291"/>
      <c r="AA214" s="3365"/>
      <c r="AB214" s="3365"/>
      <c r="AC214" s="3365"/>
      <c r="AD214" s="3365"/>
      <c r="AE214" s="3365"/>
      <c r="AF214" s="3365"/>
      <c r="AG214" s="3365"/>
      <c r="AH214" s="3365"/>
      <c r="AI214" s="3365"/>
      <c r="AJ214" s="3365"/>
      <c r="AK214" s="3365"/>
      <c r="AL214" s="3365"/>
      <c r="AM214" s="3365"/>
      <c r="AN214" s="3277"/>
      <c r="AO214" s="3354"/>
      <c r="AP214" s="3354"/>
      <c r="AQ214" s="3289"/>
    </row>
    <row r="215" spans="1:214" ht="35.1" customHeight="1" x14ac:dyDescent="0.2">
      <c r="A215" s="1518"/>
      <c r="B215" s="1519"/>
      <c r="C215" s="1520"/>
      <c r="D215" s="3359"/>
      <c r="E215" s="3360"/>
      <c r="F215" s="3360"/>
      <c r="G215" s="1551">
        <v>49</v>
      </c>
      <c r="H215" s="1524" t="s">
        <v>2153</v>
      </c>
      <c r="I215" s="1524"/>
      <c r="J215" s="1524"/>
      <c r="K215" s="1525"/>
      <c r="L215" s="1524"/>
      <c r="M215" s="1524"/>
      <c r="N215" s="1526"/>
      <c r="O215" s="3291"/>
      <c r="P215" s="3291"/>
      <c r="Q215" s="1621"/>
      <c r="R215" s="2839"/>
      <c r="S215" s="3370"/>
      <c r="T215" s="1525"/>
      <c r="U215" s="1525"/>
      <c r="V215" s="1553"/>
      <c r="W215" s="1527"/>
      <c r="X215" s="1526"/>
      <c r="Y215" s="3291"/>
      <c r="Z215" s="3291"/>
      <c r="AA215" s="3365"/>
      <c r="AB215" s="3365"/>
      <c r="AC215" s="3365"/>
      <c r="AD215" s="3365"/>
      <c r="AE215" s="3365"/>
      <c r="AF215" s="3365"/>
      <c r="AG215" s="3365"/>
      <c r="AH215" s="3365"/>
      <c r="AI215" s="3365"/>
      <c r="AJ215" s="3365"/>
      <c r="AK215" s="3365"/>
      <c r="AL215" s="3365"/>
      <c r="AM215" s="3365"/>
      <c r="AN215" s="3277"/>
      <c r="AO215" s="3354"/>
      <c r="AP215" s="3354"/>
      <c r="AQ215" s="3289"/>
    </row>
    <row r="216" spans="1:214" ht="45" x14ac:dyDescent="0.2">
      <c r="A216" s="1518"/>
      <c r="B216" s="1519"/>
      <c r="C216" s="1520"/>
      <c r="D216" s="3359"/>
      <c r="E216" s="3360"/>
      <c r="F216" s="3360"/>
      <c r="G216" s="3291"/>
      <c r="H216" s="3291"/>
      <c r="I216" s="3291"/>
      <c r="J216" s="3291">
        <v>165</v>
      </c>
      <c r="K216" s="3325" t="s">
        <v>2154</v>
      </c>
      <c r="L216" s="3291" t="s">
        <v>1804</v>
      </c>
      <c r="M216" s="3291">
        <v>12</v>
      </c>
      <c r="N216" s="3291" t="s">
        <v>2155</v>
      </c>
      <c r="O216" s="3291"/>
      <c r="P216" s="3291"/>
      <c r="Q216" s="3369">
        <f>(V216+V217)/R211</f>
        <v>6.7347151101407278E-4</v>
      </c>
      <c r="R216" s="2839"/>
      <c r="S216" s="3370"/>
      <c r="T216" s="3366" t="s">
        <v>2156</v>
      </c>
      <c r="U216" s="1625" t="s">
        <v>2157</v>
      </c>
      <c r="V216" s="1626">
        <v>10456560</v>
      </c>
      <c r="W216" s="3368">
        <v>72</v>
      </c>
      <c r="X216" s="3291" t="s">
        <v>2144</v>
      </c>
      <c r="Y216" s="3291"/>
      <c r="Z216" s="3291"/>
      <c r="AA216" s="3365"/>
      <c r="AB216" s="3365"/>
      <c r="AC216" s="3365"/>
      <c r="AD216" s="3365"/>
      <c r="AE216" s="3365"/>
      <c r="AF216" s="3365"/>
      <c r="AG216" s="3365"/>
      <c r="AH216" s="3365"/>
      <c r="AI216" s="3365"/>
      <c r="AJ216" s="3365"/>
      <c r="AK216" s="3365"/>
      <c r="AL216" s="3365"/>
      <c r="AM216" s="3365"/>
      <c r="AN216" s="3277"/>
      <c r="AO216" s="3354"/>
      <c r="AP216" s="3354"/>
      <c r="AQ216" s="3289"/>
    </row>
    <row r="217" spans="1:214" ht="45" x14ac:dyDescent="0.2">
      <c r="A217" s="1518"/>
      <c r="B217" s="1519"/>
      <c r="C217" s="1520"/>
      <c r="D217" s="3361"/>
      <c r="E217" s="3362"/>
      <c r="F217" s="3362"/>
      <c r="G217" s="3291"/>
      <c r="H217" s="3291"/>
      <c r="I217" s="3291"/>
      <c r="J217" s="3291"/>
      <c r="K217" s="3325"/>
      <c r="L217" s="3291"/>
      <c r="M217" s="3291"/>
      <c r="N217" s="3291"/>
      <c r="O217" s="3291"/>
      <c r="P217" s="3291"/>
      <c r="Q217" s="3369"/>
      <c r="R217" s="2839"/>
      <c r="S217" s="1627"/>
      <c r="T217" s="3367"/>
      <c r="U217" s="1619" t="s">
        <v>2158</v>
      </c>
      <c r="V217" s="1620">
        <v>10456560</v>
      </c>
      <c r="W217" s="3368"/>
      <c r="X217" s="3291"/>
      <c r="Y217" s="3291"/>
      <c r="Z217" s="3291"/>
      <c r="AA217" s="3365"/>
      <c r="AB217" s="3365"/>
      <c r="AC217" s="3365"/>
      <c r="AD217" s="3365"/>
      <c r="AE217" s="3365"/>
      <c r="AF217" s="3365"/>
      <c r="AG217" s="3365"/>
      <c r="AH217" s="3365"/>
      <c r="AI217" s="3365"/>
      <c r="AJ217" s="3365"/>
      <c r="AK217" s="3365"/>
      <c r="AL217" s="3365"/>
      <c r="AM217" s="3365"/>
      <c r="AN217" s="3278"/>
      <c r="AO217" s="3354"/>
      <c r="AP217" s="3354"/>
      <c r="AQ217" s="3290"/>
    </row>
    <row r="218" spans="1:214" ht="36" customHeight="1" x14ac:dyDescent="0.2">
      <c r="A218" s="1518"/>
      <c r="C218" s="1545"/>
      <c r="D218" s="1628">
        <v>14</v>
      </c>
      <c r="E218" s="1509" t="s">
        <v>2159</v>
      </c>
      <c r="F218" s="1509"/>
      <c r="G218" s="1510"/>
      <c r="H218" s="1510"/>
      <c r="I218" s="1510"/>
      <c r="J218" s="1510"/>
      <c r="K218" s="1511"/>
      <c r="L218" s="1510"/>
      <c r="M218" s="1510"/>
      <c r="N218" s="1512"/>
      <c r="O218" s="1510"/>
      <c r="P218" s="1511"/>
      <c r="Q218" s="1510"/>
      <c r="R218" s="488"/>
      <c r="S218" s="1510"/>
      <c r="T218" s="1511"/>
      <c r="U218" s="1511"/>
      <c r="V218" s="1549"/>
      <c r="W218" s="1550"/>
      <c r="X218" s="1512"/>
      <c r="Y218" s="1512"/>
      <c r="Z218" s="1512"/>
      <c r="AA218" s="1512"/>
      <c r="AB218" s="1512"/>
      <c r="AC218" s="1512"/>
      <c r="AD218" s="1512"/>
      <c r="AE218" s="1512"/>
      <c r="AF218" s="1512"/>
      <c r="AG218" s="1512"/>
      <c r="AH218" s="1512"/>
      <c r="AI218" s="1512"/>
      <c r="AJ218" s="1512"/>
      <c r="AK218" s="1512"/>
      <c r="AL218" s="1512"/>
      <c r="AM218" s="1512"/>
      <c r="AN218" s="1512"/>
      <c r="AO218" s="1510"/>
      <c r="AP218" s="1510"/>
      <c r="AQ218" s="1517"/>
    </row>
    <row r="219" spans="1:214" ht="36" customHeight="1" x14ac:dyDescent="0.2">
      <c r="A219" s="1518"/>
      <c r="B219" s="1519"/>
      <c r="C219" s="1520"/>
      <c r="D219" s="1521"/>
      <c r="E219" s="1521"/>
      <c r="F219" s="1522"/>
      <c r="G219" s="1629">
        <v>50</v>
      </c>
      <c r="H219" s="1630" t="s">
        <v>2160</v>
      </c>
      <c r="I219" s="1630"/>
      <c r="J219" s="1630"/>
      <c r="K219" s="1631"/>
      <c r="L219" s="1630"/>
      <c r="M219" s="1630"/>
      <c r="N219" s="1632"/>
      <c r="O219" s="1630"/>
      <c r="P219" s="1631"/>
      <c r="Q219" s="1630"/>
      <c r="R219" s="1633"/>
      <c r="S219" s="1630"/>
      <c r="T219" s="1631"/>
      <c r="U219" s="1631"/>
      <c r="V219" s="1634"/>
      <c r="W219" s="1635"/>
      <c r="X219" s="1632"/>
      <c r="Y219" s="1632"/>
      <c r="Z219" s="1632"/>
      <c r="AA219" s="1632"/>
      <c r="AB219" s="1632"/>
      <c r="AC219" s="1632"/>
      <c r="AD219" s="1632"/>
      <c r="AE219" s="1632"/>
      <c r="AF219" s="1632"/>
      <c r="AG219" s="1632"/>
      <c r="AH219" s="1632"/>
      <c r="AI219" s="1632"/>
      <c r="AJ219" s="1632"/>
      <c r="AK219" s="1632"/>
      <c r="AL219" s="1632"/>
      <c r="AM219" s="1632"/>
      <c r="AN219" s="1632"/>
      <c r="AO219" s="1630"/>
      <c r="AP219" s="1630"/>
      <c r="AQ219" s="1636"/>
    </row>
    <row r="220" spans="1:214" s="1640" customFormat="1" ht="100.5" customHeight="1" x14ac:dyDescent="0.2">
      <c r="A220" s="1518"/>
      <c r="B220" s="1519"/>
      <c r="C220" s="1520"/>
      <c r="D220" s="1519"/>
      <c r="E220" s="1519"/>
      <c r="F220" s="1520"/>
      <c r="G220" s="1521"/>
      <c r="H220" s="1521"/>
      <c r="I220" s="1522"/>
      <c r="J220" s="1595">
        <v>166</v>
      </c>
      <c r="K220" s="1637" t="s">
        <v>2161</v>
      </c>
      <c r="L220" s="1595" t="s">
        <v>1804</v>
      </c>
      <c r="M220" s="1638">
        <v>1</v>
      </c>
      <c r="N220" s="3267" t="s">
        <v>2162</v>
      </c>
      <c r="O220" s="3371">
        <v>154</v>
      </c>
      <c r="P220" s="3270" t="s">
        <v>2163</v>
      </c>
      <c r="Q220" s="1417">
        <v>0</v>
      </c>
      <c r="R220" s="2824">
        <f>SUM(V221)</f>
        <v>14138365032</v>
      </c>
      <c r="S220" s="3270" t="s">
        <v>2164</v>
      </c>
      <c r="T220" s="1609" t="s">
        <v>2165</v>
      </c>
      <c r="U220" s="1639" t="s">
        <v>2166</v>
      </c>
      <c r="V220" s="1620">
        <v>0</v>
      </c>
      <c r="W220" s="1624">
        <v>110</v>
      </c>
      <c r="X220" s="1595" t="s">
        <v>2167</v>
      </c>
      <c r="Y220" s="3267">
        <v>292684</v>
      </c>
      <c r="Z220" s="3267">
        <v>282326</v>
      </c>
      <c r="AA220" s="3279">
        <v>135912</v>
      </c>
      <c r="AB220" s="3279">
        <v>45122</v>
      </c>
      <c r="AC220" s="3279">
        <f>SUM(AC211)</f>
        <v>307101</v>
      </c>
      <c r="AD220" s="3279">
        <f>SUM(AD211)</f>
        <v>86875</v>
      </c>
      <c r="AE220" s="3279">
        <v>2145</v>
      </c>
      <c r="AF220" s="2169">
        <v>12718</v>
      </c>
      <c r="AG220" s="2169">
        <v>26</v>
      </c>
      <c r="AH220" s="2169">
        <v>37</v>
      </c>
      <c r="AI220" s="2169" t="s">
        <v>1811</v>
      </c>
      <c r="AJ220" s="2169" t="s">
        <v>1811</v>
      </c>
      <c r="AK220" s="2169">
        <v>53164</v>
      </c>
      <c r="AL220" s="2169">
        <v>16982</v>
      </c>
      <c r="AM220" s="2169">
        <v>60013</v>
      </c>
      <c r="AN220" s="3279">
        <v>575010</v>
      </c>
      <c r="AO220" s="3285">
        <v>43101</v>
      </c>
      <c r="AP220" s="3285">
        <v>43465</v>
      </c>
      <c r="AQ220" s="3288" t="s">
        <v>1812</v>
      </c>
      <c r="AR220" s="1507"/>
      <c r="AS220" s="1507"/>
      <c r="AT220" s="1507"/>
      <c r="AU220" s="1507"/>
      <c r="AV220" s="1507"/>
      <c r="AW220" s="1507"/>
      <c r="AX220" s="1507"/>
      <c r="AY220" s="1507"/>
      <c r="AZ220" s="1507"/>
      <c r="BA220" s="1507"/>
      <c r="BB220" s="1507"/>
      <c r="BC220" s="1507"/>
      <c r="BD220" s="1507"/>
      <c r="BE220" s="1507"/>
      <c r="BF220" s="1507"/>
      <c r="BG220" s="1507"/>
      <c r="BH220" s="1507"/>
      <c r="BI220" s="1507"/>
      <c r="BJ220" s="1507"/>
      <c r="BK220" s="1507"/>
      <c r="BL220" s="1507"/>
      <c r="BM220" s="1507"/>
      <c r="BN220" s="1507"/>
      <c r="BO220" s="1507"/>
      <c r="BP220" s="1507"/>
      <c r="BQ220" s="1507"/>
      <c r="BR220" s="1507"/>
      <c r="BS220" s="1507"/>
      <c r="BT220" s="1507"/>
      <c r="BU220" s="1507"/>
      <c r="BV220" s="1507"/>
      <c r="BW220" s="1507"/>
      <c r="BX220" s="1507"/>
      <c r="BY220" s="1507"/>
      <c r="BZ220" s="1507"/>
      <c r="CA220" s="1507"/>
      <c r="CB220" s="1507"/>
      <c r="CC220" s="1507"/>
      <c r="CD220" s="1507"/>
      <c r="CE220" s="1507"/>
      <c r="CF220" s="1507"/>
      <c r="CG220" s="1507"/>
      <c r="CH220" s="1507"/>
      <c r="CI220" s="1507"/>
      <c r="CJ220" s="1507"/>
      <c r="CK220" s="1507"/>
      <c r="CL220" s="1507"/>
      <c r="CM220" s="1507"/>
      <c r="CN220" s="1507"/>
      <c r="CO220" s="1507"/>
      <c r="CP220" s="1507"/>
      <c r="CQ220" s="1507"/>
      <c r="CR220" s="1507"/>
      <c r="CS220" s="1507"/>
      <c r="CT220" s="1507"/>
      <c r="CU220" s="1507"/>
      <c r="CV220" s="1507"/>
      <c r="CW220" s="1507"/>
      <c r="CX220" s="1507"/>
      <c r="CY220" s="1507"/>
      <c r="CZ220" s="1507"/>
      <c r="DA220" s="1507"/>
      <c r="DB220" s="1507"/>
      <c r="DC220" s="1507"/>
      <c r="DD220" s="1507"/>
      <c r="DE220" s="1507"/>
      <c r="DF220" s="1507"/>
      <c r="DG220" s="1507"/>
      <c r="DH220" s="1507"/>
      <c r="DI220" s="1507"/>
      <c r="DJ220" s="1507"/>
      <c r="DK220" s="1507"/>
      <c r="DL220" s="1507"/>
      <c r="DM220" s="1507"/>
      <c r="DN220" s="1507"/>
      <c r="DO220" s="1507"/>
      <c r="DP220" s="1507"/>
      <c r="DQ220" s="1507"/>
      <c r="DR220" s="1507"/>
      <c r="DS220" s="1507"/>
      <c r="DT220" s="1507"/>
      <c r="DU220" s="1507"/>
      <c r="DV220" s="1507"/>
      <c r="DW220" s="1507"/>
      <c r="DX220" s="1507"/>
      <c r="DY220" s="1507"/>
      <c r="DZ220" s="1507"/>
      <c r="EA220" s="1507"/>
      <c r="EB220" s="1507"/>
      <c r="EC220" s="1507"/>
      <c r="ED220" s="1507"/>
      <c r="EE220" s="1507"/>
      <c r="EF220" s="1507"/>
      <c r="EG220" s="1507"/>
      <c r="EH220" s="1507"/>
      <c r="EI220" s="1507"/>
      <c r="EJ220" s="1507"/>
      <c r="EK220" s="1507"/>
      <c r="EL220" s="1507"/>
      <c r="EM220" s="1507"/>
      <c r="EN220" s="1507"/>
      <c r="EO220" s="1507"/>
      <c r="EP220" s="1507"/>
      <c r="EQ220" s="1507"/>
      <c r="ER220" s="1507"/>
      <c r="ES220" s="1507"/>
      <c r="ET220" s="1507"/>
      <c r="EU220" s="1507"/>
      <c r="EV220" s="1507"/>
      <c r="EW220" s="1507"/>
      <c r="EX220" s="1507"/>
      <c r="EY220" s="1507"/>
      <c r="EZ220" s="1507"/>
      <c r="FA220" s="1507"/>
      <c r="FB220" s="1507"/>
      <c r="FC220" s="1507"/>
      <c r="FD220" s="1507"/>
      <c r="FE220" s="1507"/>
      <c r="FF220" s="1507"/>
      <c r="FG220" s="1507"/>
      <c r="FH220" s="1507"/>
      <c r="FI220" s="1507"/>
      <c r="FJ220" s="1507"/>
      <c r="FK220" s="1507"/>
      <c r="FL220" s="1507"/>
      <c r="FM220" s="1507"/>
      <c r="FN220" s="1507"/>
      <c r="FO220" s="1507"/>
      <c r="FP220" s="1507"/>
      <c r="FQ220" s="1507"/>
      <c r="FR220" s="1507"/>
      <c r="FS220" s="1507"/>
      <c r="FT220" s="1507"/>
      <c r="FU220" s="1507"/>
      <c r="FV220" s="1507"/>
      <c r="FW220" s="1507"/>
      <c r="FX220" s="1507"/>
      <c r="FY220" s="1507"/>
      <c r="FZ220" s="1507"/>
      <c r="GA220" s="1507"/>
      <c r="GB220" s="1507"/>
      <c r="GC220" s="1507"/>
      <c r="GD220" s="1507"/>
      <c r="GE220" s="1507"/>
      <c r="GF220" s="1507"/>
      <c r="GG220" s="1507"/>
      <c r="GH220" s="1507"/>
      <c r="GI220" s="1507"/>
      <c r="GJ220" s="1507"/>
      <c r="GK220" s="1507"/>
      <c r="GL220" s="1507"/>
      <c r="GM220" s="1507"/>
      <c r="GN220" s="1507"/>
      <c r="GO220" s="1507"/>
      <c r="GP220" s="1507"/>
      <c r="GQ220" s="1507"/>
      <c r="GR220" s="1507"/>
      <c r="GS220" s="1507"/>
      <c r="GT220" s="1507"/>
      <c r="GU220" s="1507"/>
      <c r="GV220" s="1507"/>
      <c r="GW220" s="1507"/>
      <c r="GX220" s="1507"/>
      <c r="GY220" s="1507"/>
      <c r="GZ220" s="1507"/>
      <c r="HA220" s="1507"/>
      <c r="HB220" s="1507"/>
      <c r="HC220" s="1507"/>
      <c r="HD220" s="1507"/>
      <c r="HE220" s="1507"/>
      <c r="HF220" s="1507"/>
    </row>
    <row r="221" spans="1:214" s="1645" customFormat="1" ht="100.5" customHeight="1" x14ac:dyDescent="0.2">
      <c r="A221" s="1518"/>
      <c r="B221" s="1519"/>
      <c r="C221" s="1520"/>
      <c r="D221" s="1519"/>
      <c r="E221" s="1519"/>
      <c r="F221" s="1520"/>
      <c r="G221" s="1519"/>
      <c r="H221" s="1519"/>
      <c r="I221" s="1520"/>
      <c r="J221" s="1595">
        <v>167</v>
      </c>
      <c r="K221" s="1637" t="s">
        <v>2168</v>
      </c>
      <c r="L221" s="1595" t="s">
        <v>1804</v>
      </c>
      <c r="M221" s="1638">
        <v>15</v>
      </c>
      <c r="N221" s="3268"/>
      <c r="O221" s="3372"/>
      <c r="P221" s="3271"/>
      <c r="Q221" s="1419">
        <v>1</v>
      </c>
      <c r="R221" s="2825"/>
      <c r="S221" s="3271"/>
      <c r="T221" s="1641" t="s">
        <v>2169</v>
      </c>
      <c r="U221" s="1642" t="s">
        <v>2170</v>
      </c>
      <c r="V221" s="1643">
        <v>14138365032</v>
      </c>
      <c r="W221" s="1644">
        <v>59</v>
      </c>
      <c r="X221" s="1597" t="s">
        <v>2171</v>
      </c>
      <c r="Y221" s="3268"/>
      <c r="Z221" s="3268"/>
      <c r="AA221" s="3280"/>
      <c r="AB221" s="3280"/>
      <c r="AC221" s="3280"/>
      <c r="AD221" s="3280"/>
      <c r="AE221" s="3280"/>
      <c r="AF221" s="2169"/>
      <c r="AG221" s="2169"/>
      <c r="AH221" s="2169"/>
      <c r="AI221" s="2169"/>
      <c r="AJ221" s="2169"/>
      <c r="AK221" s="2169"/>
      <c r="AL221" s="2169"/>
      <c r="AM221" s="2169"/>
      <c r="AN221" s="3280"/>
      <c r="AO221" s="3286"/>
      <c r="AP221" s="3286"/>
      <c r="AQ221" s="3289"/>
      <c r="AR221" s="1507"/>
      <c r="AS221" s="1507"/>
      <c r="AT221" s="1507"/>
      <c r="AU221" s="1507"/>
      <c r="AV221" s="1507"/>
      <c r="AW221" s="1507"/>
      <c r="AX221" s="1507"/>
      <c r="AY221" s="1507"/>
      <c r="AZ221" s="1507"/>
      <c r="BA221" s="1507"/>
      <c r="BB221" s="1507"/>
      <c r="BC221" s="1507"/>
      <c r="BD221" s="1507"/>
      <c r="BE221" s="1507"/>
      <c r="BF221" s="1507"/>
      <c r="BG221" s="1507"/>
      <c r="BH221" s="1507"/>
      <c r="BI221" s="1507"/>
      <c r="BJ221" s="1507"/>
      <c r="BK221" s="1507"/>
      <c r="BL221" s="1507"/>
      <c r="BM221" s="1507"/>
      <c r="BN221" s="1507"/>
      <c r="BO221" s="1507"/>
      <c r="BP221" s="1507"/>
      <c r="BQ221" s="1507"/>
      <c r="BR221" s="1507"/>
      <c r="BS221" s="1507"/>
      <c r="BT221" s="1507"/>
      <c r="BU221" s="1507"/>
      <c r="BV221" s="1507"/>
      <c r="BW221" s="1507"/>
      <c r="BX221" s="1507"/>
      <c r="BY221" s="1507"/>
      <c r="BZ221" s="1507"/>
      <c r="CA221" s="1507"/>
      <c r="CB221" s="1507"/>
      <c r="CC221" s="1507"/>
      <c r="CD221" s="1507"/>
      <c r="CE221" s="1507"/>
      <c r="CF221" s="1507"/>
      <c r="CG221" s="1507"/>
      <c r="CH221" s="1507"/>
      <c r="CI221" s="1507"/>
      <c r="CJ221" s="1507"/>
      <c r="CK221" s="1507"/>
      <c r="CL221" s="1507"/>
      <c r="CM221" s="1507"/>
      <c r="CN221" s="1507"/>
      <c r="CO221" s="1507"/>
      <c r="CP221" s="1507"/>
      <c r="CQ221" s="1507"/>
      <c r="CR221" s="1507"/>
      <c r="CS221" s="1507"/>
      <c r="CT221" s="1507"/>
      <c r="CU221" s="1507"/>
      <c r="CV221" s="1507"/>
      <c r="CW221" s="1507"/>
      <c r="CX221" s="1507"/>
      <c r="CY221" s="1507"/>
      <c r="CZ221" s="1507"/>
      <c r="DA221" s="1507"/>
      <c r="DB221" s="1507"/>
      <c r="DC221" s="1507"/>
      <c r="DD221" s="1507"/>
      <c r="DE221" s="1507"/>
      <c r="DF221" s="1507"/>
      <c r="DG221" s="1507"/>
      <c r="DH221" s="1507"/>
      <c r="DI221" s="1507"/>
      <c r="DJ221" s="1507"/>
      <c r="DK221" s="1507"/>
      <c r="DL221" s="1507"/>
      <c r="DM221" s="1507"/>
      <c r="DN221" s="1507"/>
      <c r="DO221" s="1507"/>
      <c r="DP221" s="1507"/>
      <c r="DQ221" s="1507"/>
      <c r="DR221" s="1507"/>
      <c r="DS221" s="1507"/>
      <c r="DT221" s="1507"/>
      <c r="DU221" s="1507"/>
      <c r="DV221" s="1507"/>
      <c r="DW221" s="1507"/>
      <c r="DX221" s="1507"/>
      <c r="DY221" s="1507"/>
      <c r="DZ221" s="1507"/>
      <c r="EA221" s="1507"/>
      <c r="EB221" s="1507"/>
      <c r="EC221" s="1507"/>
      <c r="ED221" s="1507"/>
      <c r="EE221" s="1507"/>
      <c r="EF221" s="1507"/>
      <c r="EG221" s="1507"/>
      <c r="EH221" s="1507"/>
      <c r="EI221" s="1507"/>
      <c r="EJ221" s="1507"/>
      <c r="EK221" s="1507"/>
      <c r="EL221" s="1507"/>
      <c r="EM221" s="1507"/>
      <c r="EN221" s="1507"/>
      <c r="EO221" s="1507"/>
      <c r="EP221" s="1507"/>
      <c r="EQ221" s="1507"/>
      <c r="ER221" s="1507"/>
      <c r="ES221" s="1507"/>
      <c r="ET221" s="1507"/>
      <c r="EU221" s="1507"/>
      <c r="EV221" s="1507"/>
      <c r="EW221" s="1507"/>
      <c r="EX221" s="1507"/>
      <c r="EY221" s="1507"/>
      <c r="EZ221" s="1507"/>
      <c r="FA221" s="1507"/>
      <c r="FB221" s="1507"/>
      <c r="FC221" s="1507"/>
      <c r="FD221" s="1507"/>
      <c r="FE221" s="1507"/>
      <c r="FF221" s="1507"/>
      <c r="FG221" s="1507"/>
      <c r="FH221" s="1507"/>
      <c r="FI221" s="1507"/>
      <c r="FJ221" s="1507"/>
      <c r="FK221" s="1507"/>
      <c r="FL221" s="1507"/>
      <c r="FM221" s="1507"/>
      <c r="FN221" s="1507"/>
      <c r="FO221" s="1507"/>
      <c r="FP221" s="1507"/>
      <c r="FQ221" s="1507"/>
      <c r="FR221" s="1507"/>
      <c r="FS221" s="1507"/>
      <c r="FT221" s="1507"/>
      <c r="FU221" s="1507"/>
      <c r="FV221" s="1507"/>
      <c r="FW221" s="1507"/>
      <c r="FX221" s="1507"/>
      <c r="FY221" s="1507"/>
      <c r="FZ221" s="1507"/>
      <c r="GA221" s="1507"/>
      <c r="GB221" s="1507"/>
      <c r="GC221" s="1507"/>
      <c r="GD221" s="1507"/>
      <c r="GE221" s="1507"/>
      <c r="GF221" s="1507"/>
      <c r="GG221" s="1507"/>
      <c r="GH221" s="1507"/>
      <c r="GI221" s="1507"/>
      <c r="GJ221" s="1507"/>
      <c r="GK221" s="1507"/>
      <c r="GL221" s="1507"/>
      <c r="GM221" s="1507"/>
      <c r="GN221" s="1507"/>
      <c r="GO221" s="1507"/>
      <c r="GP221" s="1507"/>
      <c r="GQ221" s="1507"/>
      <c r="GR221" s="1507"/>
      <c r="GS221" s="1507"/>
      <c r="GT221" s="1507"/>
      <c r="GU221" s="1507"/>
      <c r="GV221" s="1507"/>
      <c r="GW221" s="1507"/>
      <c r="GX221" s="1507"/>
      <c r="GY221" s="1507"/>
      <c r="GZ221" s="1507"/>
      <c r="HA221" s="1507"/>
      <c r="HB221" s="1507"/>
      <c r="HC221" s="1507"/>
      <c r="HD221" s="1507"/>
      <c r="HE221" s="1507"/>
      <c r="HF221" s="1507"/>
    </row>
    <row r="222" spans="1:214" ht="70.5" customHeight="1" x14ac:dyDescent="0.2">
      <c r="A222" s="1518"/>
      <c r="B222" s="1519"/>
      <c r="C222" s="1520"/>
      <c r="D222" s="1519"/>
      <c r="E222" s="1519"/>
      <c r="F222" s="1520"/>
      <c r="G222" s="1519"/>
      <c r="H222" s="1519"/>
      <c r="I222" s="1520"/>
      <c r="J222" s="3267">
        <v>168</v>
      </c>
      <c r="K222" s="3270" t="s">
        <v>2172</v>
      </c>
      <c r="L222" s="3267" t="s">
        <v>1804</v>
      </c>
      <c r="M222" s="3267">
        <v>14</v>
      </c>
      <c r="N222" s="3268"/>
      <c r="O222" s="3372"/>
      <c r="P222" s="3271"/>
      <c r="Q222" s="2797">
        <v>0</v>
      </c>
      <c r="R222" s="2825"/>
      <c r="S222" s="3271"/>
      <c r="T222" s="3282" t="s">
        <v>2173</v>
      </c>
      <c r="U222" s="1642" t="s">
        <v>2174</v>
      </c>
      <c r="V222" s="3373">
        <v>0</v>
      </c>
      <c r="W222" s="1644">
        <v>60</v>
      </c>
      <c r="X222" s="1597" t="s">
        <v>2175</v>
      </c>
      <c r="Y222" s="3268"/>
      <c r="Z222" s="3268"/>
      <c r="AA222" s="3280"/>
      <c r="AB222" s="3280"/>
      <c r="AC222" s="3280"/>
      <c r="AD222" s="3280"/>
      <c r="AE222" s="3280"/>
      <c r="AF222" s="2169"/>
      <c r="AG222" s="2169"/>
      <c r="AH222" s="2169"/>
      <c r="AI222" s="2169"/>
      <c r="AJ222" s="2169"/>
      <c r="AK222" s="2169"/>
      <c r="AL222" s="2169"/>
      <c r="AM222" s="2169"/>
      <c r="AN222" s="3280"/>
      <c r="AO222" s="3286"/>
      <c r="AP222" s="3286"/>
      <c r="AQ222" s="3289"/>
    </row>
    <row r="223" spans="1:214" ht="79.5" customHeight="1" x14ac:dyDescent="0.2">
      <c r="A223" s="1518"/>
      <c r="B223" s="1519"/>
      <c r="C223" s="1520"/>
      <c r="D223" s="1519"/>
      <c r="E223" s="1519"/>
      <c r="F223" s="1520"/>
      <c r="G223" s="1646"/>
      <c r="H223" s="1646"/>
      <c r="I223" s="1647"/>
      <c r="J223" s="3269"/>
      <c r="K223" s="3272"/>
      <c r="L223" s="3268"/>
      <c r="M223" s="3268"/>
      <c r="N223" s="3269"/>
      <c r="O223" s="3372"/>
      <c r="P223" s="3271"/>
      <c r="Q223" s="2799"/>
      <c r="R223" s="2825"/>
      <c r="S223" s="3271"/>
      <c r="T223" s="3284"/>
      <c r="U223" s="1642" t="s">
        <v>2176</v>
      </c>
      <c r="V223" s="3374"/>
      <c r="W223" s="1644">
        <v>35</v>
      </c>
      <c r="X223" s="1603" t="s">
        <v>2177</v>
      </c>
      <c r="Y223" s="3269"/>
      <c r="Z223" s="3269"/>
      <c r="AA223" s="3281"/>
      <c r="AB223" s="3281"/>
      <c r="AC223" s="3281"/>
      <c r="AD223" s="3281"/>
      <c r="AE223" s="3281"/>
      <c r="AF223" s="3279"/>
      <c r="AG223" s="3279"/>
      <c r="AH223" s="3279"/>
      <c r="AI223" s="3279"/>
      <c r="AJ223" s="3279"/>
      <c r="AK223" s="3279"/>
      <c r="AL223" s="3279"/>
      <c r="AM223" s="3279"/>
      <c r="AN223" s="3281"/>
      <c r="AO223" s="3286"/>
      <c r="AP223" s="3286"/>
      <c r="AQ223" s="3290"/>
    </row>
    <row r="224" spans="1:214" ht="36" customHeight="1" x14ac:dyDescent="0.2">
      <c r="A224" s="1518"/>
      <c r="B224" s="1519"/>
      <c r="C224" s="1520"/>
      <c r="D224" s="1519"/>
      <c r="E224" s="1519"/>
      <c r="F224" s="1520"/>
      <c r="G224" s="1648">
        <v>51</v>
      </c>
      <c r="H224" s="1649" t="s">
        <v>2178</v>
      </c>
      <c r="I224" s="1649"/>
      <c r="J224" s="1650"/>
      <c r="K224" s="1651"/>
      <c r="L224" s="1524"/>
      <c r="M224" s="1524"/>
      <c r="N224" s="1526"/>
      <c r="O224" s="1524"/>
      <c r="P224" s="1525"/>
      <c r="Q224" s="1524"/>
      <c r="R224" s="1552"/>
      <c r="S224" s="1524"/>
      <c r="T224" s="1525"/>
      <c r="U224" s="1525"/>
      <c r="V224" s="1553"/>
      <c r="W224" s="1554"/>
      <c r="X224" s="1526"/>
      <c r="Y224" s="1526"/>
      <c r="Z224" s="1526"/>
      <c r="AA224" s="3375"/>
      <c r="AB224" s="3375"/>
      <c r="AC224" s="3375"/>
      <c r="AD224" s="3375"/>
      <c r="AE224" s="3375"/>
      <c r="AF224" s="3375"/>
      <c r="AG224" s="3375"/>
      <c r="AH224" s="3375"/>
      <c r="AI224" s="3375"/>
      <c r="AJ224" s="3375"/>
      <c r="AK224" s="3375"/>
      <c r="AL224" s="3375"/>
      <c r="AM224" s="3375"/>
      <c r="AN224" s="1652"/>
      <c r="AO224" s="1524"/>
      <c r="AP224" s="1524"/>
      <c r="AQ224" s="1531"/>
    </row>
    <row r="225" spans="1:43" ht="76.5" customHeight="1" x14ac:dyDescent="0.2">
      <c r="A225" s="1653"/>
      <c r="B225" s="1654"/>
      <c r="C225" s="1655"/>
      <c r="D225" s="1654"/>
      <c r="E225" s="1654"/>
      <c r="F225" s="1655"/>
      <c r="G225" s="1656"/>
      <c r="H225" s="1656"/>
      <c r="I225" s="1657"/>
      <c r="J225" s="3267">
        <v>169</v>
      </c>
      <c r="K225" s="3270" t="s">
        <v>2179</v>
      </c>
      <c r="L225" s="3267" t="s">
        <v>1804</v>
      </c>
      <c r="M225" s="3267">
        <v>12</v>
      </c>
      <c r="N225" s="3267" t="s">
        <v>2180</v>
      </c>
      <c r="O225" s="3267">
        <v>155</v>
      </c>
      <c r="P225" s="3270" t="s">
        <v>2181</v>
      </c>
      <c r="Q225" s="2797">
        <v>1</v>
      </c>
      <c r="R225" s="2824">
        <f>SUM(V225+V226+V227)</f>
        <v>44149920</v>
      </c>
      <c r="S225" s="3270" t="s">
        <v>2182</v>
      </c>
      <c r="T225" s="1566" t="s">
        <v>2183</v>
      </c>
      <c r="U225" s="1566" t="s">
        <v>2184</v>
      </c>
      <c r="V225" s="368">
        <v>14716640</v>
      </c>
      <c r="W225" s="3292">
        <v>72</v>
      </c>
      <c r="X225" s="3267" t="s">
        <v>2144</v>
      </c>
      <c r="Y225" s="3267">
        <v>292684</v>
      </c>
      <c r="Z225" s="3267">
        <v>282326</v>
      </c>
      <c r="AA225" s="3279">
        <v>135912</v>
      </c>
      <c r="AB225" s="3279">
        <v>45122</v>
      </c>
      <c r="AC225" s="2202">
        <f>SUM(AC220)</f>
        <v>307101</v>
      </c>
      <c r="AD225" s="3279">
        <v>86875</v>
      </c>
      <c r="AE225" s="3279">
        <v>2145</v>
      </c>
      <c r="AF225" s="3279">
        <v>12718</v>
      </c>
      <c r="AG225" s="3279">
        <v>26</v>
      </c>
      <c r="AH225" s="3279">
        <v>37</v>
      </c>
      <c r="AI225" s="3279" t="s">
        <v>1811</v>
      </c>
      <c r="AJ225" s="2202" t="s">
        <v>1811</v>
      </c>
      <c r="AK225" s="3279">
        <v>53164</v>
      </c>
      <c r="AL225" s="3279">
        <v>16982</v>
      </c>
      <c r="AM225" s="2202">
        <v>60013</v>
      </c>
      <c r="AN225" s="2169">
        <v>575010</v>
      </c>
      <c r="AO225" s="3354">
        <v>43101</v>
      </c>
      <c r="AP225" s="3354">
        <v>43465</v>
      </c>
      <c r="AQ225" s="3288" t="s">
        <v>1812</v>
      </c>
    </row>
    <row r="226" spans="1:43" ht="60" x14ac:dyDescent="0.2">
      <c r="A226" s="1653"/>
      <c r="B226" s="1654"/>
      <c r="C226" s="1655"/>
      <c r="D226" s="1654"/>
      <c r="E226" s="1654"/>
      <c r="F226" s="1655"/>
      <c r="G226" s="1654"/>
      <c r="H226" s="1654"/>
      <c r="I226" s="1655"/>
      <c r="J226" s="3268"/>
      <c r="K226" s="3271"/>
      <c r="L226" s="3268"/>
      <c r="M226" s="3268"/>
      <c r="N226" s="3268"/>
      <c r="O226" s="3268"/>
      <c r="P226" s="3271"/>
      <c r="Q226" s="2798"/>
      <c r="R226" s="2825"/>
      <c r="S226" s="3271"/>
      <c r="T226" s="1566" t="s">
        <v>2185</v>
      </c>
      <c r="U226" s="1566" t="s">
        <v>2186</v>
      </c>
      <c r="V226" s="368">
        <v>14716640</v>
      </c>
      <c r="W226" s="3293"/>
      <c r="X226" s="3268"/>
      <c r="Y226" s="3268"/>
      <c r="Z226" s="3268"/>
      <c r="AA226" s="3280"/>
      <c r="AB226" s="3280"/>
      <c r="AC226" s="2203"/>
      <c r="AD226" s="3280"/>
      <c r="AE226" s="3280"/>
      <c r="AF226" s="3280"/>
      <c r="AG226" s="3280"/>
      <c r="AH226" s="3280"/>
      <c r="AI226" s="3280"/>
      <c r="AJ226" s="2203"/>
      <c r="AK226" s="3280"/>
      <c r="AL226" s="3280"/>
      <c r="AM226" s="2203"/>
      <c r="AN226" s="2169"/>
      <c r="AO226" s="3354"/>
      <c r="AP226" s="3354"/>
      <c r="AQ226" s="3289"/>
    </row>
    <row r="227" spans="1:43" ht="75" x14ac:dyDescent="0.2">
      <c r="A227" s="1532"/>
      <c r="B227" s="1533"/>
      <c r="C227" s="1534"/>
      <c r="D227" s="1533"/>
      <c r="E227" s="1533"/>
      <c r="F227" s="1534"/>
      <c r="G227" s="1542"/>
      <c r="H227" s="1542"/>
      <c r="I227" s="1543"/>
      <c r="J227" s="3269"/>
      <c r="K227" s="3272"/>
      <c r="L227" s="3269"/>
      <c r="M227" s="3269"/>
      <c r="N227" s="3269"/>
      <c r="O227" s="3269"/>
      <c r="P227" s="3272"/>
      <c r="Q227" s="2799"/>
      <c r="R227" s="2826"/>
      <c r="S227" s="3272"/>
      <c r="T227" s="1566" t="s">
        <v>2172</v>
      </c>
      <c r="U227" s="1566" t="s">
        <v>2187</v>
      </c>
      <c r="V227" s="368">
        <v>14716640</v>
      </c>
      <c r="W227" s="3294"/>
      <c r="X227" s="3269"/>
      <c r="Y227" s="3269"/>
      <c r="Z227" s="3269"/>
      <c r="AA227" s="3280"/>
      <c r="AB227" s="3280"/>
      <c r="AC227" s="2203"/>
      <c r="AD227" s="3280"/>
      <c r="AE227" s="3280"/>
      <c r="AF227" s="3280"/>
      <c r="AG227" s="3280"/>
      <c r="AH227" s="3280"/>
      <c r="AI227" s="3280"/>
      <c r="AJ227" s="2203"/>
      <c r="AK227" s="3280"/>
      <c r="AL227" s="3280"/>
      <c r="AM227" s="2203"/>
      <c r="AN227" s="2169"/>
      <c r="AO227" s="3354"/>
      <c r="AP227" s="3354"/>
      <c r="AQ227" s="3290"/>
    </row>
    <row r="228" spans="1:43" ht="36" customHeight="1" x14ac:dyDescent="0.2">
      <c r="A228" s="1518"/>
      <c r="B228" s="1519"/>
      <c r="C228" s="1520"/>
      <c r="D228" s="1519"/>
      <c r="E228" s="1519"/>
      <c r="F228" s="1520"/>
      <c r="G228" s="1551">
        <v>52</v>
      </c>
      <c r="H228" s="1524" t="s">
        <v>2188</v>
      </c>
      <c r="I228" s="1524"/>
      <c r="J228" s="1524"/>
      <c r="K228" s="1525"/>
      <c r="L228" s="1524"/>
      <c r="M228" s="1524"/>
      <c r="N228" s="1526"/>
      <c r="O228" s="1524"/>
      <c r="P228" s="1525"/>
      <c r="Q228" s="1524"/>
      <c r="R228" s="1552"/>
      <c r="S228" s="1524"/>
      <c r="T228" s="1525"/>
      <c r="U228" s="1525"/>
      <c r="V228" s="1553"/>
      <c r="W228" s="1554"/>
      <c r="X228" s="1526"/>
      <c r="Y228" s="1526"/>
      <c r="Z228" s="1526"/>
      <c r="AA228" s="3376"/>
      <c r="AB228" s="3375"/>
      <c r="AC228" s="3375"/>
      <c r="AD228" s="3375"/>
      <c r="AE228" s="3375"/>
      <c r="AF228" s="3375"/>
      <c r="AG228" s="3375"/>
      <c r="AH228" s="3375"/>
      <c r="AI228" s="3375"/>
      <c r="AJ228" s="3375"/>
      <c r="AK228" s="3375"/>
      <c r="AL228" s="3375"/>
      <c r="AM228" s="3375"/>
      <c r="AN228" s="1658"/>
      <c r="AO228" s="1524"/>
      <c r="AP228" s="1524"/>
      <c r="AQ228" s="1531"/>
    </row>
    <row r="229" spans="1:43" ht="51" customHeight="1" x14ac:dyDescent="0.2">
      <c r="A229" s="1556"/>
      <c r="B229" s="1557"/>
      <c r="C229" s="1558"/>
      <c r="D229" s="1557"/>
      <c r="E229" s="1557"/>
      <c r="F229" s="1558"/>
      <c r="G229" s="1560"/>
      <c r="H229" s="1560"/>
      <c r="I229" s="1561"/>
      <c r="J229" s="3267">
        <v>170</v>
      </c>
      <c r="K229" s="3282" t="s">
        <v>2189</v>
      </c>
      <c r="L229" s="3267" t="s">
        <v>1804</v>
      </c>
      <c r="M229" s="3267">
        <v>14</v>
      </c>
      <c r="N229" s="3267" t="s">
        <v>2190</v>
      </c>
      <c r="O229" s="3267">
        <v>156</v>
      </c>
      <c r="P229" s="3267" t="s">
        <v>2191</v>
      </c>
      <c r="Q229" s="2797">
        <f>(V229+V231+V230+V232+V233)/R229</f>
        <v>1</v>
      </c>
      <c r="R229" s="2824">
        <f>SUM(V229:V234)</f>
        <v>138195556</v>
      </c>
      <c r="S229" s="3267" t="s">
        <v>2192</v>
      </c>
      <c r="T229" s="3270" t="s">
        <v>2193</v>
      </c>
      <c r="U229" s="1659" t="s">
        <v>2194</v>
      </c>
      <c r="V229" s="1660">
        <v>12817718</v>
      </c>
      <c r="W229" s="3381">
        <v>72</v>
      </c>
      <c r="X229" s="3267" t="s">
        <v>2144</v>
      </c>
      <c r="Y229" s="3267">
        <v>292684</v>
      </c>
      <c r="Z229" s="3267">
        <v>282326</v>
      </c>
      <c r="AA229" s="3279">
        <v>135912</v>
      </c>
      <c r="AB229" s="3279">
        <v>45122</v>
      </c>
      <c r="AC229" s="2202">
        <f>SUM(AC225)</f>
        <v>307101</v>
      </c>
      <c r="AD229" s="3279">
        <v>86875</v>
      </c>
      <c r="AE229" s="3279">
        <v>2145</v>
      </c>
      <c r="AF229" s="3279">
        <v>12718</v>
      </c>
      <c r="AG229" s="3279">
        <v>26</v>
      </c>
      <c r="AH229" s="3279">
        <v>37</v>
      </c>
      <c r="AI229" s="3279" t="s">
        <v>1811</v>
      </c>
      <c r="AJ229" s="3279" t="s">
        <v>1811</v>
      </c>
      <c r="AK229" s="3279">
        <v>53164</v>
      </c>
      <c r="AL229" s="3279">
        <v>16982</v>
      </c>
      <c r="AM229" s="3279">
        <v>60013</v>
      </c>
      <c r="AN229" s="2169">
        <v>575010</v>
      </c>
      <c r="AO229" s="3377">
        <v>43101</v>
      </c>
      <c r="AP229" s="3377">
        <v>43465</v>
      </c>
      <c r="AQ229" s="3378" t="s">
        <v>1812</v>
      </c>
    </row>
    <row r="230" spans="1:43" ht="51" customHeight="1" x14ac:dyDescent="0.2">
      <c r="A230" s="1556"/>
      <c r="B230" s="1557"/>
      <c r="C230" s="1558"/>
      <c r="D230" s="1557"/>
      <c r="E230" s="1557"/>
      <c r="F230" s="1558"/>
      <c r="G230" s="1557"/>
      <c r="H230" s="1557"/>
      <c r="I230" s="1558"/>
      <c r="J230" s="3268"/>
      <c r="K230" s="3283"/>
      <c r="L230" s="3268"/>
      <c r="M230" s="3268"/>
      <c r="N230" s="3268"/>
      <c r="O230" s="3268"/>
      <c r="P230" s="3268"/>
      <c r="Q230" s="2798"/>
      <c r="R230" s="2825"/>
      <c r="S230" s="3268"/>
      <c r="T230" s="3271"/>
      <c r="U230" s="1659" t="s">
        <v>2195</v>
      </c>
      <c r="V230" s="1660">
        <v>15455421</v>
      </c>
      <c r="W230" s="3382"/>
      <c r="X230" s="3268"/>
      <c r="Y230" s="3268"/>
      <c r="Z230" s="3268"/>
      <c r="AA230" s="3280"/>
      <c r="AB230" s="3280"/>
      <c r="AC230" s="3280"/>
      <c r="AD230" s="3280"/>
      <c r="AE230" s="3280"/>
      <c r="AF230" s="3280"/>
      <c r="AG230" s="3280"/>
      <c r="AH230" s="3280"/>
      <c r="AI230" s="3280"/>
      <c r="AJ230" s="3280"/>
      <c r="AK230" s="3280"/>
      <c r="AL230" s="3280"/>
      <c r="AM230" s="3280"/>
      <c r="AN230" s="2169"/>
      <c r="AO230" s="3280"/>
      <c r="AP230" s="3280"/>
      <c r="AQ230" s="3379"/>
    </row>
    <row r="231" spans="1:43" ht="51" customHeight="1" x14ac:dyDescent="0.2">
      <c r="A231" s="1556"/>
      <c r="B231" s="1557"/>
      <c r="C231" s="1558"/>
      <c r="D231" s="1557"/>
      <c r="E231" s="1557"/>
      <c r="F231" s="1558"/>
      <c r="G231" s="1557"/>
      <c r="H231" s="1557"/>
      <c r="I231" s="1558"/>
      <c r="J231" s="3268"/>
      <c r="K231" s="3283"/>
      <c r="L231" s="3268"/>
      <c r="M231" s="3268"/>
      <c r="N231" s="3268"/>
      <c r="O231" s="3268"/>
      <c r="P231" s="3268"/>
      <c r="Q231" s="2798"/>
      <c r="R231" s="2825"/>
      <c r="S231" s="3268"/>
      <c r="T231" s="3272"/>
      <c r="U231" s="1659" t="s">
        <v>2196</v>
      </c>
      <c r="V231" s="368">
        <v>13862686</v>
      </c>
      <c r="W231" s="3382"/>
      <c r="X231" s="3268"/>
      <c r="Y231" s="3268"/>
      <c r="Z231" s="3268"/>
      <c r="AA231" s="3280"/>
      <c r="AB231" s="3280"/>
      <c r="AC231" s="3280"/>
      <c r="AD231" s="3280"/>
      <c r="AE231" s="3280"/>
      <c r="AF231" s="3280"/>
      <c r="AG231" s="3280"/>
      <c r="AH231" s="3280"/>
      <c r="AI231" s="3280"/>
      <c r="AJ231" s="3280"/>
      <c r="AK231" s="3280"/>
      <c r="AL231" s="3280"/>
      <c r="AM231" s="3280"/>
      <c r="AN231" s="2169"/>
      <c r="AO231" s="3280"/>
      <c r="AP231" s="3280"/>
      <c r="AQ231" s="3379"/>
    </row>
    <row r="232" spans="1:43" ht="57.75" customHeight="1" x14ac:dyDescent="0.2">
      <c r="A232" s="1556"/>
      <c r="B232" s="1557"/>
      <c r="C232" s="1558"/>
      <c r="D232" s="1557"/>
      <c r="E232" s="1557"/>
      <c r="F232" s="1558"/>
      <c r="G232" s="1557"/>
      <c r="H232" s="1557"/>
      <c r="I232" s="1558"/>
      <c r="J232" s="3268"/>
      <c r="K232" s="3283"/>
      <c r="L232" s="3268"/>
      <c r="M232" s="3268"/>
      <c r="N232" s="3268"/>
      <c r="O232" s="3268"/>
      <c r="P232" s="3268"/>
      <c r="Q232" s="2799"/>
      <c r="R232" s="2825"/>
      <c r="S232" s="3268"/>
      <c r="T232" s="1661"/>
      <c r="U232" s="1659" t="s">
        <v>2197</v>
      </c>
      <c r="V232" s="368">
        <v>90000000</v>
      </c>
      <c r="W232" s="3382"/>
      <c r="X232" s="3268"/>
      <c r="Y232" s="3268"/>
      <c r="Z232" s="3268"/>
      <c r="AA232" s="3280"/>
      <c r="AB232" s="3280"/>
      <c r="AC232" s="3280"/>
      <c r="AD232" s="3280"/>
      <c r="AE232" s="3280"/>
      <c r="AF232" s="3280"/>
      <c r="AG232" s="3280"/>
      <c r="AH232" s="3280"/>
      <c r="AI232" s="3280"/>
      <c r="AJ232" s="3280"/>
      <c r="AK232" s="3280"/>
      <c r="AL232" s="3280"/>
      <c r="AM232" s="3280"/>
      <c r="AN232" s="2169"/>
      <c r="AO232" s="3280"/>
      <c r="AP232" s="3280"/>
      <c r="AQ232" s="3379"/>
    </row>
    <row r="233" spans="1:43" ht="38.25" customHeight="1" x14ac:dyDescent="0.2">
      <c r="A233" s="1556"/>
      <c r="B233" s="1557"/>
      <c r="C233" s="1558"/>
      <c r="D233" s="1557"/>
      <c r="E233" s="1557"/>
      <c r="F233" s="1558"/>
      <c r="G233" s="1557"/>
      <c r="H233" s="1557"/>
      <c r="I233" s="1558"/>
      <c r="J233" s="3269"/>
      <c r="K233" s="3284"/>
      <c r="L233" s="3269"/>
      <c r="M233" s="3269"/>
      <c r="N233" s="3268"/>
      <c r="O233" s="3268"/>
      <c r="P233" s="3268"/>
      <c r="Q233" s="2797">
        <v>0</v>
      </c>
      <c r="R233" s="2825"/>
      <c r="S233" s="3268"/>
      <c r="T233" s="3282" t="s">
        <v>2198</v>
      </c>
      <c r="U233" s="1659" t="s">
        <v>2199</v>
      </c>
      <c r="V233" s="368">
        <v>6059731</v>
      </c>
      <c r="W233" s="3382"/>
      <c r="X233" s="3268"/>
      <c r="Y233" s="3268"/>
      <c r="Z233" s="3268"/>
      <c r="AA233" s="3280"/>
      <c r="AB233" s="3280"/>
      <c r="AC233" s="3280"/>
      <c r="AD233" s="3280"/>
      <c r="AE233" s="3280"/>
      <c r="AF233" s="3280"/>
      <c r="AG233" s="3280"/>
      <c r="AH233" s="3280"/>
      <c r="AI233" s="3280"/>
      <c r="AJ233" s="3280"/>
      <c r="AK233" s="3280"/>
      <c r="AL233" s="3280"/>
      <c r="AM233" s="3280"/>
      <c r="AN233" s="2169"/>
      <c r="AO233" s="3280"/>
      <c r="AP233" s="3280"/>
      <c r="AQ233" s="3379"/>
    </row>
    <row r="234" spans="1:43" ht="50.25" customHeight="1" x14ac:dyDescent="0.2">
      <c r="A234" s="1556"/>
      <c r="B234" s="1557"/>
      <c r="C234" s="1558"/>
      <c r="D234" s="1557"/>
      <c r="E234" s="1557"/>
      <c r="F234" s="1558"/>
      <c r="G234" s="1557"/>
      <c r="H234" s="1557"/>
      <c r="I234" s="1558"/>
      <c r="J234" s="1595">
        <v>171</v>
      </c>
      <c r="K234" s="1662" t="s">
        <v>2200</v>
      </c>
      <c r="L234" s="1595" t="s">
        <v>1804</v>
      </c>
      <c r="M234" s="1595">
        <v>1</v>
      </c>
      <c r="N234" s="3269"/>
      <c r="O234" s="3269"/>
      <c r="P234" s="3269"/>
      <c r="Q234" s="2799"/>
      <c r="R234" s="2826"/>
      <c r="S234" s="3269"/>
      <c r="T234" s="3284"/>
      <c r="U234" s="1659" t="s">
        <v>2201</v>
      </c>
      <c r="V234" s="368">
        <v>0</v>
      </c>
      <c r="W234" s="3383"/>
      <c r="X234" s="3269"/>
      <c r="Y234" s="3269"/>
      <c r="Z234" s="3269"/>
      <c r="AA234" s="3281"/>
      <c r="AB234" s="3281"/>
      <c r="AC234" s="3281"/>
      <c r="AD234" s="3281"/>
      <c r="AE234" s="3281"/>
      <c r="AF234" s="3281"/>
      <c r="AG234" s="3281"/>
      <c r="AH234" s="3281"/>
      <c r="AI234" s="3281"/>
      <c r="AJ234" s="3281"/>
      <c r="AK234" s="3281"/>
      <c r="AL234" s="3281"/>
      <c r="AM234" s="3281"/>
      <c r="AN234" s="2169"/>
      <c r="AO234" s="3281"/>
      <c r="AP234" s="3281"/>
      <c r="AQ234" s="3380"/>
    </row>
    <row r="235" spans="1:43" ht="53.25" customHeight="1" x14ac:dyDescent="0.2">
      <c r="A235" s="1556"/>
      <c r="B235" s="1557"/>
      <c r="C235" s="1558"/>
      <c r="D235" s="1557"/>
      <c r="E235" s="1557"/>
      <c r="F235" s="1558"/>
      <c r="G235" s="1557"/>
      <c r="H235" s="1557"/>
      <c r="I235" s="1558"/>
      <c r="J235" s="3267">
        <v>172</v>
      </c>
      <c r="K235" s="3270" t="s">
        <v>2202</v>
      </c>
      <c r="L235" s="3267" t="s">
        <v>1804</v>
      </c>
      <c r="M235" s="3267">
        <v>12</v>
      </c>
      <c r="N235" s="1595"/>
      <c r="O235" s="3267">
        <v>157</v>
      </c>
      <c r="P235" s="3270" t="s">
        <v>2203</v>
      </c>
      <c r="Q235" s="2797">
        <v>1</v>
      </c>
      <c r="R235" s="2824">
        <f>SUM(V235:V242)</f>
        <v>405004444</v>
      </c>
      <c r="S235" s="3270" t="s">
        <v>2204</v>
      </c>
      <c r="T235" s="3270" t="s">
        <v>2205</v>
      </c>
      <c r="U235" s="1663" t="s">
        <v>2206</v>
      </c>
      <c r="V235" s="368">
        <v>42000000</v>
      </c>
      <c r="W235" s="1605"/>
      <c r="X235" s="1662"/>
      <c r="Y235" s="3267">
        <v>292684</v>
      </c>
      <c r="Z235" s="3267">
        <v>282326</v>
      </c>
      <c r="AA235" s="3279">
        <v>135912</v>
      </c>
      <c r="AB235" s="3279">
        <v>45122</v>
      </c>
      <c r="AC235" s="2202">
        <f>SUM(AC229)</f>
        <v>307101</v>
      </c>
      <c r="AD235" s="3279">
        <v>86875</v>
      </c>
      <c r="AE235" s="3279">
        <v>2145</v>
      </c>
      <c r="AF235" s="3279">
        <v>12718</v>
      </c>
      <c r="AG235" s="3279">
        <v>26</v>
      </c>
      <c r="AH235" s="3279">
        <v>37</v>
      </c>
      <c r="AI235" s="3279" t="s">
        <v>1811</v>
      </c>
      <c r="AJ235" s="3279" t="s">
        <v>1811</v>
      </c>
      <c r="AK235" s="3279">
        <v>53164</v>
      </c>
      <c r="AL235" s="3279">
        <v>16982</v>
      </c>
      <c r="AM235" s="3279">
        <v>60013</v>
      </c>
      <c r="AN235" s="3279">
        <v>575010</v>
      </c>
      <c r="AO235" s="3285">
        <v>43101</v>
      </c>
      <c r="AP235" s="3285">
        <v>43465</v>
      </c>
      <c r="AQ235" s="3288" t="s">
        <v>1812</v>
      </c>
    </row>
    <row r="236" spans="1:43" ht="45" x14ac:dyDescent="0.2">
      <c r="A236" s="1556"/>
      <c r="B236" s="1557"/>
      <c r="C236" s="1558"/>
      <c r="D236" s="1557"/>
      <c r="E236" s="1557"/>
      <c r="F236" s="1558"/>
      <c r="G236" s="1557"/>
      <c r="H236" s="1557"/>
      <c r="I236" s="1558"/>
      <c r="J236" s="3268"/>
      <c r="K236" s="3271"/>
      <c r="L236" s="3268"/>
      <c r="M236" s="3268"/>
      <c r="N236" s="1597" t="s">
        <v>2207</v>
      </c>
      <c r="O236" s="3268"/>
      <c r="P236" s="3271"/>
      <c r="Q236" s="2798"/>
      <c r="R236" s="2825"/>
      <c r="S236" s="3271"/>
      <c r="T236" s="3271"/>
      <c r="U236" s="1663" t="s">
        <v>2208</v>
      </c>
      <c r="V236" s="368">
        <v>50000000</v>
      </c>
      <c r="W236" s="1599">
        <v>72</v>
      </c>
      <c r="X236" s="1664" t="s">
        <v>2144</v>
      </c>
      <c r="Y236" s="3268"/>
      <c r="Z236" s="3268"/>
      <c r="AA236" s="3280"/>
      <c r="AB236" s="3280"/>
      <c r="AC236" s="3280"/>
      <c r="AD236" s="3280"/>
      <c r="AE236" s="3280"/>
      <c r="AF236" s="3280"/>
      <c r="AG236" s="3280"/>
      <c r="AH236" s="3280"/>
      <c r="AI236" s="3280"/>
      <c r="AJ236" s="3280"/>
      <c r="AK236" s="3280"/>
      <c r="AL236" s="3280"/>
      <c r="AM236" s="3280"/>
      <c r="AN236" s="3280"/>
      <c r="AO236" s="3286"/>
      <c r="AP236" s="3286"/>
      <c r="AQ236" s="3289"/>
    </row>
    <row r="237" spans="1:43" ht="30" x14ac:dyDescent="0.2">
      <c r="A237" s="1556"/>
      <c r="B237" s="1557"/>
      <c r="C237" s="1558"/>
      <c r="D237" s="1557"/>
      <c r="E237" s="1557"/>
      <c r="F237" s="1558"/>
      <c r="G237" s="1557"/>
      <c r="H237" s="1557"/>
      <c r="I237" s="1558"/>
      <c r="J237" s="3268"/>
      <c r="K237" s="3271"/>
      <c r="L237" s="3268"/>
      <c r="M237" s="3268"/>
      <c r="N237" s="1597"/>
      <c r="O237" s="3268"/>
      <c r="P237" s="3271"/>
      <c r="Q237" s="2798"/>
      <c r="R237" s="2825"/>
      <c r="S237" s="3271"/>
      <c r="T237" s="3271"/>
      <c r="U237" s="1663" t="s">
        <v>2209</v>
      </c>
      <c r="V237" s="368">
        <v>30000000</v>
      </c>
      <c r="W237" s="1599"/>
      <c r="X237" s="1664"/>
      <c r="Y237" s="3268"/>
      <c r="Z237" s="3268"/>
      <c r="AA237" s="3280"/>
      <c r="AB237" s="3280"/>
      <c r="AC237" s="3280"/>
      <c r="AD237" s="3280"/>
      <c r="AE237" s="3280"/>
      <c r="AF237" s="3280"/>
      <c r="AG237" s="3280"/>
      <c r="AH237" s="3280"/>
      <c r="AI237" s="3280"/>
      <c r="AJ237" s="3280"/>
      <c r="AK237" s="3280"/>
      <c r="AL237" s="3280"/>
      <c r="AM237" s="3280"/>
      <c r="AN237" s="3280"/>
      <c r="AO237" s="3286"/>
      <c r="AP237" s="3286"/>
      <c r="AQ237" s="3289"/>
    </row>
    <row r="238" spans="1:43" ht="30" x14ac:dyDescent="0.2">
      <c r="A238" s="1556"/>
      <c r="B238" s="1557"/>
      <c r="C238" s="1558"/>
      <c r="D238" s="1557"/>
      <c r="E238" s="1557"/>
      <c r="F238" s="1558"/>
      <c r="G238" s="1557"/>
      <c r="H238" s="1557"/>
      <c r="I238" s="1558"/>
      <c r="J238" s="3268"/>
      <c r="K238" s="3271"/>
      <c r="L238" s="3268"/>
      <c r="M238" s="3268"/>
      <c r="N238" s="1597"/>
      <c r="O238" s="3268"/>
      <c r="P238" s="3271"/>
      <c r="Q238" s="2798"/>
      <c r="R238" s="2825"/>
      <c r="S238" s="3271"/>
      <c r="T238" s="3271"/>
      <c r="U238" s="1663" t="s">
        <v>2210</v>
      </c>
      <c r="V238" s="368">
        <v>24000000</v>
      </c>
      <c r="W238" s="1599"/>
      <c r="X238" s="1664"/>
      <c r="Y238" s="3268"/>
      <c r="Z238" s="3268"/>
      <c r="AA238" s="3280"/>
      <c r="AB238" s="3280"/>
      <c r="AC238" s="3280"/>
      <c r="AD238" s="3280"/>
      <c r="AE238" s="3280"/>
      <c r="AF238" s="3280"/>
      <c r="AG238" s="3280"/>
      <c r="AH238" s="3280"/>
      <c r="AI238" s="3280"/>
      <c r="AJ238" s="3280"/>
      <c r="AK238" s="3280"/>
      <c r="AL238" s="3280"/>
      <c r="AM238" s="3280"/>
      <c r="AN238" s="3280"/>
      <c r="AO238" s="3286"/>
      <c r="AP238" s="3286"/>
      <c r="AQ238" s="3289"/>
    </row>
    <row r="239" spans="1:43" ht="45" x14ac:dyDescent="0.2">
      <c r="A239" s="1556"/>
      <c r="B239" s="1557"/>
      <c r="C239" s="1558"/>
      <c r="D239" s="1557"/>
      <c r="E239" s="1557"/>
      <c r="F239" s="1558"/>
      <c r="G239" s="1557"/>
      <c r="H239" s="1557"/>
      <c r="I239" s="1558"/>
      <c r="J239" s="3268"/>
      <c r="K239" s="3271"/>
      <c r="L239" s="3268"/>
      <c r="M239" s="3268"/>
      <c r="N239" s="1597"/>
      <c r="O239" s="3268"/>
      <c r="P239" s="3271"/>
      <c r="Q239" s="2798"/>
      <c r="R239" s="2825"/>
      <c r="S239" s="3271"/>
      <c r="T239" s="3271"/>
      <c r="U239" s="1663" t="s">
        <v>2211</v>
      </c>
      <c r="V239" s="368">
        <v>100000000</v>
      </c>
      <c r="W239" s="1599"/>
      <c r="X239" s="1664"/>
      <c r="Y239" s="3268"/>
      <c r="Z239" s="3268"/>
      <c r="AA239" s="3280"/>
      <c r="AB239" s="3280"/>
      <c r="AC239" s="3280"/>
      <c r="AD239" s="3280"/>
      <c r="AE239" s="3280"/>
      <c r="AF239" s="3280"/>
      <c r="AG239" s="3280"/>
      <c r="AH239" s="3280"/>
      <c r="AI239" s="3280"/>
      <c r="AJ239" s="3280"/>
      <c r="AK239" s="3280"/>
      <c r="AL239" s="3280"/>
      <c r="AM239" s="3280"/>
      <c r="AN239" s="3280"/>
      <c r="AO239" s="3286"/>
      <c r="AP239" s="3286"/>
      <c r="AQ239" s="3289"/>
    </row>
    <row r="240" spans="1:43" ht="30" x14ac:dyDescent="0.2">
      <c r="A240" s="1556"/>
      <c r="B240" s="1557"/>
      <c r="C240" s="1558"/>
      <c r="D240" s="1557"/>
      <c r="E240" s="1557"/>
      <c r="F240" s="1558"/>
      <c r="G240" s="1557"/>
      <c r="H240" s="1557"/>
      <c r="I240" s="1558"/>
      <c r="J240" s="3268"/>
      <c r="K240" s="3271"/>
      <c r="L240" s="3268"/>
      <c r="M240" s="3268"/>
      <c r="N240" s="1597"/>
      <c r="O240" s="3268"/>
      <c r="P240" s="3271"/>
      <c r="Q240" s="2798"/>
      <c r="R240" s="2825"/>
      <c r="S240" s="3271"/>
      <c r="T240" s="3271"/>
      <c r="U240" s="1663" t="s">
        <v>2212</v>
      </c>
      <c r="V240" s="368">
        <v>124004444</v>
      </c>
      <c r="W240" s="1599"/>
      <c r="X240" s="1664"/>
      <c r="Y240" s="3268"/>
      <c r="Z240" s="3268"/>
      <c r="AA240" s="3280"/>
      <c r="AB240" s="3280"/>
      <c r="AC240" s="3280"/>
      <c r="AD240" s="3280"/>
      <c r="AE240" s="3280"/>
      <c r="AF240" s="3280"/>
      <c r="AG240" s="3280"/>
      <c r="AH240" s="3280"/>
      <c r="AI240" s="3280"/>
      <c r="AJ240" s="3280"/>
      <c r="AK240" s="3280"/>
      <c r="AL240" s="3280"/>
      <c r="AM240" s="3280"/>
      <c r="AN240" s="3280"/>
      <c r="AO240" s="3286"/>
      <c r="AP240" s="3286"/>
      <c r="AQ240" s="3289"/>
    </row>
    <row r="241" spans="1:43" ht="45" x14ac:dyDescent="0.2">
      <c r="A241" s="1556"/>
      <c r="B241" s="1557"/>
      <c r="C241" s="1558"/>
      <c r="D241" s="1557"/>
      <c r="E241" s="1557"/>
      <c r="F241" s="1558"/>
      <c r="G241" s="1557"/>
      <c r="H241" s="1557"/>
      <c r="I241" s="1558"/>
      <c r="J241" s="3268"/>
      <c r="K241" s="3271"/>
      <c r="L241" s="3268"/>
      <c r="M241" s="3268"/>
      <c r="N241" s="1597" t="s">
        <v>2213</v>
      </c>
      <c r="O241" s="3268"/>
      <c r="P241" s="3271"/>
      <c r="Q241" s="2798"/>
      <c r="R241" s="2825"/>
      <c r="S241" s="3271"/>
      <c r="T241" s="3272"/>
      <c r="U241" s="1663" t="s">
        <v>2214</v>
      </c>
      <c r="V241" s="368">
        <v>20000000</v>
      </c>
      <c r="W241" s="1599">
        <v>20</v>
      </c>
      <c r="X241" s="1597" t="s">
        <v>72</v>
      </c>
      <c r="Y241" s="3268"/>
      <c r="Z241" s="3268"/>
      <c r="AA241" s="3280"/>
      <c r="AB241" s="3280"/>
      <c r="AC241" s="3280"/>
      <c r="AD241" s="3280"/>
      <c r="AE241" s="3280"/>
      <c r="AF241" s="3280"/>
      <c r="AG241" s="3280"/>
      <c r="AH241" s="3280"/>
      <c r="AI241" s="3280"/>
      <c r="AJ241" s="3280"/>
      <c r="AK241" s="3280"/>
      <c r="AL241" s="3280"/>
      <c r="AM241" s="3280"/>
      <c r="AN241" s="3280"/>
      <c r="AO241" s="3286"/>
      <c r="AP241" s="3286"/>
      <c r="AQ241" s="3289"/>
    </row>
    <row r="242" spans="1:43" ht="45" x14ac:dyDescent="0.2">
      <c r="A242" s="1556"/>
      <c r="B242" s="1557"/>
      <c r="C242" s="1558"/>
      <c r="D242" s="1557"/>
      <c r="E242" s="1557"/>
      <c r="F242" s="1558"/>
      <c r="G242" s="1564"/>
      <c r="H242" s="1564"/>
      <c r="I242" s="1565"/>
      <c r="J242" s="3269"/>
      <c r="K242" s="3272"/>
      <c r="L242" s="3269"/>
      <c r="M242" s="3269"/>
      <c r="N242" s="1603"/>
      <c r="O242" s="3269"/>
      <c r="P242" s="3272"/>
      <c r="Q242" s="2799"/>
      <c r="R242" s="2826"/>
      <c r="S242" s="3272"/>
      <c r="T242" s="1566" t="s">
        <v>2215</v>
      </c>
      <c r="U242" s="1665" t="s">
        <v>2216</v>
      </c>
      <c r="V242" s="368">
        <v>15000000</v>
      </c>
      <c r="W242" s="1606"/>
      <c r="X242" s="1666"/>
      <c r="Y242" s="3269"/>
      <c r="Z242" s="3269"/>
      <c r="AA242" s="3281"/>
      <c r="AB242" s="3281"/>
      <c r="AC242" s="3281"/>
      <c r="AD242" s="3281"/>
      <c r="AE242" s="3281"/>
      <c r="AF242" s="3281"/>
      <c r="AG242" s="3281"/>
      <c r="AH242" s="3281"/>
      <c r="AI242" s="3281"/>
      <c r="AJ242" s="3281"/>
      <c r="AK242" s="3281"/>
      <c r="AL242" s="3281"/>
      <c r="AM242" s="3281"/>
      <c r="AN242" s="3281"/>
      <c r="AO242" s="3287"/>
      <c r="AP242" s="3287"/>
      <c r="AQ242" s="3290"/>
    </row>
    <row r="243" spans="1:43" ht="36" customHeight="1" x14ac:dyDescent="0.2">
      <c r="A243" s="1518"/>
      <c r="B243" s="1519"/>
      <c r="C243" s="1520"/>
      <c r="D243" s="1519"/>
      <c r="E243" s="1519"/>
      <c r="F243" s="1520"/>
      <c r="G243" s="1551">
        <v>53</v>
      </c>
      <c r="H243" s="1524" t="s">
        <v>2217</v>
      </c>
      <c r="I243" s="1524"/>
      <c r="J243" s="1524"/>
      <c r="K243" s="1525"/>
      <c r="L243" s="1524"/>
      <c r="M243" s="1524"/>
      <c r="N243" s="1526"/>
      <c r="O243" s="1524"/>
      <c r="P243" s="1525"/>
      <c r="Q243" s="1524"/>
      <c r="R243" s="1552"/>
      <c r="S243" s="1524"/>
      <c r="T243" s="1525"/>
      <c r="U243" s="1525"/>
      <c r="V243" s="1553"/>
      <c r="W243" s="1554"/>
      <c r="X243" s="1526"/>
      <c r="Y243" s="1526"/>
      <c r="Z243" s="1526"/>
      <c r="AA243" s="1667"/>
      <c r="AB243" s="1667"/>
      <c r="AC243" s="1668"/>
      <c r="AD243" s="1667"/>
      <c r="AE243" s="1667"/>
      <c r="AF243" s="1667"/>
      <c r="AG243" s="1667"/>
      <c r="AH243" s="1652"/>
      <c r="AI243" s="1667"/>
      <c r="AJ243" s="1668"/>
      <c r="AK243" s="1667"/>
      <c r="AL243" s="1667"/>
      <c r="AM243" s="1668"/>
      <c r="AN243" s="1667"/>
      <c r="AO243" s="1524"/>
      <c r="AP243" s="1524"/>
      <c r="AQ243" s="1531"/>
    </row>
    <row r="244" spans="1:43" ht="51.75" customHeight="1" x14ac:dyDescent="0.2">
      <c r="A244" s="1532"/>
      <c r="B244" s="1533"/>
      <c r="C244" s="1534"/>
      <c r="D244" s="1533"/>
      <c r="E244" s="1533"/>
      <c r="F244" s="1534"/>
      <c r="G244" s="1536"/>
      <c r="H244" s="1536"/>
      <c r="I244" s="1537"/>
      <c r="J244" s="3267">
        <v>173</v>
      </c>
      <c r="K244" s="3270" t="s">
        <v>2218</v>
      </c>
      <c r="L244" s="3267" t="s">
        <v>1804</v>
      </c>
      <c r="M244" s="3267">
        <v>7</v>
      </c>
      <c r="N244" s="3267" t="s">
        <v>2219</v>
      </c>
      <c r="O244" s="3267">
        <v>158</v>
      </c>
      <c r="P244" s="3270" t="s">
        <v>2220</v>
      </c>
      <c r="Q244" s="2797">
        <f>+(V244+V245+V246+V247+V248+V249+V250+V251)/R244</f>
        <v>1</v>
      </c>
      <c r="R244" s="2824">
        <f>SUM(V244:V252)</f>
        <v>35436120</v>
      </c>
      <c r="S244" s="3270" t="s">
        <v>2221</v>
      </c>
      <c r="T244" s="3282" t="s">
        <v>2222</v>
      </c>
      <c r="U244" s="1669" t="s">
        <v>2223</v>
      </c>
      <c r="V244" s="1415">
        <v>2859030</v>
      </c>
      <c r="W244" s="3292">
        <v>72</v>
      </c>
      <c r="X244" s="3267" t="s">
        <v>2144</v>
      </c>
      <c r="Y244" s="3267">
        <v>292684</v>
      </c>
      <c r="Z244" s="3267">
        <v>282326</v>
      </c>
      <c r="AA244" s="3279">
        <v>135912</v>
      </c>
      <c r="AB244" s="3279">
        <v>45122</v>
      </c>
      <c r="AC244" s="3279">
        <f t="shared" ref="AC244:AD244" si="4">AC235</f>
        <v>307101</v>
      </c>
      <c r="AD244" s="3279">
        <f t="shared" si="4"/>
        <v>86875</v>
      </c>
      <c r="AE244" s="3279">
        <v>2145</v>
      </c>
      <c r="AF244" s="3279">
        <v>12718</v>
      </c>
      <c r="AG244" s="3279">
        <v>26</v>
      </c>
      <c r="AH244" s="3279">
        <v>37</v>
      </c>
      <c r="AI244" s="3279" t="s">
        <v>1811</v>
      </c>
      <c r="AJ244" s="3279" t="s">
        <v>1811</v>
      </c>
      <c r="AK244" s="3279">
        <v>53164</v>
      </c>
      <c r="AL244" s="3279">
        <v>16982</v>
      </c>
      <c r="AM244" s="3279">
        <v>60013</v>
      </c>
      <c r="AN244" s="3279">
        <v>575010</v>
      </c>
      <c r="AO244" s="3285">
        <v>43101</v>
      </c>
      <c r="AP244" s="3285">
        <v>43465</v>
      </c>
      <c r="AQ244" s="3288" t="s">
        <v>1812</v>
      </c>
    </row>
    <row r="245" spans="1:43" ht="66" customHeight="1" x14ac:dyDescent="0.2">
      <c r="A245" s="1532"/>
      <c r="B245" s="1533"/>
      <c r="C245" s="1534"/>
      <c r="D245" s="1533"/>
      <c r="E245" s="1533"/>
      <c r="F245" s="1534"/>
      <c r="G245" s="1533"/>
      <c r="H245" s="1533"/>
      <c r="I245" s="1534"/>
      <c r="J245" s="3268"/>
      <c r="K245" s="3271"/>
      <c r="L245" s="3268"/>
      <c r="M245" s="3268"/>
      <c r="N245" s="3268"/>
      <c r="O245" s="3268"/>
      <c r="P245" s="3271"/>
      <c r="Q245" s="2798"/>
      <c r="R245" s="2825"/>
      <c r="S245" s="3271"/>
      <c r="T245" s="3283"/>
      <c r="U245" s="1669" t="s">
        <v>2224</v>
      </c>
      <c r="V245" s="1415">
        <v>2000000</v>
      </c>
      <c r="W245" s="3293"/>
      <c r="X245" s="3268"/>
      <c r="Y245" s="3268"/>
      <c r="Z245" s="3268"/>
      <c r="AA245" s="3280"/>
      <c r="AB245" s="3280"/>
      <c r="AC245" s="3280"/>
      <c r="AD245" s="3280"/>
      <c r="AE245" s="3280"/>
      <c r="AF245" s="3280"/>
      <c r="AG245" s="3280"/>
      <c r="AH245" s="3280"/>
      <c r="AI245" s="3280"/>
      <c r="AJ245" s="3280"/>
      <c r="AK245" s="3280"/>
      <c r="AL245" s="3280"/>
      <c r="AM245" s="3280"/>
      <c r="AN245" s="3280"/>
      <c r="AO245" s="3286"/>
      <c r="AP245" s="3286"/>
      <c r="AQ245" s="3289"/>
    </row>
    <row r="246" spans="1:43" ht="45" x14ac:dyDescent="0.2">
      <c r="A246" s="1532"/>
      <c r="B246" s="1533"/>
      <c r="C246" s="1534"/>
      <c r="D246" s="1533"/>
      <c r="E246" s="1533"/>
      <c r="F246" s="1534"/>
      <c r="G246" s="1533"/>
      <c r="H246" s="1533"/>
      <c r="I246" s="1534"/>
      <c r="J246" s="3268"/>
      <c r="K246" s="3271"/>
      <c r="L246" s="3268"/>
      <c r="M246" s="3268"/>
      <c r="N246" s="3268"/>
      <c r="O246" s="3268"/>
      <c r="P246" s="3271"/>
      <c r="Q246" s="2798"/>
      <c r="R246" s="2825"/>
      <c r="S246" s="3271"/>
      <c r="T246" s="3283"/>
      <c r="U246" s="1669" t="s">
        <v>2225</v>
      </c>
      <c r="V246" s="1415">
        <v>2000000</v>
      </c>
      <c r="W246" s="3293"/>
      <c r="X246" s="3268"/>
      <c r="Y246" s="3268"/>
      <c r="Z246" s="3268"/>
      <c r="AA246" s="3280"/>
      <c r="AB246" s="3280"/>
      <c r="AC246" s="3280"/>
      <c r="AD246" s="3280"/>
      <c r="AE246" s="3280"/>
      <c r="AF246" s="3280"/>
      <c r="AG246" s="3280"/>
      <c r="AH246" s="3280"/>
      <c r="AI246" s="3280"/>
      <c r="AJ246" s="3280"/>
      <c r="AK246" s="3280"/>
      <c r="AL246" s="3280"/>
      <c r="AM246" s="3280"/>
      <c r="AN246" s="3280"/>
      <c r="AO246" s="3286"/>
      <c r="AP246" s="3286"/>
      <c r="AQ246" s="3289"/>
    </row>
    <row r="247" spans="1:43" ht="60" x14ac:dyDescent="0.2">
      <c r="A247" s="1532"/>
      <c r="B247" s="1533"/>
      <c r="C247" s="1534"/>
      <c r="D247" s="1533"/>
      <c r="E247" s="1533"/>
      <c r="F247" s="1534"/>
      <c r="G247" s="1533"/>
      <c r="H247" s="1533"/>
      <c r="I247" s="1534"/>
      <c r="J247" s="3268"/>
      <c r="K247" s="3271"/>
      <c r="L247" s="3268"/>
      <c r="M247" s="3268"/>
      <c r="N247" s="3268"/>
      <c r="O247" s="3268"/>
      <c r="P247" s="3271"/>
      <c r="Q247" s="2798"/>
      <c r="R247" s="2825"/>
      <c r="S247" s="3271"/>
      <c r="T247" s="3283"/>
      <c r="U247" s="1669" t="s">
        <v>2226</v>
      </c>
      <c r="V247" s="1415">
        <v>2000000</v>
      </c>
      <c r="W247" s="3293"/>
      <c r="X247" s="3268"/>
      <c r="Y247" s="3268"/>
      <c r="Z247" s="3268"/>
      <c r="AA247" s="3280"/>
      <c r="AB247" s="3280"/>
      <c r="AC247" s="3280"/>
      <c r="AD247" s="3280"/>
      <c r="AE247" s="3280"/>
      <c r="AF247" s="3280"/>
      <c r="AG247" s="3280"/>
      <c r="AH247" s="3280"/>
      <c r="AI247" s="3280"/>
      <c r="AJ247" s="3280"/>
      <c r="AK247" s="3280"/>
      <c r="AL247" s="3280"/>
      <c r="AM247" s="3280"/>
      <c r="AN247" s="3280"/>
      <c r="AO247" s="3286"/>
      <c r="AP247" s="3286"/>
      <c r="AQ247" s="3289"/>
    </row>
    <row r="248" spans="1:43" ht="45" x14ac:dyDescent="0.2">
      <c r="A248" s="1532"/>
      <c r="B248" s="1533"/>
      <c r="C248" s="1534"/>
      <c r="D248" s="1533"/>
      <c r="E248" s="1533"/>
      <c r="F248" s="1534"/>
      <c r="G248" s="1533"/>
      <c r="H248" s="1533"/>
      <c r="I248" s="1534"/>
      <c r="J248" s="3268"/>
      <c r="K248" s="3271"/>
      <c r="L248" s="3268"/>
      <c r="M248" s="3268"/>
      <c r="N248" s="3268"/>
      <c r="O248" s="3268"/>
      <c r="P248" s="3271"/>
      <c r="Q248" s="2798"/>
      <c r="R248" s="2825"/>
      <c r="S248" s="3271"/>
      <c r="T248" s="3284"/>
      <c r="U248" s="1669" t="s">
        <v>2227</v>
      </c>
      <c r="V248" s="1415">
        <v>17718060</v>
      </c>
      <c r="W248" s="3293"/>
      <c r="X248" s="3268"/>
      <c r="Y248" s="3268"/>
      <c r="Z248" s="3268"/>
      <c r="AA248" s="3280"/>
      <c r="AB248" s="3280"/>
      <c r="AC248" s="3280"/>
      <c r="AD248" s="3280"/>
      <c r="AE248" s="3280"/>
      <c r="AF248" s="3280"/>
      <c r="AG248" s="3280"/>
      <c r="AH248" s="3280"/>
      <c r="AI248" s="3280"/>
      <c r="AJ248" s="3280"/>
      <c r="AK248" s="3280"/>
      <c r="AL248" s="3280"/>
      <c r="AM248" s="3280"/>
      <c r="AN248" s="3280"/>
      <c r="AO248" s="3286"/>
      <c r="AP248" s="3286"/>
      <c r="AQ248" s="3289"/>
    </row>
    <row r="249" spans="1:43" ht="51" customHeight="1" x14ac:dyDescent="0.2">
      <c r="A249" s="1532"/>
      <c r="B249" s="1533"/>
      <c r="C249" s="1534"/>
      <c r="D249" s="1533"/>
      <c r="E249" s="1533"/>
      <c r="F249" s="1534"/>
      <c r="G249" s="1533"/>
      <c r="H249" s="1533"/>
      <c r="I249" s="1534"/>
      <c r="J249" s="3268"/>
      <c r="K249" s="3271"/>
      <c r="L249" s="3268"/>
      <c r="M249" s="3268"/>
      <c r="N249" s="3268"/>
      <c r="O249" s="3268"/>
      <c r="P249" s="3271"/>
      <c r="Q249" s="2798"/>
      <c r="R249" s="2825"/>
      <c r="S249" s="3271"/>
      <c r="T249" s="3282" t="s">
        <v>2228</v>
      </c>
      <c r="U249" s="1669" t="s">
        <v>2229</v>
      </c>
      <c r="V249" s="1415">
        <v>3859030</v>
      </c>
      <c r="W249" s="3293"/>
      <c r="X249" s="3268"/>
      <c r="Y249" s="3268"/>
      <c r="Z249" s="3268"/>
      <c r="AA249" s="3280"/>
      <c r="AB249" s="3280"/>
      <c r="AC249" s="3280"/>
      <c r="AD249" s="3280"/>
      <c r="AE249" s="3280"/>
      <c r="AF249" s="3280"/>
      <c r="AG249" s="3280"/>
      <c r="AH249" s="3280"/>
      <c r="AI249" s="3280"/>
      <c r="AJ249" s="3280"/>
      <c r="AK249" s="3280"/>
      <c r="AL249" s="3280"/>
      <c r="AM249" s="3280"/>
      <c r="AN249" s="3280"/>
      <c r="AO249" s="3286"/>
      <c r="AP249" s="3286"/>
      <c r="AQ249" s="3289"/>
    </row>
    <row r="250" spans="1:43" ht="82.5" customHeight="1" x14ac:dyDescent="0.2">
      <c r="A250" s="1532"/>
      <c r="B250" s="1533"/>
      <c r="C250" s="1534"/>
      <c r="D250" s="1533"/>
      <c r="E250" s="1533"/>
      <c r="F250" s="1534"/>
      <c r="G250" s="1533"/>
      <c r="H250" s="1533"/>
      <c r="I250" s="1534"/>
      <c r="J250" s="3268"/>
      <c r="K250" s="3271"/>
      <c r="L250" s="3268"/>
      <c r="M250" s="3268"/>
      <c r="N250" s="3268"/>
      <c r="O250" s="3268"/>
      <c r="P250" s="3271"/>
      <c r="Q250" s="2798"/>
      <c r="R250" s="2825"/>
      <c r="S250" s="3271"/>
      <c r="T250" s="3284"/>
      <c r="U250" s="1669" t="s">
        <v>2230</v>
      </c>
      <c r="V250" s="1415">
        <v>2000000</v>
      </c>
      <c r="W250" s="3293"/>
      <c r="X250" s="3268"/>
      <c r="Y250" s="3268"/>
      <c r="Z250" s="3268"/>
      <c r="AA250" s="3280"/>
      <c r="AB250" s="3280"/>
      <c r="AC250" s="3280"/>
      <c r="AD250" s="3280"/>
      <c r="AE250" s="3280"/>
      <c r="AF250" s="3280"/>
      <c r="AG250" s="3280"/>
      <c r="AH250" s="3280"/>
      <c r="AI250" s="3280"/>
      <c r="AJ250" s="3280"/>
      <c r="AK250" s="3280"/>
      <c r="AL250" s="3280"/>
      <c r="AM250" s="3280"/>
      <c r="AN250" s="3280"/>
      <c r="AO250" s="3286"/>
      <c r="AP250" s="3286"/>
      <c r="AQ250" s="3289"/>
    </row>
    <row r="251" spans="1:43" ht="58.5" customHeight="1" x14ac:dyDescent="0.2">
      <c r="A251" s="1532"/>
      <c r="B251" s="1533"/>
      <c r="C251" s="1534"/>
      <c r="D251" s="1533"/>
      <c r="E251" s="1533"/>
      <c r="F251" s="1534"/>
      <c r="G251" s="1533"/>
      <c r="H251" s="1533"/>
      <c r="I251" s="1534"/>
      <c r="J251" s="3268"/>
      <c r="K251" s="3271"/>
      <c r="L251" s="3268"/>
      <c r="M251" s="3268"/>
      <c r="N251" s="3268"/>
      <c r="O251" s="3268"/>
      <c r="P251" s="3271"/>
      <c r="Q251" s="2798"/>
      <c r="R251" s="2825"/>
      <c r="S251" s="3271"/>
      <c r="T251" s="1637" t="s">
        <v>2231</v>
      </c>
      <c r="U251" s="1669" t="s">
        <v>2232</v>
      </c>
      <c r="V251" s="1415">
        <v>3000000</v>
      </c>
      <c r="W251" s="3293"/>
      <c r="X251" s="3268"/>
      <c r="Y251" s="3268"/>
      <c r="Z251" s="3268"/>
      <c r="AA251" s="3280"/>
      <c r="AB251" s="3280"/>
      <c r="AC251" s="3280"/>
      <c r="AD251" s="3280"/>
      <c r="AE251" s="3280"/>
      <c r="AF251" s="3280"/>
      <c r="AG251" s="3280"/>
      <c r="AH251" s="3280"/>
      <c r="AI251" s="3280"/>
      <c r="AJ251" s="3280"/>
      <c r="AK251" s="3280"/>
      <c r="AL251" s="3280"/>
      <c r="AM251" s="3280"/>
      <c r="AN251" s="3280"/>
      <c r="AO251" s="3286"/>
      <c r="AP251" s="3286"/>
      <c r="AQ251" s="3289"/>
    </row>
    <row r="252" spans="1:43" ht="66.75" customHeight="1" x14ac:dyDescent="0.2">
      <c r="A252" s="1653"/>
      <c r="B252" s="1654"/>
      <c r="C252" s="1655"/>
      <c r="D252" s="1654"/>
      <c r="E252" s="1654"/>
      <c r="F252" s="1655"/>
      <c r="G252" s="1670"/>
      <c r="H252" s="1670"/>
      <c r="I252" s="1671"/>
      <c r="J252" s="1608">
        <v>174</v>
      </c>
      <c r="K252" s="1566" t="s">
        <v>2233</v>
      </c>
      <c r="L252" s="1608" t="s">
        <v>1804</v>
      </c>
      <c r="M252" s="1608">
        <v>150</v>
      </c>
      <c r="N252" s="3269"/>
      <c r="O252" s="3269"/>
      <c r="P252" s="3272"/>
      <c r="Q252" s="1419">
        <v>0.1</v>
      </c>
      <c r="R252" s="2826"/>
      <c r="S252" s="3272"/>
      <c r="T252" s="1637" t="s">
        <v>2234</v>
      </c>
      <c r="U252" s="1566" t="s">
        <v>2235</v>
      </c>
      <c r="V252" s="1415">
        <v>0</v>
      </c>
      <c r="W252" s="3294"/>
      <c r="X252" s="3269"/>
      <c r="Y252" s="3269"/>
      <c r="Z252" s="3269"/>
      <c r="AA252" s="3281"/>
      <c r="AB252" s="3281"/>
      <c r="AC252" s="3281"/>
      <c r="AD252" s="3281"/>
      <c r="AE252" s="3281"/>
      <c r="AF252" s="3281"/>
      <c r="AG252" s="3281"/>
      <c r="AH252" s="3281"/>
      <c r="AI252" s="3281"/>
      <c r="AJ252" s="3281"/>
      <c r="AK252" s="3281"/>
      <c r="AL252" s="3281"/>
      <c r="AM252" s="3281"/>
      <c r="AN252" s="3281"/>
      <c r="AO252" s="3287"/>
      <c r="AP252" s="3287"/>
      <c r="AQ252" s="3290"/>
    </row>
    <row r="253" spans="1:43" ht="36" customHeight="1" x14ac:dyDescent="0.2">
      <c r="A253" s="1518"/>
      <c r="B253" s="1519"/>
      <c r="C253" s="1520"/>
      <c r="D253" s="1519"/>
      <c r="E253" s="1519"/>
      <c r="F253" s="1520"/>
      <c r="G253" s="1629">
        <v>54</v>
      </c>
      <c r="H253" s="1630" t="s">
        <v>2236</v>
      </c>
      <c r="I253" s="1630"/>
      <c r="J253" s="1524"/>
      <c r="K253" s="1525"/>
      <c r="L253" s="1524"/>
      <c r="M253" s="1524"/>
      <c r="N253" s="1526"/>
      <c r="O253" s="1524"/>
      <c r="P253" s="1525"/>
      <c r="Q253" s="1524"/>
      <c r="R253" s="1552"/>
      <c r="S253" s="1524"/>
      <c r="T253" s="1525"/>
      <c r="U253" s="1525"/>
      <c r="V253" s="1553"/>
      <c r="W253" s="1554"/>
      <c r="X253" s="1526"/>
      <c r="Y253" s="1526"/>
      <c r="Z253" s="1526"/>
      <c r="AA253" s="1667"/>
      <c r="AB253" s="1667"/>
      <c r="AC253" s="1668"/>
      <c r="AD253" s="1667"/>
      <c r="AE253" s="1667"/>
      <c r="AF253" s="1667"/>
      <c r="AG253" s="1667"/>
      <c r="AH253" s="1652"/>
      <c r="AI253" s="1667"/>
      <c r="AJ253" s="1668"/>
      <c r="AK253" s="1667"/>
      <c r="AL253" s="1667"/>
      <c r="AM253" s="1668"/>
      <c r="AN253" s="1667"/>
      <c r="AO253" s="1524"/>
      <c r="AP253" s="1524"/>
      <c r="AQ253" s="1531"/>
    </row>
    <row r="254" spans="1:43" ht="64.5" customHeight="1" x14ac:dyDescent="0.2">
      <c r="A254" s="1532"/>
      <c r="B254" s="1533"/>
      <c r="C254" s="1534"/>
      <c r="D254" s="1533"/>
      <c r="E254" s="1533"/>
      <c r="F254" s="1533"/>
      <c r="G254" s="1535"/>
      <c r="H254" s="1536"/>
      <c r="I254" s="1537"/>
      <c r="J254" s="3326">
        <v>175</v>
      </c>
      <c r="K254" s="3332" t="s">
        <v>2237</v>
      </c>
      <c r="L254" s="3326" t="s">
        <v>1804</v>
      </c>
      <c r="M254" s="3326">
        <v>14</v>
      </c>
      <c r="N254" s="3326" t="s">
        <v>2238</v>
      </c>
      <c r="O254" s="3326">
        <v>159</v>
      </c>
      <c r="P254" s="3329" t="s">
        <v>2239</v>
      </c>
      <c r="Q254" s="2180">
        <v>1</v>
      </c>
      <c r="R254" s="2861">
        <f>+V254</f>
        <v>173817720</v>
      </c>
      <c r="S254" s="3329" t="s">
        <v>2240</v>
      </c>
      <c r="T254" s="3391" t="s">
        <v>2241</v>
      </c>
      <c r="U254" s="1669" t="s">
        <v>2242</v>
      </c>
      <c r="V254" s="1672">
        <v>173817720</v>
      </c>
      <c r="W254" s="3392">
        <v>72</v>
      </c>
      <c r="X254" s="3363" t="s">
        <v>2144</v>
      </c>
      <c r="Y254" s="3291">
        <v>292684</v>
      </c>
      <c r="Z254" s="3291">
        <v>282326</v>
      </c>
      <c r="AA254" s="3386">
        <v>135912</v>
      </c>
      <c r="AB254" s="3386">
        <v>45122</v>
      </c>
      <c r="AC254" s="3386">
        <f t="shared" ref="AC254:AD254" si="5">AC244</f>
        <v>307101</v>
      </c>
      <c r="AD254" s="3386">
        <f t="shared" si="5"/>
        <v>86875</v>
      </c>
      <c r="AE254" s="3386">
        <v>2145</v>
      </c>
      <c r="AF254" s="3386">
        <v>12718</v>
      </c>
      <c r="AG254" s="3386">
        <v>26</v>
      </c>
      <c r="AH254" s="3386">
        <v>37</v>
      </c>
      <c r="AI254" s="3386" t="s">
        <v>1811</v>
      </c>
      <c r="AJ254" s="3386" t="s">
        <v>1811</v>
      </c>
      <c r="AK254" s="3386">
        <v>53164</v>
      </c>
      <c r="AL254" s="3386">
        <v>16982</v>
      </c>
      <c r="AM254" s="3386">
        <v>60013</v>
      </c>
      <c r="AN254" s="3301">
        <v>575010</v>
      </c>
      <c r="AO254" s="3387">
        <v>43101</v>
      </c>
      <c r="AP254" s="3387">
        <v>43465</v>
      </c>
      <c r="AQ254" s="3288" t="s">
        <v>1812</v>
      </c>
    </row>
    <row r="255" spans="1:43" ht="48" customHeight="1" x14ac:dyDescent="0.2">
      <c r="A255" s="1532"/>
      <c r="B255" s="1533"/>
      <c r="C255" s="1534"/>
      <c r="D255" s="1533"/>
      <c r="E255" s="1533"/>
      <c r="F255" s="1533"/>
      <c r="G255" s="1540"/>
      <c r="H255" s="1533"/>
      <c r="I255" s="1534"/>
      <c r="J255" s="3327"/>
      <c r="K255" s="3333"/>
      <c r="L255" s="3327"/>
      <c r="M255" s="3327"/>
      <c r="N255" s="3327"/>
      <c r="O255" s="3327"/>
      <c r="P255" s="3330"/>
      <c r="Q255" s="2180"/>
      <c r="R255" s="2861"/>
      <c r="S255" s="3330"/>
      <c r="T255" s="3391"/>
      <c r="U255" s="1669" t="s">
        <v>2243</v>
      </c>
      <c r="V255" s="368">
        <v>0</v>
      </c>
      <c r="W255" s="3392"/>
      <c r="X255" s="3393"/>
      <c r="Y255" s="3291"/>
      <c r="Z255" s="3291"/>
      <c r="AA255" s="3386"/>
      <c r="AB255" s="3386"/>
      <c r="AC255" s="3386"/>
      <c r="AD255" s="3386"/>
      <c r="AE255" s="3386"/>
      <c r="AF255" s="3386"/>
      <c r="AG255" s="3386"/>
      <c r="AH255" s="3386"/>
      <c r="AI255" s="3386"/>
      <c r="AJ255" s="3386"/>
      <c r="AK255" s="3386"/>
      <c r="AL255" s="3386"/>
      <c r="AM255" s="3386"/>
      <c r="AN255" s="3302"/>
      <c r="AO255" s="3386"/>
      <c r="AP255" s="3386"/>
      <c r="AQ255" s="3289"/>
    </row>
    <row r="256" spans="1:43" ht="66.75" customHeight="1" x14ac:dyDescent="0.2">
      <c r="A256" s="1532"/>
      <c r="B256" s="1533"/>
      <c r="C256" s="1534"/>
      <c r="D256" s="1542"/>
      <c r="E256" s="1542"/>
      <c r="F256" s="1542"/>
      <c r="G256" s="1540"/>
      <c r="H256" s="1533"/>
      <c r="I256" s="1534"/>
      <c r="J256" s="1673">
        <v>176</v>
      </c>
      <c r="K256" s="1674" t="s">
        <v>2244</v>
      </c>
      <c r="L256" s="1673" t="s">
        <v>182</v>
      </c>
      <c r="M256" s="1673">
        <v>2</v>
      </c>
      <c r="N256" s="3328"/>
      <c r="O256" s="3328"/>
      <c r="P256" s="3331"/>
      <c r="Q256" s="2180"/>
      <c r="R256" s="2861"/>
      <c r="S256" s="3330"/>
      <c r="T256" s="1675" t="s">
        <v>2245</v>
      </c>
      <c r="U256" s="1669" t="s">
        <v>2246</v>
      </c>
      <c r="V256" s="368">
        <v>0</v>
      </c>
      <c r="W256" s="3392"/>
      <c r="X256" s="3393"/>
      <c r="Y256" s="3291"/>
      <c r="Z256" s="3291"/>
      <c r="AA256" s="3386"/>
      <c r="AB256" s="3386"/>
      <c r="AC256" s="3386"/>
      <c r="AD256" s="3386"/>
      <c r="AE256" s="3386"/>
      <c r="AF256" s="3386"/>
      <c r="AG256" s="3386"/>
      <c r="AH256" s="3386"/>
      <c r="AI256" s="3386"/>
      <c r="AJ256" s="3386"/>
      <c r="AK256" s="3386"/>
      <c r="AL256" s="3386"/>
      <c r="AM256" s="3386"/>
      <c r="AN256" s="3303"/>
      <c r="AO256" s="3386"/>
      <c r="AP256" s="3386"/>
      <c r="AQ256" s="3290"/>
    </row>
    <row r="257" spans="1:347" ht="36" customHeight="1" x14ac:dyDescent="0.2">
      <c r="A257" s="1518"/>
      <c r="C257" s="1545"/>
      <c r="D257" s="1628">
        <v>15</v>
      </c>
      <c r="E257" s="1509" t="s">
        <v>2247</v>
      </c>
      <c r="F257" s="1509"/>
      <c r="G257" s="1614"/>
      <c r="H257" s="1614"/>
      <c r="I257" s="1614"/>
      <c r="J257" s="1510"/>
      <c r="K257" s="1511"/>
      <c r="L257" s="1510"/>
      <c r="M257" s="1510"/>
      <c r="N257" s="1512"/>
      <c r="O257" s="1510"/>
      <c r="P257" s="1511"/>
      <c r="Q257" s="1510"/>
      <c r="R257" s="488"/>
      <c r="S257" s="1510"/>
      <c r="T257" s="1511"/>
      <c r="U257" s="1511"/>
      <c r="V257" s="1549"/>
      <c r="W257" s="1550"/>
      <c r="X257" s="1512"/>
      <c r="Y257" s="1512"/>
      <c r="Z257" s="1512"/>
      <c r="AA257" s="1676"/>
      <c r="AB257" s="1676"/>
      <c r="AC257" s="1677"/>
      <c r="AD257" s="1676"/>
      <c r="AE257" s="1676"/>
      <c r="AF257" s="1676"/>
      <c r="AG257" s="1676"/>
      <c r="AH257" s="1678"/>
      <c r="AI257" s="1676"/>
      <c r="AJ257" s="1677"/>
      <c r="AK257" s="1676"/>
      <c r="AL257" s="1676"/>
      <c r="AM257" s="1677"/>
      <c r="AN257" s="1676"/>
      <c r="AO257" s="1510"/>
      <c r="AP257" s="1510"/>
      <c r="AQ257" s="1517"/>
    </row>
    <row r="258" spans="1:347" ht="36" customHeight="1" x14ac:dyDescent="0.2">
      <c r="A258" s="1518"/>
      <c r="B258" s="1519"/>
      <c r="C258" s="1520"/>
      <c r="D258" s="1521"/>
      <c r="E258" s="1521"/>
      <c r="F258" s="1522"/>
      <c r="G258" s="1551">
        <v>55</v>
      </c>
      <c r="H258" s="1524" t="s">
        <v>2248</v>
      </c>
      <c r="I258" s="1524"/>
      <c r="J258" s="1524"/>
      <c r="K258" s="1525"/>
      <c r="L258" s="1524"/>
      <c r="M258" s="1524"/>
      <c r="N258" s="1526"/>
      <c r="O258" s="1524"/>
      <c r="P258" s="1525"/>
      <c r="Q258" s="1524"/>
      <c r="R258" s="1552"/>
      <c r="S258" s="1524"/>
      <c r="T258" s="1525"/>
      <c r="U258" s="1525"/>
      <c r="V258" s="1553"/>
      <c r="W258" s="1554"/>
      <c r="X258" s="1679"/>
      <c r="Y258" s="1679"/>
      <c r="Z258" s="1679"/>
      <c r="AA258" s="1680"/>
      <c r="AB258" s="1680"/>
      <c r="AC258" s="1681"/>
      <c r="AD258" s="1680"/>
      <c r="AE258" s="1680"/>
      <c r="AF258" s="1680"/>
      <c r="AG258" s="1680"/>
      <c r="AH258" s="1682"/>
      <c r="AI258" s="1680"/>
      <c r="AJ258" s="1681"/>
      <c r="AK258" s="1680"/>
      <c r="AL258" s="1680"/>
      <c r="AM258" s="1681"/>
      <c r="AN258" s="1680"/>
      <c r="AO258" s="1524"/>
      <c r="AP258" s="1524"/>
      <c r="AQ258" s="1531"/>
    </row>
    <row r="259" spans="1:347" s="1539" customFormat="1" ht="75" customHeight="1" x14ac:dyDescent="0.2">
      <c r="A259" s="1556"/>
      <c r="B259" s="1557"/>
      <c r="C259" s="1558"/>
      <c r="D259" s="1557"/>
      <c r="E259" s="1557"/>
      <c r="F259" s="1558"/>
      <c r="G259" s="1560"/>
      <c r="H259" s="1560"/>
      <c r="I259" s="1561"/>
      <c r="J259" s="1603">
        <v>177</v>
      </c>
      <c r="K259" s="1580" t="s">
        <v>2249</v>
      </c>
      <c r="L259" s="1603" t="s">
        <v>1804</v>
      </c>
      <c r="M259" s="1603">
        <v>2</v>
      </c>
      <c r="N259" s="3267" t="s">
        <v>2250</v>
      </c>
      <c r="O259" s="3267">
        <v>160</v>
      </c>
      <c r="P259" s="3270" t="s">
        <v>2251</v>
      </c>
      <c r="Q259" s="1418">
        <v>0</v>
      </c>
      <c r="R259" s="2824">
        <f>SUM(V260:V264)</f>
        <v>157396240</v>
      </c>
      <c r="S259" s="3270" t="s">
        <v>2252</v>
      </c>
      <c r="T259" s="1662" t="s">
        <v>2253</v>
      </c>
      <c r="U259" s="1566" t="s">
        <v>2254</v>
      </c>
      <c r="V259" s="1416">
        <v>0</v>
      </c>
      <c r="W259" s="3384">
        <v>72</v>
      </c>
      <c r="X259" s="3267" t="s">
        <v>2144</v>
      </c>
      <c r="Y259" s="3267">
        <v>292684</v>
      </c>
      <c r="Z259" s="3267">
        <v>282326</v>
      </c>
      <c r="AA259" s="3279">
        <v>135912</v>
      </c>
      <c r="AB259" s="3279">
        <v>45122</v>
      </c>
      <c r="AC259" s="3279">
        <f>SUM(AC254)</f>
        <v>307101</v>
      </c>
      <c r="AD259" s="3279">
        <v>86875</v>
      </c>
      <c r="AE259" s="3279">
        <v>2145</v>
      </c>
      <c r="AF259" s="3279">
        <v>12718</v>
      </c>
      <c r="AG259" s="3279">
        <v>26</v>
      </c>
      <c r="AH259" s="3279">
        <v>37</v>
      </c>
      <c r="AI259" s="3279" t="s">
        <v>1811</v>
      </c>
      <c r="AJ259" s="3279" t="s">
        <v>1811</v>
      </c>
      <c r="AK259" s="3279">
        <v>53164</v>
      </c>
      <c r="AL259" s="3279">
        <v>16982</v>
      </c>
      <c r="AM259" s="3279">
        <v>60013</v>
      </c>
      <c r="AN259" s="3279">
        <v>575010</v>
      </c>
      <c r="AO259" s="3285">
        <v>43101</v>
      </c>
      <c r="AP259" s="3285">
        <v>43465</v>
      </c>
      <c r="AQ259" s="3288" t="s">
        <v>1812</v>
      </c>
    </row>
    <row r="260" spans="1:347" ht="45" x14ac:dyDescent="0.2">
      <c r="A260" s="1556"/>
      <c r="B260" s="1557"/>
      <c r="C260" s="1558"/>
      <c r="D260" s="1557"/>
      <c r="E260" s="1557"/>
      <c r="F260" s="1558"/>
      <c r="G260" s="1557"/>
      <c r="H260" s="1557"/>
      <c r="I260" s="1558"/>
      <c r="J260" s="3267">
        <v>178</v>
      </c>
      <c r="K260" s="3270" t="s">
        <v>2255</v>
      </c>
      <c r="L260" s="3267" t="s">
        <v>1804</v>
      </c>
      <c r="M260" s="3267">
        <v>3</v>
      </c>
      <c r="N260" s="3268"/>
      <c r="O260" s="3268"/>
      <c r="P260" s="3271"/>
      <c r="Q260" s="2797">
        <v>1</v>
      </c>
      <c r="R260" s="2825"/>
      <c r="S260" s="3271"/>
      <c r="T260" s="3325" t="s">
        <v>2256</v>
      </c>
      <c r="U260" s="1683" t="s">
        <v>2257</v>
      </c>
      <c r="V260" s="535">
        <v>68071048</v>
      </c>
      <c r="W260" s="3385"/>
      <c r="X260" s="3268"/>
      <c r="Y260" s="3268"/>
      <c r="Z260" s="3268"/>
      <c r="AA260" s="3280"/>
      <c r="AB260" s="3280"/>
      <c r="AC260" s="3280"/>
      <c r="AD260" s="3280"/>
      <c r="AE260" s="3280"/>
      <c r="AF260" s="3280"/>
      <c r="AG260" s="3280"/>
      <c r="AH260" s="3280"/>
      <c r="AI260" s="3280"/>
      <c r="AJ260" s="3280"/>
      <c r="AK260" s="3280"/>
      <c r="AL260" s="3280"/>
      <c r="AM260" s="3280"/>
      <c r="AN260" s="3280"/>
      <c r="AO260" s="3286"/>
      <c r="AP260" s="3286"/>
      <c r="AQ260" s="3289"/>
    </row>
    <row r="261" spans="1:347" ht="30" x14ac:dyDescent="0.2">
      <c r="A261" s="1556"/>
      <c r="B261" s="1557"/>
      <c r="C261" s="1558"/>
      <c r="D261" s="1557"/>
      <c r="E261" s="1557"/>
      <c r="F261" s="1558"/>
      <c r="G261" s="1557"/>
      <c r="H261" s="1557"/>
      <c r="I261" s="1558"/>
      <c r="J261" s="3268"/>
      <c r="K261" s="3271"/>
      <c r="L261" s="3268"/>
      <c r="M261" s="3268"/>
      <c r="N261" s="3268"/>
      <c r="O261" s="3268"/>
      <c r="P261" s="3271"/>
      <c r="Q261" s="2798"/>
      <c r="R261" s="2825"/>
      <c r="S261" s="3271"/>
      <c r="T261" s="3325"/>
      <c r="U261" s="1683" t="s">
        <v>2258</v>
      </c>
      <c r="V261" s="535">
        <v>40000000</v>
      </c>
      <c r="W261" s="3385"/>
      <c r="X261" s="3268"/>
      <c r="Y261" s="3268"/>
      <c r="Z261" s="3268"/>
      <c r="AA261" s="3280"/>
      <c r="AB261" s="3280"/>
      <c r="AC261" s="3280"/>
      <c r="AD261" s="3280"/>
      <c r="AE261" s="3280"/>
      <c r="AF261" s="3280"/>
      <c r="AG261" s="3280"/>
      <c r="AH261" s="3280"/>
      <c r="AI261" s="3280"/>
      <c r="AJ261" s="3280"/>
      <c r="AK261" s="3280"/>
      <c r="AL261" s="3280"/>
      <c r="AM261" s="3280"/>
      <c r="AN261" s="3280"/>
      <c r="AO261" s="3286"/>
      <c r="AP261" s="3286"/>
      <c r="AQ261" s="3289"/>
    </row>
    <row r="262" spans="1:347" ht="30" x14ac:dyDescent="0.2">
      <c r="A262" s="1556"/>
      <c r="B262" s="1557"/>
      <c r="C262" s="1558"/>
      <c r="D262" s="1557"/>
      <c r="E262" s="1557"/>
      <c r="F262" s="1558"/>
      <c r="G262" s="1557"/>
      <c r="H262" s="1557"/>
      <c r="I262" s="1558"/>
      <c r="J262" s="3268"/>
      <c r="K262" s="3271"/>
      <c r="L262" s="3268"/>
      <c r="M262" s="3268"/>
      <c r="N262" s="3268"/>
      <c r="O262" s="3268"/>
      <c r="P262" s="3271"/>
      <c r="Q262" s="2798"/>
      <c r="R262" s="2825"/>
      <c r="S262" s="3271"/>
      <c r="T262" s="3325"/>
      <c r="U262" s="1683" t="s">
        <v>2259</v>
      </c>
      <c r="V262" s="535">
        <v>20000000</v>
      </c>
      <c r="W262" s="3385"/>
      <c r="X262" s="3268"/>
      <c r="Y262" s="3268"/>
      <c r="Z262" s="3268"/>
      <c r="AA262" s="3280"/>
      <c r="AB262" s="3280"/>
      <c r="AC262" s="3280"/>
      <c r="AD262" s="3280"/>
      <c r="AE262" s="3280"/>
      <c r="AF262" s="3280"/>
      <c r="AG262" s="3280"/>
      <c r="AH262" s="3280"/>
      <c r="AI262" s="3280"/>
      <c r="AJ262" s="3280"/>
      <c r="AK262" s="3280"/>
      <c r="AL262" s="3280"/>
      <c r="AM262" s="3280"/>
      <c r="AN262" s="3280"/>
      <c r="AO262" s="3286"/>
      <c r="AP262" s="3286"/>
      <c r="AQ262" s="3289"/>
    </row>
    <row r="263" spans="1:347" ht="30" customHeight="1" x14ac:dyDescent="0.2">
      <c r="A263" s="1556"/>
      <c r="B263" s="1557"/>
      <c r="C263" s="1558"/>
      <c r="D263" s="1557"/>
      <c r="E263" s="1557"/>
      <c r="F263" s="1558"/>
      <c r="G263" s="1557"/>
      <c r="H263" s="1557"/>
      <c r="I263" s="1558"/>
      <c r="J263" s="3268"/>
      <c r="K263" s="3271"/>
      <c r="L263" s="3268"/>
      <c r="M263" s="3268"/>
      <c r="N263" s="3268"/>
      <c r="O263" s="3268"/>
      <c r="P263" s="3271"/>
      <c r="Q263" s="2798"/>
      <c r="R263" s="2825"/>
      <c r="S263" s="3271"/>
      <c r="T263" s="3325" t="s">
        <v>2260</v>
      </c>
      <c r="U263" s="1684" t="s">
        <v>2261</v>
      </c>
      <c r="V263" s="535">
        <v>15000000</v>
      </c>
      <c r="W263" s="3385"/>
      <c r="X263" s="3268"/>
      <c r="Y263" s="3268"/>
      <c r="Z263" s="3268"/>
      <c r="AA263" s="3280"/>
      <c r="AB263" s="3280"/>
      <c r="AC263" s="3280"/>
      <c r="AD263" s="3280"/>
      <c r="AE263" s="3280"/>
      <c r="AF263" s="3280"/>
      <c r="AG263" s="3280"/>
      <c r="AH263" s="3280"/>
      <c r="AI263" s="3280"/>
      <c r="AJ263" s="3280"/>
      <c r="AK263" s="3280"/>
      <c r="AL263" s="3280"/>
      <c r="AM263" s="3280"/>
      <c r="AN263" s="3280"/>
      <c r="AO263" s="3286"/>
      <c r="AP263" s="3286"/>
      <c r="AQ263" s="3289"/>
    </row>
    <row r="264" spans="1:347" ht="30" x14ac:dyDescent="0.2">
      <c r="A264" s="1556"/>
      <c r="B264" s="1557"/>
      <c r="C264" s="1558"/>
      <c r="D264" s="1557"/>
      <c r="E264" s="1557"/>
      <c r="F264" s="1558"/>
      <c r="G264" s="1557"/>
      <c r="H264" s="1557"/>
      <c r="I264" s="1558"/>
      <c r="J264" s="3269"/>
      <c r="K264" s="3272"/>
      <c r="L264" s="3269"/>
      <c r="M264" s="3269"/>
      <c r="N264" s="3268"/>
      <c r="O264" s="3268"/>
      <c r="P264" s="3271"/>
      <c r="Q264" s="2799"/>
      <c r="R264" s="2825"/>
      <c r="S264" s="3271"/>
      <c r="T264" s="3325"/>
      <c r="U264" s="1684" t="s">
        <v>2262</v>
      </c>
      <c r="V264" s="535">
        <v>14325192</v>
      </c>
      <c r="W264" s="3385"/>
      <c r="X264" s="3268"/>
      <c r="Y264" s="3268"/>
      <c r="Z264" s="3268"/>
      <c r="AA264" s="3280"/>
      <c r="AB264" s="3280"/>
      <c r="AC264" s="3280"/>
      <c r="AD264" s="3280"/>
      <c r="AE264" s="3280"/>
      <c r="AF264" s="3280"/>
      <c r="AG264" s="3280"/>
      <c r="AH264" s="3280"/>
      <c r="AI264" s="3280"/>
      <c r="AJ264" s="3280"/>
      <c r="AK264" s="3280"/>
      <c r="AL264" s="3280"/>
      <c r="AM264" s="3280"/>
      <c r="AN264" s="3280"/>
      <c r="AO264" s="3286"/>
      <c r="AP264" s="3286"/>
      <c r="AQ264" s="3289"/>
    </row>
    <row r="265" spans="1:347" s="1687" customFormat="1" ht="60.75" thickBot="1" x14ac:dyDescent="0.25">
      <c r="A265" s="1556"/>
      <c r="B265" s="1557"/>
      <c r="C265" s="1558"/>
      <c r="D265" s="1557"/>
      <c r="E265" s="1557"/>
      <c r="F265" s="1558"/>
      <c r="G265" s="1557"/>
      <c r="H265" s="1557"/>
      <c r="I265" s="1558"/>
      <c r="J265" s="1595">
        <v>179</v>
      </c>
      <c r="K265" s="1662" t="s">
        <v>2263</v>
      </c>
      <c r="L265" s="1595" t="s">
        <v>1804</v>
      </c>
      <c r="M265" s="1595">
        <v>4</v>
      </c>
      <c r="N265" s="3268"/>
      <c r="O265" s="3268"/>
      <c r="P265" s="3271"/>
      <c r="Q265" s="1417">
        <v>0</v>
      </c>
      <c r="R265" s="2825"/>
      <c r="S265" s="3271"/>
      <c r="T265" s="1662" t="s">
        <v>2264</v>
      </c>
      <c r="U265" s="1685" t="s">
        <v>2265</v>
      </c>
      <c r="V265" s="1686">
        <v>0</v>
      </c>
      <c r="W265" s="3385"/>
      <c r="X265" s="3268"/>
      <c r="Y265" s="3268"/>
      <c r="Z265" s="3268"/>
      <c r="AA265" s="3280"/>
      <c r="AB265" s="3280"/>
      <c r="AC265" s="3280"/>
      <c r="AD265" s="3280"/>
      <c r="AE265" s="3280"/>
      <c r="AF265" s="3280"/>
      <c r="AG265" s="3280"/>
      <c r="AH265" s="3280"/>
      <c r="AI265" s="3280"/>
      <c r="AJ265" s="3280"/>
      <c r="AK265" s="3280"/>
      <c r="AL265" s="3280"/>
      <c r="AM265" s="3280"/>
      <c r="AN265" s="3280"/>
      <c r="AO265" s="3286"/>
      <c r="AP265" s="3286"/>
      <c r="AQ265" s="3394"/>
      <c r="AR265" s="1507"/>
      <c r="AS265" s="1507"/>
      <c r="AT265" s="1507"/>
      <c r="AU265" s="1507"/>
      <c r="AV265" s="1507"/>
      <c r="AW265" s="1507"/>
      <c r="AX265" s="1507"/>
      <c r="AY265" s="1507"/>
      <c r="AZ265" s="1507"/>
      <c r="BA265" s="1507"/>
      <c r="BB265" s="1507"/>
      <c r="BC265" s="1507"/>
      <c r="BD265" s="1507"/>
      <c r="BE265" s="1507"/>
      <c r="BF265" s="1507"/>
      <c r="BG265" s="1507"/>
      <c r="BH265" s="1507"/>
      <c r="BI265" s="1507"/>
      <c r="BJ265" s="1507"/>
      <c r="BK265" s="1507"/>
      <c r="BL265" s="1507"/>
      <c r="BM265" s="1507"/>
      <c r="BN265" s="1507"/>
      <c r="BO265" s="1507"/>
      <c r="BP265" s="1507"/>
      <c r="BQ265" s="1507"/>
      <c r="BR265" s="1507"/>
      <c r="BS265" s="1507"/>
      <c r="BT265" s="1507"/>
      <c r="BU265" s="1507"/>
      <c r="BV265" s="1507"/>
      <c r="BW265" s="1507"/>
      <c r="BX265" s="1507"/>
      <c r="BY265" s="1507"/>
      <c r="BZ265" s="1507"/>
      <c r="CA265" s="1507"/>
      <c r="CB265" s="1507"/>
      <c r="CC265" s="1507"/>
      <c r="CD265" s="1507"/>
      <c r="CE265" s="1507"/>
      <c r="CF265" s="1507"/>
      <c r="CG265" s="1507"/>
      <c r="CH265" s="1507"/>
      <c r="CI265" s="1507"/>
      <c r="CJ265" s="1507"/>
      <c r="CK265" s="1507"/>
      <c r="CL265" s="1507"/>
      <c r="CM265" s="1507"/>
      <c r="CN265" s="1507"/>
      <c r="CO265" s="1507"/>
      <c r="CP265" s="1507"/>
      <c r="CQ265" s="1507"/>
      <c r="CR265" s="1507"/>
      <c r="CS265" s="1507"/>
      <c r="CT265" s="1507"/>
      <c r="CU265" s="1507"/>
      <c r="CV265" s="1507"/>
      <c r="CW265" s="1507"/>
      <c r="CX265" s="1507"/>
      <c r="CY265" s="1507"/>
      <c r="CZ265" s="1507"/>
      <c r="DA265" s="1507"/>
      <c r="DB265" s="1507"/>
      <c r="DC265" s="1507"/>
      <c r="DD265" s="1507"/>
      <c r="DE265" s="1507"/>
      <c r="DF265" s="1507"/>
      <c r="DG265" s="1507"/>
      <c r="DH265" s="1507"/>
      <c r="DI265" s="1507"/>
      <c r="DJ265" s="1507"/>
      <c r="DK265" s="1507"/>
      <c r="DL265" s="1507"/>
      <c r="DM265" s="1507"/>
      <c r="DN265" s="1507"/>
      <c r="DO265" s="1507"/>
      <c r="DP265" s="1507"/>
      <c r="DQ265" s="1507"/>
      <c r="DR265" s="1507"/>
      <c r="DS265" s="1507"/>
      <c r="DT265" s="1507"/>
      <c r="DU265" s="1507"/>
      <c r="DV265" s="1507"/>
      <c r="DW265" s="1507"/>
      <c r="DX265" s="1507"/>
      <c r="DY265" s="1507"/>
      <c r="DZ265" s="1507"/>
      <c r="EA265" s="1507"/>
      <c r="EB265" s="1507"/>
      <c r="EC265" s="1507"/>
      <c r="ED265" s="1507"/>
      <c r="EE265" s="1507"/>
      <c r="EF265" s="1507"/>
      <c r="EG265" s="1507"/>
      <c r="EH265" s="1507"/>
      <c r="EI265" s="1507"/>
      <c r="EJ265" s="1507"/>
      <c r="EK265" s="1507"/>
      <c r="EL265" s="1507"/>
      <c r="EM265" s="1507"/>
      <c r="EN265" s="1507"/>
      <c r="EO265" s="1507"/>
      <c r="EP265" s="1507"/>
      <c r="EQ265" s="1507"/>
      <c r="ER265" s="1507"/>
      <c r="ES265" s="1507"/>
      <c r="ET265" s="1507"/>
      <c r="EU265" s="1507"/>
      <c r="EV265" s="1507"/>
      <c r="EW265" s="1507"/>
      <c r="EX265" s="1507"/>
      <c r="EY265" s="1507"/>
      <c r="EZ265" s="1507"/>
      <c r="FA265" s="1507"/>
      <c r="FB265" s="1507"/>
      <c r="FC265" s="1507"/>
      <c r="FD265" s="1507"/>
      <c r="FE265" s="1507"/>
      <c r="FF265" s="1507"/>
      <c r="FG265" s="1507"/>
      <c r="FH265" s="1507"/>
      <c r="FI265" s="1507"/>
      <c r="FJ265" s="1507"/>
      <c r="FK265" s="1507"/>
      <c r="FL265" s="1507"/>
      <c r="FM265" s="1507"/>
      <c r="FN265" s="1507"/>
      <c r="FO265" s="1507"/>
      <c r="FP265" s="1507"/>
      <c r="FQ265" s="1507"/>
      <c r="FR265" s="1507"/>
      <c r="FS265" s="1507"/>
      <c r="FT265" s="1507"/>
      <c r="FU265" s="1507"/>
      <c r="FV265" s="1507"/>
      <c r="FW265" s="1507"/>
      <c r="FX265" s="1507"/>
      <c r="FY265" s="1507"/>
      <c r="FZ265" s="1507"/>
      <c r="GA265" s="1507"/>
      <c r="GB265" s="1507"/>
      <c r="GC265" s="1507"/>
      <c r="GD265" s="1507"/>
      <c r="GE265" s="1507"/>
      <c r="GF265" s="1507"/>
      <c r="GG265" s="1507"/>
      <c r="GH265" s="1507"/>
      <c r="GI265" s="1507"/>
      <c r="GJ265" s="1507"/>
      <c r="GK265" s="1507"/>
      <c r="GL265" s="1507"/>
      <c r="GM265" s="1507"/>
      <c r="GN265" s="1507"/>
      <c r="GO265" s="1507"/>
      <c r="GP265" s="1507"/>
      <c r="GQ265" s="1507"/>
      <c r="GR265" s="1507"/>
      <c r="GS265" s="1507"/>
      <c r="GT265" s="1507"/>
      <c r="GU265" s="1507"/>
      <c r="GV265" s="1507"/>
      <c r="GW265" s="1507"/>
      <c r="GX265" s="1507"/>
      <c r="GY265" s="1507"/>
      <c r="GZ265" s="1507"/>
      <c r="HA265" s="1507"/>
      <c r="HB265" s="1507"/>
      <c r="HC265" s="1507"/>
      <c r="HD265" s="1507"/>
      <c r="HE265" s="1507"/>
      <c r="HF265" s="1507"/>
      <c r="HG265" s="1507"/>
      <c r="HH265" s="1507"/>
      <c r="HI265" s="1507"/>
      <c r="HJ265" s="1507"/>
      <c r="HK265" s="1507"/>
      <c r="HL265" s="1507"/>
      <c r="HM265" s="1507"/>
      <c r="HN265" s="1507"/>
      <c r="HO265" s="1507"/>
      <c r="HP265" s="1507"/>
      <c r="HQ265" s="1507"/>
      <c r="HR265" s="1507"/>
      <c r="HS265" s="1507"/>
      <c r="HT265" s="1507"/>
      <c r="HU265" s="1507"/>
      <c r="HV265" s="1507"/>
      <c r="HW265" s="1507"/>
      <c r="HX265" s="1507"/>
      <c r="HY265" s="1507"/>
      <c r="HZ265" s="1507"/>
      <c r="IA265" s="1507"/>
      <c r="IB265" s="1507"/>
      <c r="IC265" s="1507"/>
      <c r="ID265" s="1507"/>
      <c r="IE265" s="1507"/>
      <c r="IF265" s="1507"/>
      <c r="IG265" s="1507"/>
      <c r="IH265" s="1507"/>
      <c r="II265" s="1507"/>
      <c r="IJ265" s="1507"/>
      <c r="IK265" s="1507"/>
      <c r="IL265" s="1507"/>
      <c r="IM265" s="1507"/>
      <c r="IN265" s="1507"/>
      <c r="IO265" s="1507"/>
      <c r="IP265" s="1507"/>
      <c r="IQ265" s="1507"/>
      <c r="IR265" s="1507"/>
      <c r="IS265" s="1507"/>
      <c r="IT265" s="1507"/>
      <c r="IU265" s="1507"/>
      <c r="IV265" s="1507"/>
      <c r="IW265" s="1507"/>
      <c r="IX265" s="1507"/>
      <c r="IY265" s="1507"/>
      <c r="IZ265" s="1507"/>
      <c r="JA265" s="1507"/>
      <c r="JB265" s="1507"/>
      <c r="JC265" s="1507"/>
      <c r="JD265" s="1507"/>
      <c r="JE265" s="1507"/>
      <c r="JF265" s="1507"/>
      <c r="JG265" s="1507"/>
      <c r="JH265" s="1507"/>
      <c r="JI265" s="1507"/>
      <c r="JJ265" s="1507"/>
      <c r="JK265" s="1507"/>
      <c r="JL265" s="1507"/>
      <c r="JM265" s="1507"/>
      <c r="JN265" s="1507"/>
      <c r="JO265" s="1507"/>
      <c r="JP265" s="1507"/>
      <c r="JQ265" s="1507"/>
      <c r="JR265" s="1507"/>
      <c r="JS265" s="1507"/>
      <c r="JT265" s="1507"/>
      <c r="JU265" s="1507"/>
      <c r="JV265" s="1507"/>
      <c r="JW265" s="1507"/>
      <c r="JX265" s="1507"/>
      <c r="JY265" s="1507"/>
      <c r="JZ265" s="1507"/>
      <c r="KA265" s="1507"/>
      <c r="KB265" s="1507"/>
      <c r="KC265" s="1507"/>
      <c r="KD265" s="1507"/>
      <c r="KE265" s="1507"/>
      <c r="KF265" s="1507"/>
      <c r="KG265" s="1507"/>
      <c r="KH265" s="1507"/>
      <c r="KI265" s="1507"/>
      <c r="KJ265" s="1507"/>
      <c r="KK265" s="1507"/>
      <c r="KL265" s="1507"/>
      <c r="KM265" s="1507"/>
      <c r="KN265" s="1507"/>
      <c r="KO265" s="1507"/>
      <c r="KP265" s="1507"/>
      <c r="KQ265" s="1507"/>
      <c r="KR265" s="1507"/>
      <c r="KS265" s="1507"/>
      <c r="KT265" s="1507"/>
      <c r="KU265" s="1507"/>
      <c r="KV265" s="1507"/>
      <c r="KW265" s="1507"/>
      <c r="KX265" s="1507"/>
      <c r="KY265" s="1507"/>
      <c r="KZ265" s="1507"/>
      <c r="LA265" s="1507"/>
      <c r="LB265" s="1507"/>
      <c r="LC265" s="1507"/>
      <c r="LD265" s="1507"/>
      <c r="LE265" s="1507"/>
      <c r="LF265" s="1507"/>
      <c r="LG265" s="1507"/>
      <c r="LH265" s="1507"/>
      <c r="LI265" s="1507"/>
      <c r="LJ265" s="1507"/>
      <c r="LK265" s="1507"/>
      <c r="LL265" s="1507"/>
      <c r="LM265" s="1507"/>
      <c r="LN265" s="1507"/>
      <c r="LO265" s="1507"/>
      <c r="LP265" s="1507"/>
      <c r="LQ265" s="1507"/>
      <c r="LR265" s="1507"/>
      <c r="LS265" s="1507"/>
      <c r="LT265" s="1507"/>
      <c r="LU265" s="1507"/>
      <c r="LV265" s="1507"/>
      <c r="LW265" s="1507"/>
      <c r="LX265" s="1507"/>
      <c r="LY265" s="1507"/>
      <c r="LZ265" s="1507"/>
      <c r="MA265" s="1507"/>
      <c r="MB265" s="1507"/>
      <c r="MC265" s="1507"/>
      <c r="MD265" s="1507"/>
      <c r="ME265" s="1507"/>
      <c r="MF265" s="1507"/>
      <c r="MG265" s="1507"/>
      <c r="MH265" s="1507"/>
      <c r="MI265" s="1507"/>
    </row>
    <row r="266" spans="1:347" ht="30" customHeight="1" thickBot="1" x14ac:dyDescent="0.25">
      <c r="A266" s="3388"/>
      <c r="B266" s="3389"/>
      <c r="C266" s="3389"/>
      <c r="D266" s="3389"/>
      <c r="E266" s="3389"/>
      <c r="F266" s="3389"/>
      <c r="G266" s="3389"/>
      <c r="H266" s="3389"/>
      <c r="I266" s="3389"/>
      <c r="J266" s="3389"/>
      <c r="K266" s="3389"/>
      <c r="L266" s="3389"/>
      <c r="M266" s="3389"/>
      <c r="N266" s="3389"/>
      <c r="O266" s="3389"/>
      <c r="P266" s="3389"/>
      <c r="Q266" s="3390"/>
      <c r="R266" s="187">
        <f>SUM(R12:R265)</f>
        <v>52615026214</v>
      </c>
      <c r="S266" s="1688"/>
      <c r="T266" s="1689"/>
      <c r="U266" s="1690"/>
      <c r="V266" s="187">
        <f>SUM(V12:V265)</f>
        <v>52615026214</v>
      </c>
      <c r="W266" s="1691"/>
      <c r="X266" s="1692"/>
      <c r="Y266" s="1693"/>
      <c r="Z266" s="1693"/>
      <c r="AA266" s="1172"/>
      <c r="AB266" s="1693"/>
      <c r="AC266" s="1693"/>
      <c r="AD266" s="1693"/>
      <c r="AE266" s="1693"/>
      <c r="AF266" s="1694"/>
      <c r="AG266" s="1693"/>
      <c r="AH266" s="1172"/>
      <c r="AI266" s="1693"/>
      <c r="AJ266" s="1693"/>
      <c r="AK266" s="1172"/>
      <c r="AL266" s="1172"/>
      <c r="AM266" s="1172"/>
      <c r="AN266" s="1172"/>
      <c r="AO266" s="1695"/>
      <c r="AP266" s="1695"/>
      <c r="AQ266" s="1696"/>
    </row>
    <row r="267" spans="1:347" x14ac:dyDescent="0.2">
      <c r="V267" s="1700"/>
    </row>
    <row r="268" spans="1:347" ht="43.5" customHeight="1" x14ac:dyDescent="0.2"/>
    <row r="269" spans="1:347" ht="43.5" customHeight="1" x14ac:dyDescent="0.2"/>
    <row r="270" spans="1:347" ht="43.5" customHeight="1" x14ac:dyDescent="0.25">
      <c r="K270" s="1703" t="s">
        <v>2266</v>
      </c>
    </row>
    <row r="271" spans="1:347" ht="43.5" customHeight="1" x14ac:dyDescent="0.2">
      <c r="K271" s="1697" t="s">
        <v>2267</v>
      </c>
    </row>
    <row r="272" spans="1:347" ht="43.5" customHeight="1" x14ac:dyDescent="0.2"/>
    <row r="273" ht="43.5" customHeight="1" x14ac:dyDescent="0.2"/>
  </sheetData>
  <sheetProtection password="CBEB" sheet="1" objects="1" scenarios="1"/>
  <mergeCells count="892">
    <mergeCell ref="AO259:AO265"/>
    <mergeCell ref="AP259:AP265"/>
    <mergeCell ref="AQ259:AQ265"/>
    <mergeCell ref="J260:J264"/>
    <mergeCell ref="K260:K264"/>
    <mergeCell ref="L260:L264"/>
    <mergeCell ref="M260:M264"/>
    <mergeCell ref="Q260:Q264"/>
    <mergeCell ref="AG259:AG265"/>
    <mergeCell ref="AH259:AH265"/>
    <mergeCell ref="AI259:AI265"/>
    <mergeCell ref="AJ259:AJ265"/>
    <mergeCell ref="AK259:AK265"/>
    <mergeCell ref="AL259:AL265"/>
    <mergeCell ref="AA259:AA265"/>
    <mergeCell ref="AB259:AB265"/>
    <mergeCell ref="AC259:AC265"/>
    <mergeCell ref="AD259:AD265"/>
    <mergeCell ref="AE259:AE265"/>
    <mergeCell ref="AH254:AH256"/>
    <mergeCell ref="AI254:AI256"/>
    <mergeCell ref="AJ254:AJ256"/>
    <mergeCell ref="Y254:Y256"/>
    <mergeCell ref="T260:T262"/>
    <mergeCell ref="T263:T264"/>
    <mergeCell ref="A266:Q266"/>
    <mergeCell ref="AM259:AM265"/>
    <mergeCell ref="AN259:AN265"/>
    <mergeCell ref="S254:S256"/>
    <mergeCell ref="T254:T255"/>
    <mergeCell ref="W254:W256"/>
    <mergeCell ref="X254:X256"/>
    <mergeCell ref="AF259:AF265"/>
    <mergeCell ref="J254:J255"/>
    <mergeCell ref="K254:K255"/>
    <mergeCell ref="L254:L255"/>
    <mergeCell ref="M254:M255"/>
    <mergeCell ref="AB254:AB256"/>
    <mergeCell ref="AC254:AC256"/>
    <mergeCell ref="AD254:AD256"/>
    <mergeCell ref="Q254:Q256"/>
    <mergeCell ref="R254:R256"/>
    <mergeCell ref="AQ254:AQ256"/>
    <mergeCell ref="N259:N265"/>
    <mergeCell ref="O259:O265"/>
    <mergeCell ref="P259:P265"/>
    <mergeCell ref="R259:R265"/>
    <mergeCell ref="S259:S265"/>
    <mergeCell ref="W259:W265"/>
    <mergeCell ref="X259:X265"/>
    <mergeCell ref="Y259:Y265"/>
    <mergeCell ref="Z259:Z265"/>
    <mergeCell ref="AK254:AK256"/>
    <mergeCell ref="AL254:AL256"/>
    <mergeCell ref="AM254:AM256"/>
    <mergeCell ref="AN254:AN256"/>
    <mergeCell ref="AO254:AO256"/>
    <mergeCell ref="AP254:AP256"/>
    <mergeCell ref="AE254:AE256"/>
    <mergeCell ref="AF254:AF256"/>
    <mergeCell ref="AG254:AG256"/>
    <mergeCell ref="N254:N256"/>
    <mergeCell ref="O254:O256"/>
    <mergeCell ref="P254:P256"/>
    <mergeCell ref="Z254:Z256"/>
    <mergeCell ref="AA254:AA256"/>
    <mergeCell ref="P244:P252"/>
    <mergeCell ref="Q244:Q251"/>
    <mergeCell ref="R244:R252"/>
    <mergeCell ref="S244:S252"/>
    <mergeCell ref="T244:T248"/>
    <mergeCell ref="W244:W252"/>
    <mergeCell ref="AP244:AP252"/>
    <mergeCell ref="AQ244:AQ252"/>
    <mergeCell ref="T249:T250"/>
    <mergeCell ref="AL244:AL252"/>
    <mergeCell ref="AM244:AM252"/>
    <mergeCell ref="AN244:AN252"/>
    <mergeCell ref="AO244:AO252"/>
    <mergeCell ref="AJ244:AJ252"/>
    <mergeCell ref="AK244:AK252"/>
    <mergeCell ref="AD244:AD252"/>
    <mergeCell ref="AE244:AE252"/>
    <mergeCell ref="AF244:AF252"/>
    <mergeCell ref="AG244:AG252"/>
    <mergeCell ref="AH244:AH252"/>
    <mergeCell ref="AI244:AI252"/>
    <mergeCell ref="X244:X252"/>
    <mergeCell ref="Y244:Y252"/>
    <mergeCell ref="AC244:AC252"/>
    <mergeCell ref="J244:J251"/>
    <mergeCell ref="K244:K251"/>
    <mergeCell ref="L244:L251"/>
    <mergeCell ref="M244:M251"/>
    <mergeCell ref="N244:N252"/>
    <mergeCell ref="O244:O252"/>
    <mergeCell ref="AL235:AL242"/>
    <mergeCell ref="AM235:AM242"/>
    <mergeCell ref="AN235:AN242"/>
    <mergeCell ref="Z235:Z242"/>
    <mergeCell ref="AA235:AA242"/>
    <mergeCell ref="AB235:AB242"/>
    <mergeCell ref="AC235:AC242"/>
    <mergeCell ref="AD235:AD242"/>
    <mergeCell ref="AE235:AE242"/>
    <mergeCell ref="P235:P242"/>
    <mergeCell ref="Q235:Q242"/>
    <mergeCell ref="R235:R242"/>
    <mergeCell ref="S235:S242"/>
    <mergeCell ref="T235:T241"/>
    <mergeCell ref="Y235:Y242"/>
    <mergeCell ref="Z244:Z252"/>
    <mergeCell ref="AA244:AA252"/>
    <mergeCell ref="AB244:AB252"/>
    <mergeCell ref="AO235:AO242"/>
    <mergeCell ref="AP235:AP242"/>
    <mergeCell ref="AQ235:AQ242"/>
    <mergeCell ref="AF235:AF242"/>
    <mergeCell ref="AG235:AG242"/>
    <mergeCell ref="AH235:AH242"/>
    <mergeCell ref="AI235:AI242"/>
    <mergeCell ref="AJ235:AJ242"/>
    <mergeCell ref="AK235:AK242"/>
    <mergeCell ref="AO229:AO234"/>
    <mergeCell ref="AP229:AP234"/>
    <mergeCell ref="AQ229:AQ234"/>
    <mergeCell ref="Q233:Q234"/>
    <mergeCell ref="T233:T234"/>
    <mergeCell ref="J235:J242"/>
    <mergeCell ref="K235:K242"/>
    <mergeCell ref="L235:L242"/>
    <mergeCell ref="M235:M242"/>
    <mergeCell ref="O235:O242"/>
    <mergeCell ref="AI229:AI234"/>
    <mergeCell ref="AJ229:AJ234"/>
    <mergeCell ref="AK229:AK234"/>
    <mergeCell ref="AL229:AL234"/>
    <mergeCell ref="AM229:AM234"/>
    <mergeCell ref="AN229:AN234"/>
    <mergeCell ref="AC229:AC234"/>
    <mergeCell ref="AD229:AD234"/>
    <mergeCell ref="AE229:AE234"/>
    <mergeCell ref="AF229:AF234"/>
    <mergeCell ref="AG229:AG234"/>
    <mergeCell ref="AH229:AH234"/>
    <mergeCell ref="W229:W234"/>
    <mergeCell ref="X229:X234"/>
    <mergeCell ref="Y229:Y234"/>
    <mergeCell ref="Z229:Z234"/>
    <mergeCell ref="AA229:AA234"/>
    <mergeCell ref="AB229:AB234"/>
    <mergeCell ref="O229:O234"/>
    <mergeCell ref="P229:P234"/>
    <mergeCell ref="Q229:Q232"/>
    <mergeCell ref="R229:R234"/>
    <mergeCell ref="S229:S234"/>
    <mergeCell ref="T229:T231"/>
    <mergeCell ref="AN225:AN227"/>
    <mergeCell ref="AO225:AO227"/>
    <mergeCell ref="AP225:AP227"/>
    <mergeCell ref="AQ225:AQ227"/>
    <mergeCell ref="AA228:AM228"/>
    <mergeCell ref="J229:J233"/>
    <mergeCell ref="K229:K233"/>
    <mergeCell ref="L229:L233"/>
    <mergeCell ref="M229:M233"/>
    <mergeCell ref="N229:N234"/>
    <mergeCell ref="AH225:AH227"/>
    <mergeCell ref="AI225:AI227"/>
    <mergeCell ref="AJ225:AJ227"/>
    <mergeCell ref="AK225:AK227"/>
    <mergeCell ref="AL225:AL227"/>
    <mergeCell ref="AM225:AM227"/>
    <mergeCell ref="AB225:AB227"/>
    <mergeCell ref="AC225:AC227"/>
    <mergeCell ref="AD225:AD227"/>
    <mergeCell ref="AE225:AE227"/>
    <mergeCell ref="AF225:AF227"/>
    <mergeCell ref="AG225:AG227"/>
    <mergeCell ref="S225:S227"/>
    <mergeCell ref="W225:W227"/>
    <mergeCell ref="X225:X227"/>
    <mergeCell ref="Y225:Y227"/>
    <mergeCell ref="Z225:Z227"/>
    <mergeCell ref="AA225:AA227"/>
    <mergeCell ref="AA224:AM224"/>
    <mergeCell ref="J225:J227"/>
    <mergeCell ref="K225:K227"/>
    <mergeCell ref="L225:L227"/>
    <mergeCell ref="M225:M227"/>
    <mergeCell ref="N225:N227"/>
    <mergeCell ref="O225:O227"/>
    <mergeCell ref="P225:P227"/>
    <mergeCell ref="Q225:Q227"/>
    <mergeCell ref="R225:R227"/>
    <mergeCell ref="J222:J223"/>
    <mergeCell ref="K222:K223"/>
    <mergeCell ref="L222:L223"/>
    <mergeCell ref="M222:M223"/>
    <mergeCell ref="Q222:Q223"/>
    <mergeCell ref="T222:T223"/>
    <mergeCell ref="AL220:AL223"/>
    <mergeCell ref="AM220:AM223"/>
    <mergeCell ref="AN220:AN223"/>
    <mergeCell ref="Z220:Z223"/>
    <mergeCell ref="AA220:AA223"/>
    <mergeCell ref="AB220:AB223"/>
    <mergeCell ref="AC220:AC223"/>
    <mergeCell ref="AD220:AD223"/>
    <mergeCell ref="AE220:AE223"/>
    <mergeCell ref="N220:N223"/>
    <mergeCell ref="O220:O223"/>
    <mergeCell ref="P220:P223"/>
    <mergeCell ref="R220:R223"/>
    <mergeCell ref="S220:S223"/>
    <mergeCell ref="Y220:Y223"/>
    <mergeCell ref="V222:V223"/>
    <mergeCell ref="AO220:AO223"/>
    <mergeCell ref="AP220:AP223"/>
    <mergeCell ref="AQ220:AQ223"/>
    <mergeCell ref="AF220:AF223"/>
    <mergeCell ref="AG220:AG223"/>
    <mergeCell ref="AH220:AH223"/>
    <mergeCell ref="AI220:AI223"/>
    <mergeCell ref="AJ220:AJ223"/>
    <mergeCell ref="AK220:AK223"/>
    <mergeCell ref="AN211:AN217"/>
    <mergeCell ref="AO211:AO217"/>
    <mergeCell ref="AP211:AP217"/>
    <mergeCell ref="AQ211:AQ217"/>
    <mergeCell ref="G216:I217"/>
    <mergeCell ref="J216:J217"/>
    <mergeCell ref="K216:K217"/>
    <mergeCell ref="L216:L217"/>
    <mergeCell ref="M216:M217"/>
    <mergeCell ref="N216:N217"/>
    <mergeCell ref="AH211:AH217"/>
    <mergeCell ref="AI211:AI217"/>
    <mergeCell ref="AJ211:AJ217"/>
    <mergeCell ref="AK211:AK217"/>
    <mergeCell ref="AL211:AL217"/>
    <mergeCell ref="AM211:AM217"/>
    <mergeCell ref="AB211:AB217"/>
    <mergeCell ref="AC211:AC217"/>
    <mergeCell ref="AD211:AD217"/>
    <mergeCell ref="AE211:AE217"/>
    <mergeCell ref="AF211:AF217"/>
    <mergeCell ref="AG211:AG217"/>
    <mergeCell ref="T211:T212"/>
    <mergeCell ref="W211:W212"/>
    <mergeCell ref="X211:X212"/>
    <mergeCell ref="Y211:Y217"/>
    <mergeCell ref="Z211:Z217"/>
    <mergeCell ref="AA211:AA217"/>
    <mergeCell ref="T216:T217"/>
    <mergeCell ref="W216:W217"/>
    <mergeCell ref="X216:X217"/>
    <mergeCell ref="N211:N212"/>
    <mergeCell ref="O211:O217"/>
    <mergeCell ref="P211:P217"/>
    <mergeCell ref="Q211:Q212"/>
    <mergeCell ref="R211:R217"/>
    <mergeCell ref="S211:S216"/>
    <mergeCell ref="Q216:Q217"/>
    <mergeCell ref="D210:F217"/>
    <mergeCell ref="G211:I212"/>
    <mergeCell ref="J211:J212"/>
    <mergeCell ref="K211:K212"/>
    <mergeCell ref="L211:L212"/>
    <mergeCell ref="M211:M212"/>
    <mergeCell ref="AP200:AP208"/>
    <mergeCell ref="AQ200:AQ208"/>
    <mergeCell ref="J204:J208"/>
    <mergeCell ref="K204:K208"/>
    <mergeCell ref="L204:L208"/>
    <mergeCell ref="M204:M208"/>
    <mergeCell ref="Q204:Q208"/>
    <mergeCell ref="T204:T208"/>
    <mergeCell ref="AJ200:AJ208"/>
    <mergeCell ref="AK200:AK208"/>
    <mergeCell ref="AL200:AL208"/>
    <mergeCell ref="AM200:AM208"/>
    <mergeCell ref="AN200:AN208"/>
    <mergeCell ref="AO200:AO208"/>
    <mergeCell ref="AD200:AD208"/>
    <mergeCell ref="AE200:AE208"/>
    <mergeCell ref="AF200:AF208"/>
    <mergeCell ref="AG200:AG208"/>
    <mergeCell ref="X200:X208"/>
    <mergeCell ref="Y200:Y208"/>
    <mergeCell ref="Z200:Z208"/>
    <mergeCell ref="AA200:AA208"/>
    <mergeCell ref="AB200:AB208"/>
    <mergeCell ref="AC200:AC208"/>
    <mergeCell ref="P200:P208"/>
    <mergeCell ref="Q200:Q203"/>
    <mergeCell ref="R200:R208"/>
    <mergeCell ref="S200:S208"/>
    <mergeCell ref="T200:T203"/>
    <mergeCell ref="W200:W208"/>
    <mergeCell ref="J200:J203"/>
    <mergeCell ref="K200:K203"/>
    <mergeCell ref="L200:L203"/>
    <mergeCell ref="M200:M203"/>
    <mergeCell ref="N200:N208"/>
    <mergeCell ref="O200:O208"/>
    <mergeCell ref="AL193:AL199"/>
    <mergeCell ref="AM193:AM199"/>
    <mergeCell ref="AN193:AN199"/>
    <mergeCell ref="Z193:Z199"/>
    <mergeCell ref="AA193:AA199"/>
    <mergeCell ref="AB193:AB199"/>
    <mergeCell ref="AC193:AC199"/>
    <mergeCell ref="AD193:AD199"/>
    <mergeCell ref="AE193:AE199"/>
    <mergeCell ref="R193:R199"/>
    <mergeCell ref="S193:S199"/>
    <mergeCell ref="T193:T196"/>
    <mergeCell ref="W193:W199"/>
    <mergeCell ref="X193:X199"/>
    <mergeCell ref="Y193:Y199"/>
    <mergeCell ref="T197:T198"/>
    <mergeCell ref="AH200:AH208"/>
    <mergeCell ref="AI200:AI208"/>
    <mergeCell ref="AO193:AO199"/>
    <mergeCell ref="AP193:AP199"/>
    <mergeCell ref="AQ193:AQ199"/>
    <mergeCell ref="AF193:AF199"/>
    <mergeCell ref="AG193:AG199"/>
    <mergeCell ref="AH193:AH199"/>
    <mergeCell ref="AI193:AI199"/>
    <mergeCell ref="AJ193:AJ199"/>
    <mergeCell ref="AK193:AK199"/>
    <mergeCell ref="AP187:AP191"/>
    <mergeCell ref="AQ187:AQ191"/>
    <mergeCell ref="J193:J199"/>
    <mergeCell ref="K193:K199"/>
    <mergeCell ref="L193:L199"/>
    <mergeCell ref="M193:M199"/>
    <mergeCell ref="N193:N199"/>
    <mergeCell ref="O193:O199"/>
    <mergeCell ref="P193:P199"/>
    <mergeCell ref="Q193:Q199"/>
    <mergeCell ref="AJ187:AJ191"/>
    <mergeCell ref="AK187:AK191"/>
    <mergeCell ref="AL187:AL191"/>
    <mergeCell ref="AM187:AM191"/>
    <mergeCell ref="AN187:AN191"/>
    <mergeCell ref="AO187:AO191"/>
    <mergeCell ref="AD187:AD191"/>
    <mergeCell ref="AE187:AE191"/>
    <mergeCell ref="AF187:AF191"/>
    <mergeCell ref="AG187:AG191"/>
    <mergeCell ref="AH187:AH191"/>
    <mergeCell ref="AI187:AI191"/>
    <mergeCell ref="X187:X191"/>
    <mergeCell ref="Y187:Y191"/>
    <mergeCell ref="Z187:Z191"/>
    <mergeCell ref="AA187:AA191"/>
    <mergeCell ref="AB187:AB191"/>
    <mergeCell ref="AC187:AC191"/>
    <mergeCell ref="P187:P191"/>
    <mergeCell ref="Q187:Q190"/>
    <mergeCell ref="R187:R191"/>
    <mergeCell ref="S187:S191"/>
    <mergeCell ref="T187:T190"/>
    <mergeCell ref="W187:W191"/>
    <mergeCell ref="J187:J190"/>
    <mergeCell ref="K187:K190"/>
    <mergeCell ref="L187:L189"/>
    <mergeCell ref="M187:M190"/>
    <mergeCell ref="N187:N191"/>
    <mergeCell ref="O187:O191"/>
    <mergeCell ref="J182:J185"/>
    <mergeCell ref="K182:K185"/>
    <mergeCell ref="L182:L185"/>
    <mergeCell ref="M182:M185"/>
    <mergeCell ref="AM162:AM185"/>
    <mergeCell ref="AN162:AN185"/>
    <mergeCell ref="AO162:AO185"/>
    <mergeCell ref="AP162:AP185"/>
    <mergeCell ref="AQ162:AQ185"/>
    <mergeCell ref="J169:J175"/>
    <mergeCell ref="K169:K175"/>
    <mergeCell ref="L169:L175"/>
    <mergeCell ref="M169:M175"/>
    <mergeCell ref="Q169:Q175"/>
    <mergeCell ref="AG162:AG185"/>
    <mergeCell ref="AH162:AH185"/>
    <mergeCell ref="AI162:AI185"/>
    <mergeCell ref="AJ162:AJ185"/>
    <mergeCell ref="AK162:AK185"/>
    <mergeCell ref="AL162:AL185"/>
    <mergeCell ref="AA162:AA185"/>
    <mergeCell ref="AB162:AB185"/>
    <mergeCell ref="AC162:AC185"/>
    <mergeCell ref="AD162:AD185"/>
    <mergeCell ref="AE162:AE185"/>
    <mergeCell ref="AF162:AF185"/>
    <mergeCell ref="Q162:Q168"/>
    <mergeCell ref="R162:R185"/>
    <mergeCell ref="S162:S185"/>
    <mergeCell ref="T162:T168"/>
    <mergeCell ref="Y162:Y185"/>
    <mergeCell ref="Z162:Z185"/>
    <mergeCell ref="T169:T175"/>
    <mergeCell ref="Q176:Q181"/>
    <mergeCell ref="T176:T181"/>
    <mergeCell ref="Q182:Q185"/>
    <mergeCell ref="T182:T185"/>
    <mergeCell ref="J162:J168"/>
    <mergeCell ref="K162:K168"/>
    <mergeCell ref="L162:L168"/>
    <mergeCell ref="M162:M168"/>
    <mergeCell ref="O162:O185"/>
    <mergeCell ref="P162:P185"/>
    <mergeCell ref="J176:J181"/>
    <mergeCell ref="K176:K181"/>
    <mergeCell ref="L176:L181"/>
    <mergeCell ref="M176:M181"/>
    <mergeCell ref="AM148:AM160"/>
    <mergeCell ref="AN148:AN160"/>
    <mergeCell ref="AO148:AO160"/>
    <mergeCell ref="AP148:AP160"/>
    <mergeCell ref="AQ148:AQ160"/>
    <mergeCell ref="J151:J153"/>
    <mergeCell ref="K151:K153"/>
    <mergeCell ref="L151:L153"/>
    <mergeCell ref="M151:M153"/>
    <mergeCell ref="Q151:Q153"/>
    <mergeCell ref="AG148:AG160"/>
    <mergeCell ref="AH148:AH160"/>
    <mergeCell ref="AI148:AI160"/>
    <mergeCell ref="AJ148:AJ160"/>
    <mergeCell ref="AK148:AK160"/>
    <mergeCell ref="AL148:AL160"/>
    <mergeCell ref="AA148:AA160"/>
    <mergeCell ref="AB148:AB160"/>
    <mergeCell ref="AC148:AC160"/>
    <mergeCell ref="AD148:AD160"/>
    <mergeCell ref="AE148:AE160"/>
    <mergeCell ref="AF148:AF160"/>
    <mergeCell ref="Q148:Q150"/>
    <mergeCell ref="R148:R160"/>
    <mergeCell ref="S148:S160"/>
    <mergeCell ref="T148:T150"/>
    <mergeCell ref="Y148:Y160"/>
    <mergeCell ref="Z148:Z160"/>
    <mergeCell ref="T151:T160"/>
    <mergeCell ref="Q154:Q160"/>
    <mergeCell ref="J148:J150"/>
    <mergeCell ref="K148:K150"/>
    <mergeCell ref="L148:L150"/>
    <mergeCell ref="M148:M150"/>
    <mergeCell ref="O148:O160"/>
    <mergeCell ref="P148:P160"/>
    <mergeCell ref="J154:J160"/>
    <mergeCell ref="K154:K160"/>
    <mergeCell ref="L154:L160"/>
    <mergeCell ref="M154:M160"/>
    <mergeCell ref="AP136:AP146"/>
    <mergeCell ref="AQ136:AQ146"/>
    <mergeCell ref="J142:J146"/>
    <mergeCell ref="K142:K146"/>
    <mergeCell ref="L142:L146"/>
    <mergeCell ref="M142:M146"/>
    <mergeCell ref="Q142:Q146"/>
    <mergeCell ref="T142:T146"/>
    <mergeCell ref="AJ136:AJ146"/>
    <mergeCell ref="AK136:AK146"/>
    <mergeCell ref="AL136:AL146"/>
    <mergeCell ref="AM136:AM146"/>
    <mergeCell ref="AN136:AN146"/>
    <mergeCell ref="AO136:AO146"/>
    <mergeCell ref="AD136:AD146"/>
    <mergeCell ref="AE136:AE146"/>
    <mergeCell ref="AF136:AF146"/>
    <mergeCell ref="AG136:AG146"/>
    <mergeCell ref="AH136:AH146"/>
    <mergeCell ref="AI136:AI146"/>
    <mergeCell ref="X136:X146"/>
    <mergeCell ref="Y136:Y146"/>
    <mergeCell ref="Z136:Z146"/>
    <mergeCell ref="AA136:AA146"/>
    <mergeCell ref="AB136:AB146"/>
    <mergeCell ref="AC136:AC146"/>
    <mergeCell ref="P136:P146"/>
    <mergeCell ref="Q136:Q141"/>
    <mergeCell ref="R136:R146"/>
    <mergeCell ref="S136:S146"/>
    <mergeCell ref="T136:T141"/>
    <mergeCell ref="W136:W146"/>
    <mergeCell ref="J136:J141"/>
    <mergeCell ref="K136:K141"/>
    <mergeCell ref="L136:L141"/>
    <mergeCell ref="M136:M141"/>
    <mergeCell ref="N136:N146"/>
    <mergeCell ref="O136:O146"/>
    <mergeCell ref="AP128:AP134"/>
    <mergeCell ref="AQ128:AQ134"/>
    <mergeCell ref="J131:J134"/>
    <mergeCell ref="K131:K134"/>
    <mergeCell ref="L131:L134"/>
    <mergeCell ref="M131:M134"/>
    <mergeCell ref="Q131:Q134"/>
    <mergeCell ref="T131:T134"/>
    <mergeCell ref="AJ128:AJ134"/>
    <mergeCell ref="AK128:AK134"/>
    <mergeCell ref="AL128:AL134"/>
    <mergeCell ref="AM128:AM134"/>
    <mergeCell ref="AN128:AN134"/>
    <mergeCell ref="AO128:AO134"/>
    <mergeCell ref="AD128:AD134"/>
    <mergeCell ref="AE128:AE134"/>
    <mergeCell ref="AF128:AF134"/>
    <mergeCell ref="AG128:AG134"/>
    <mergeCell ref="AH128:AH134"/>
    <mergeCell ref="AI128:AI134"/>
    <mergeCell ref="X128:X134"/>
    <mergeCell ref="Y128:Y134"/>
    <mergeCell ref="Z128:Z134"/>
    <mergeCell ref="AA128:AA134"/>
    <mergeCell ref="AB128:AB134"/>
    <mergeCell ref="AC128:AC134"/>
    <mergeCell ref="P128:P134"/>
    <mergeCell ref="Q128:Q130"/>
    <mergeCell ref="R128:R134"/>
    <mergeCell ref="S128:S134"/>
    <mergeCell ref="T128:T130"/>
    <mergeCell ref="W128:W134"/>
    <mergeCell ref="J128:J130"/>
    <mergeCell ref="K128:K130"/>
    <mergeCell ref="L128:L130"/>
    <mergeCell ref="M128:M130"/>
    <mergeCell ref="N128:N134"/>
    <mergeCell ref="O128:O134"/>
    <mergeCell ref="AM118:AM126"/>
    <mergeCell ref="AN118:AN126"/>
    <mergeCell ref="AO118:AO126"/>
    <mergeCell ref="AP118:AP126"/>
    <mergeCell ref="AQ118:AQ126"/>
    <mergeCell ref="T122:T124"/>
    <mergeCell ref="T125:T126"/>
    <mergeCell ref="AG118:AG126"/>
    <mergeCell ref="AH118:AH126"/>
    <mergeCell ref="AI118:AI126"/>
    <mergeCell ref="AJ118:AJ126"/>
    <mergeCell ref="AK118:AK126"/>
    <mergeCell ref="AL118:AL126"/>
    <mergeCell ref="AA118:AA126"/>
    <mergeCell ref="AB118:AB126"/>
    <mergeCell ref="AC118:AC126"/>
    <mergeCell ref="AD118:AD126"/>
    <mergeCell ref="AE118:AE126"/>
    <mergeCell ref="AF118:AF126"/>
    <mergeCell ref="Q118:Q126"/>
    <mergeCell ref="R118:R126"/>
    <mergeCell ref="S118:S126"/>
    <mergeCell ref="T118:T121"/>
    <mergeCell ref="Y118:Y126"/>
    <mergeCell ref="Z118:Z126"/>
    <mergeCell ref="J118:J126"/>
    <mergeCell ref="K118:K126"/>
    <mergeCell ref="L118:L126"/>
    <mergeCell ref="M118:M126"/>
    <mergeCell ref="O118:O126"/>
    <mergeCell ref="P118:P126"/>
    <mergeCell ref="AM108:AM117"/>
    <mergeCell ref="AN108:AN117"/>
    <mergeCell ref="AO108:AO117"/>
    <mergeCell ref="AP108:AP117"/>
    <mergeCell ref="AQ108:AQ117"/>
    <mergeCell ref="N113:N114"/>
    <mergeCell ref="Q114:Q117"/>
    <mergeCell ref="T114:T117"/>
    <mergeCell ref="AG108:AG117"/>
    <mergeCell ref="AH108:AH117"/>
    <mergeCell ref="AI108:AI117"/>
    <mergeCell ref="AJ108:AJ117"/>
    <mergeCell ref="AK108:AK117"/>
    <mergeCell ref="AL108:AL117"/>
    <mergeCell ref="AA108:AA117"/>
    <mergeCell ref="AB108:AB117"/>
    <mergeCell ref="AC108:AC117"/>
    <mergeCell ref="AD108:AD117"/>
    <mergeCell ref="AE108:AE117"/>
    <mergeCell ref="AF108:AF117"/>
    <mergeCell ref="Q108:Q113"/>
    <mergeCell ref="R108:R117"/>
    <mergeCell ref="S108:S117"/>
    <mergeCell ref="T108:T113"/>
    <mergeCell ref="Y108:Y117"/>
    <mergeCell ref="Z108:Z117"/>
    <mergeCell ref="J108:J113"/>
    <mergeCell ref="K108:K113"/>
    <mergeCell ref="L108:L113"/>
    <mergeCell ref="M108:M113"/>
    <mergeCell ref="O108:O117"/>
    <mergeCell ref="P108:P117"/>
    <mergeCell ref="J114:J117"/>
    <mergeCell ref="K114:K117"/>
    <mergeCell ref="L114:L117"/>
    <mergeCell ref="M114:M117"/>
    <mergeCell ref="AP100:AP107"/>
    <mergeCell ref="AQ100:AQ107"/>
    <mergeCell ref="J104:J107"/>
    <mergeCell ref="K104:K107"/>
    <mergeCell ref="L104:L107"/>
    <mergeCell ref="M104:M107"/>
    <mergeCell ref="Q104:Q107"/>
    <mergeCell ref="T104:T107"/>
    <mergeCell ref="AJ100:AJ107"/>
    <mergeCell ref="AK100:AK107"/>
    <mergeCell ref="AL100:AL107"/>
    <mergeCell ref="AM100:AM107"/>
    <mergeCell ref="AN100:AN107"/>
    <mergeCell ref="AO100:AO107"/>
    <mergeCell ref="AD100:AD107"/>
    <mergeCell ref="AE100:AE107"/>
    <mergeCell ref="AF100:AF107"/>
    <mergeCell ref="AG100:AG107"/>
    <mergeCell ref="AH100:AH107"/>
    <mergeCell ref="AI100:AI107"/>
    <mergeCell ref="X100:X107"/>
    <mergeCell ref="Y100:Y107"/>
    <mergeCell ref="Z100:Z107"/>
    <mergeCell ref="AA100:AA107"/>
    <mergeCell ref="AB100:AB107"/>
    <mergeCell ref="AC100:AC107"/>
    <mergeCell ref="P100:P107"/>
    <mergeCell ref="Q100:Q103"/>
    <mergeCell ref="R100:R107"/>
    <mergeCell ref="S100:S107"/>
    <mergeCell ref="T100:T103"/>
    <mergeCell ref="W100:W107"/>
    <mergeCell ref="J100:J103"/>
    <mergeCell ref="K100:K103"/>
    <mergeCell ref="L100:L103"/>
    <mergeCell ref="M100:M103"/>
    <mergeCell ref="N100:N107"/>
    <mergeCell ref="O100:O107"/>
    <mergeCell ref="T80:T84"/>
    <mergeCell ref="AC66:AC84"/>
    <mergeCell ref="AP86:AP98"/>
    <mergeCell ref="AQ86:AQ98"/>
    <mergeCell ref="J91:J95"/>
    <mergeCell ref="K91:K95"/>
    <mergeCell ref="L91:L95"/>
    <mergeCell ref="M91:M95"/>
    <mergeCell ref="Q91:Q95"/>
    <mergeCell ref="T91:T95"/>
    <mergeCell ref="J96:J98"/>
    <mergeCell ref="K96:K98"/>
    <mergeCell ref="AJ86:AJ98"/>
    <mergeCell ref="AK86:AK98"/>
    <mergeCell ref="AL86:AL98"/>
    <mergeCell ref="AM86:AM98"/>
    <mergeCell ref="AN86:AN98"/>
    <mergeCell ref="AO86:AO98"/>
    <mergeCell ref="AD86:AD98"/>
    <mergeCell ref="AE86:AE98"/>
    <mergeCell ref="AF86:AF98"/>
    <mergeCell ref="AG86:AG98"/>
    <mergeCell ref="AH86:AH98"/>
    <mergeCell ref="AI86:AI98"/>
    <mergeCell ref="Z86:Z98"/>
    <mergeCell ref="AA86:AA98"/>
    <mergeCell ref="AB86:AB98"/>
    <mergeCell ref="AC86:AC98"/>
    <mergeCell ref="P86:P98"/>
    <mergeCell ref="Q86:Q90"/>
    <mergeCell ref="R86:R98"/>
    <mergeCell ref="S86:S98"/>
    <mergeCell ref="T86:T90"/>
    <mergeCell ref="W86:W98"/>
    <mergeCell ref="Q96:Q98"/>
    <mergeCell ref="T96:T98"/>
    <mergeCell ref="X86:X98"/>
    <mergeCell ref="Y86:Y98"/>
    <mergeCell ref="J86:J90"/>
    <mergeCell ref="K86:K90"/>
    <mergeCell ref="L86:L90"/>
    <mergeCell ref="M86:M90"/>
    <mergeCell ref="N86:N98"/>
    <mergeCell ref="O86:O98"/>
    <mergeCell ref="L96:L98"/>
    <mergeCell ref="M96:M98"/>
    <mergeCell ref="J80:J84"/>
    <mergeCell ref="K80:K84"/>
    <mergeCell ref="L80:L84"/>
    <mergeCell ref="M80:M84"/>
    <mergeCell ref="N66:N84"/>
    <mergeCell ref="O66:O84"/>
    <mergeCell ref="AN66:AN84"/>
    <mergeCell ref="AO66:AO84"/>
    <mergeCell ref="AP66:AP84"/>
    <mergeCell ref="AQ66:AQ84"/>
    <mergeCell ref="AF66:AF84"/>
    <mergeCell ref="AG66:AG84"/>
    <mergeCell ref="AH66:AH84"/>
    <mergeCell ref="AI66:AI84"/>
    <mergeCell ref="AJ66:AJ84"/>
    <mergeCell ref="AK66:AK84"/>
    <mergeCell ref="AL66:AL84"/>
    <mergeCell ref="AM66:AM84"/>
    <mergeCell ref="AD66:AD84"/>
    <mergeCell ref="AE66:AE84"/>
    <mergeCell ref="R66:R84"/>
    <mergeCell ref="S66:S84"/>
    <mergeCell ref="T66:T74"/>
    <mergeCell ref="W66:W84"/>
    <mergeCell ref="X66:X84"/>
    <mergeCell ref="Y66:Y84"/>
    <mergeCell ref="J66:J74"/>
    <mergeCell ref="K66:K74"/>
    <mergeCell ref="J75:J79"/>
    <mergeCell ref="K75:K79"/>
    <mergeCell ref="L75:L79"/>
    <mergeCell ref="M75:M79"/>
    <mergeCell ref="Q75:Q79"/>
    <mergeCell ref="T75:T79"/>
    <mergeCell ref="Z66:Z84"/>
    <mergeCell ref="AA66:AA84"/>
    <mergeCell ref="AB66:AB84"/>
    <mergeCell ref="L66:L74"/>
    <mergeCell ref="M66:M74"/>
    <mergeCell ref="P66:P84"/>
    <mergeCell ref="Q66:Q74"/>
    <mergeCell ref="Q80:Q84"/>
    <mergeCell ref="AP37:AP64"/>
    <mergeCell ref="AQ37:AQ64"/>
    <mergeCell ref="J40:J46"/>
    <mergeCell ref="K40:K46"/>
    <mergeCell ref="L40:L46"/>
    <mergeCell ref="M40:M46"/>
    <mergeCell ref="Q40:Q46"/>
    <mergeCell ref="J47:J58"/>
    <mergeCell ref="K47:K58"/>
    <mergeCell ref="L47:L58"/>
    <mergeCell ref="AJ37:AJ64"/>
    <mergeCell ref="AK37:AK64"/>
    <mergeCell ref="AL37:AL64"/>
    <mergeCell ref="AM37:AM64"/>
    <mergeCell ref="AN37:AN64"/>
    <mergeCell ref="AO37:AO64"/>
    <mergeCell ref="AD37:AD64"/>
    <mergeCell ref="AE37:AE64"/>
    <mergeCell ref="AF37:AF64"/>
    <mergeCell ref="AG37:AG64"/>
    <mergeCell ref="AH37:AH64"/>
    <mergeCell ref="AI37:AI64"/>
    <mergeCell ref="X37:X64"/>
    <mergeCell ref="Y37:Y64"/>
    <mergeCell ref="Z37:Z64"/>
    <mergeCell ref="AA37:AA64"/>
    <mergeCell ref="AB37:AB64"/>
    <mergeCell ref="AC37:AC64"/>
    <mergeCell ref="P37:P64"/>
    <mergeCell ref="Q37:Q39"/>
    <mergeCell ref="R37:R64"/>
    <mergeCell ref="S37:S64"/>
    <mergeCell ref="T37:T46"/>
    <mergeCell ref="W37:W64"/>
    <mergeCell ref="Q47:Q58"/>
    <mergeCell ref="T47:T64"/>
    <mergeCell ref="Q59:Q64"/>
    <mergeCell ref="J37:J39"/>
    <mergeCell ref="K37:K39"/>
    <mergeCell ref="L37:L39"/>
    <mergeCell ref="M37:M39"/>
    <mergeCell ref="N37:N64"/>
    <mergeCell ref="O37:O64"/>
    <mergeCell ref="M47:M58"/>
    <mergeCell ref="J59:J64"/>
    <mergeCell ref="K59:K64"/>
    <mergeCell ref="L59:L64"/>
    <mergeCell ref="M59:M64"/>
    <mergeCell ref="AO31:AO35"/>
    <mergeCell ref="AP31:AP35"/>
    <mergeCell ref="AQ31:AQ35"/>
    <mergeCell ref="J34:J35"/>
    <mergeCell ref="K34:K35"/>
    <mergeCell ref="L34:L35"/>
    <mergeCell ref="M34:M35"/>
    <mergeCell ref="Q34:Q35"/>
    <mergeCell ref="T34:T35"/>
    <mergeCell ref="AI31:AI35"/>
    <mergeCell ref="AJ31:AJ35"/>
    <mergeCell ref="AK31:AK35"/>
    <mergeCell ref="AL31:AL35"/>
    <mergeCell ref="AM31:AM35"/>
    <mergeCell ref="AN31:AN35"/>
    <mergeCell ref="AC31:AC35"/>
    <mergeCell ref="AD31:AD35"/>
    <mergeCell ref="AE31:AE35"/>
    <mergeCell ref="AF31:AF35"/>
    <mergeCell ref="AG31:AG35"/>
    <mergeCell ref="AH31:AH35"/>
    <mergeCell ref="W31:W35"/>
    <mergeCell ref="X31:X35"/>
    <mergeCell ref="Y31:Y35"/>
    <mergeCell ref="J31:J33"/>
    <mergeCell ref="K31:K33"/>
    <mergeCell ref="L31:L33"/>
    <mergeCell ref="M31:M33"/>
    <mergeCell ref="N31:N35"/>
    <mergeCell ref="Z31:Z35"/>
    <mergeCell ref="AA31:AA35"/>
    <mergeCell ref="AB31:AB35"/>
    <mergeCell ref="O31:O35"/>
    <mergeCell ref="P31:P35"/>
    <mergeCell ref="Q31:Q33"/>
    <mergeCell ref="R31:R35"/>
    <mergeCell ref="S31:S35"/>
    <mergeCell ref="T31:T33"/>
    <mergeCell ref="AP12:AP28"/>
    <mergeCell ref="AQ12:AQ28"/>
    <mergeCell ref="J18:J22"/>
    <mergeCell ref="K18:K22"/>
    <mergeCell ref="L18:L22"/>
    <mergeCell ref="M18:M22"/>
    <mergeCell ref="Q18:Q22"/>
    <mergeCell ref="T18:T22"/>
    <mergeCell ref="J23:J28"/>
    <mergeCell ref="AI12:AI28"/>
    <mergeCell ref="AJ12:AJ28"/>
    <mergeCell ref="AK12:AK28"/>
    <mergeCell ref="AL12:AL28"/>
    <mergeCell ref="AM12:AM28"/>
    <mergeCell ref="AN12:AN28"/>
    <mergeCell ref="AC12:AC28"/>
    <mergeCell ref="AD12:AD28"/>
    <mergeCell ref="AE12:AE28"/>
    <mergeCell ref="AF12:AF28"/>
    <mergeCell ref="AG12:AG28"/>
    <mergeCell ref="AH12:AH28"/>
    <mergeCell ref="W12:W28"/>
    <mergeCell ref="X12:X28"/>
    <mergeCell ref="K23:K28"/>
    <mergeCell ref="AA12:AA28"/>
    <mergeCell ref="AB12:AB28"/>
    <mergeCell ref="O12:O28"/>
    <mergeCell ref="P12:P28"/>
    <mergeCell ref="Q12:Q17"/>
    <mergeCell ref="R12:R28"/>
    <mergeCell ref="S12:S28"/>
    <mergeCell ref="T12:T17"/>
    <mergeCell ref="AO12:AO28"/>
    <mergeCell ref="Q23:Q28"/>
    <mergeCell ref="T23:T28"/>
    <mergeCell ref="A10:C10"/>
    <mergeCell ref="J12:J17"/>
    <mergeCell ref="K12:K17"/>
    <mergeCell ref="L12:L17"/>
    <mergeCell ref="M12:M17"/>
    <mergeCell ref="N12:N28"/>
    <mergeCell ref="W7:W8"/>
    <mergeCell ref="X7:X8"/>
    <mergeCell ref="Y7:Z7"/>
    <mergeCell ref="Q7:Q8"/>
    <mergeCell ref="R7:R8"/>
    <mergeCell ref="S7:S8"/>
    <mergeCell ref="T7:T8"/>
    <mergeCell ref="U7:U8"/>
    <mergeCell ref="V7:V8"/>
    <mergeCell ref="K7:K8"/>
    <mergeCell ref="L7:L8"/>
    <mergeCell ref="Y12:Y28"/>
    <mergeCell ref="Z12:Z28"/>
    <mergeCell ref="L23:L28"/>
    <mergeCell ref="M23:M28"/>
    <mergeCell ref="M7:M8"/>
    <mergeCell ref="N7:N8"/>
    <mergeCell ref="O7:O8"/>
    <mergeCell ref="P7:P8"/>
    <mergeCell ref="A1:AO4"/>
    <mergeCell ref="A5:O6"/>
    <mergeCell ref="P5:AQ6"/>
    <mergeCell ref="A7:A8"/>
    <mergeCell ref="B7:C8"/>
    <mergeCell ref="D7:D8"/>
    <mergeCell ref="E7:F8"/>
    <mergeCell ref="G7:G8"/>
    <mergeCell ref="H7:I8"/>
    <mergeCell ref="J7:J8"/>
    <mergeCell ref="AN7:AN8"/>
    <mergeCell ref="AO7:AO8"/>
    <mergeCell ref="AP7:AP8"/>
    <mergeCell ref="AQ7:AQ8"/>
    <mergeCell ref="AA7:AD7"/>
    <mergeCell ref="AE7:AJ7"/>
    <mergeCell ref="AK7:AM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BJ63"/>
  <sheetViews>
    <sheetView showGridLines="0" zoomScale="55" zoomScaleNormal="55" workbookViewId="0">
      <selection sqref="A1:AO4"/>
    </sheetView>
  </sheetViews>
  <sheetFormatPr baseColWidth="10" defaultColWidth="11.42578125" defaultRowHeight="14.25" x14ac:dyDescent="0.2"/>
  <cols>
    <col min="1" max="1" width="12.85546875" style="1403" customWidth="1"/>
    <col min="2" max="2" width="4" style="884" customWidth="1"/>
    <col min="3" max="3" width="18.28515625" style="884" customWidth="1"/>
    <col min="4" max="4" width="13.140625" style="884" customWidth="1"/>
    <col min="5" max="5" width="6.42578125" style="884" customWidth="1"/>
    <col min="6" max="6" width="8.42578125" style="884" customWidth="1"/>
    <col min="7" max="7" width="15" style="884" customWidth="1"/>
    <col min="8" max="8" width="4.5703125" style="884" customWidth="1"/>
    <col min="9" max="9" width="11.7109375" style="884" customWidth="1"/>
    <col min="10" max="10" width="15.42578125" style="884" customWidth="1"/>
    <col min="11" max="11" width="25.85546875" style="899" customWidth="1"/>
    <col min="12" max="12" width="22.85546875" style="888" customWidth="1"/>
    <col min="13" max="13" width="26.42578125" style="888" customWidth="1"/>
    <col min="14" max="14" width="26.140625" style="888" customWidth="1"/>
    <col min="15" max="15" width="14" style="1404" customWidth="1"/>
    <col min="16" max="16" width="22.42578125" style="899" customWidth="1"/>
    <col min="17" max="17" width="17.85546875" style="1405" customWidth="1"/>
    <col min="18" max="18" width="24.5703125" style="1406" customWidth="1"/>
    <col min="19" max="19" width="29" style="899" customWidth="1"/>
    <col min="20" max="20" width="21.28515625" style="899" customWidth="1"/>
    <col min="21" max="21" width="36.42578125" style="899" customWidth="1"/>
    <col min="22" max="22" width="21.28515625" style="1407" customWidth="1"/>
    <col min="23" max="23" width="18" style="1408" customWidth="1"/>
    <col min="24" max="24" width="26.28515625" style="1409" customWidth="1"/>
    <col min="25" max="25" width="9.28515625" style="884" bestFit="1" customWidth="1"/>
    <col min="26" max="26" width="9.42578125" style="884" bestFit="1" customWidth="1"/>
    <col min="27" max="28" width="7.7109375" style="884" bestFit="1" customWidth="1"/>
    <col min="29" max="29" width="14.42578125" style="884" customWidth="1"/>
    <col min="30" max="30" width="7.7109375" style="884" bestFit="1" customWidth="1"/>
    <col min="31" max="31" width="5.5703125" style="884" bestFit="1" customWidth="1"/>
    <col min="32" max="32" width="7.7109375" style="884" bestFit="1" customWidth="1"/>
    <col min="33" max="36" width="4.5703125" style="884" bestFit="1" customWidth="1"/>
    <col min="37" max="37" width="5.28515625" style="884" bestFit="1" customWidth="1"/>
    <col min="38" max="38" width="4.5703125" style="884" bestFit="1" customWidth="1"/>
    <col min="39" max="39" width="6.7109375" style="884" customWidth="1"/>
    <col min="40" max="40" width="10.28515625" style="884" customWidth="1"/>
    <col min="41" max="41" width="19.85546875" style="1410" customWidth="1"/>
    <col min="42" max="42" width="23.5703125" style="1411" customWidth="1"/>
    <col min="43" max="43" width="23.7109375" style="884" bestFit="1" customWidth="1"/>
    <col min="44" max="255" width="11.42578125" style="884"/>
    <col min="256" max="256" width="13.140625" style="884" customWidth="1"/>
    <col min="257" max="257" width="4" style="884" customWidth="1"/>
    <col min="258" max="258" width="12.85546875" style="884" customWidth="1"/>
    <col min="259" max="259" width="14.7109375" style="884" customWidth="1"/>
    <col min="260" max="260" width="10" style="884" customWidth="1"/>
    <col min="261" max="261" width="6.28515625" style="884" customWidth="1"/>
    <col min="262" max="262" width="12.28515625" style="884" customWidth="1"/>
    <col min="263" max="263" width="8.5703125" style="884" customWidth="1"/>
    <col min="264" max="264" width="13.7109375" style="884" customWidth="1"/>
    <col min="265" max="265" width="11.5703125" style="884" customWidth="1"/>
    <col min="266" max="266" width="34.28515625" style="884" customWidth="1"/>
    <col min="267" max="267" width="24.28515625" style="884" customWidth="1"/>
    <col min="268" max="268" width="21.140625" style="884" customWidth="1"/>
    <col min="269" max="269" width="22.140625" style="884" customWidth="1"/>
    <col min="270" max="270" width="8" style="884" customWidth="1"/>
    <col min="271" max="271" width="17" style="884" customWidth="1"/>
    <col min="272" max="272" width="12.7109375" style="884" customWidth="1"/>
    <col min="273" max="273" width="24.5703125" style="884" customWidth="1"/>
    <col min="274" max="274" width="29" style="884" customWidth="1"/>
    <col min="275" max="275" width="17.7109375" style="884" customWidth="1"/>
    <col min="276" max="276" width="36.42578125" style="884" customWidth="1"/>
    <col min="277" max="277" width="21.85546875" style="884" customWidth="1"/>
    <col min="278" max="278" width="11.7109375" style="884" customWidth="1"/>
    <col min="279" max="279" width="26.28515625" style="884" customWidth="1"/>
    <col min="280" max="280" width="9" style="884" customWidth="1"/>
    <col min="281" max="281" width="6.28515625" style="884" customWidth="1"/>
    <col min="282" max="283" width="7.28515625" style="884" customWidth="1"/>
    <col min="284" max="284" width="8.42578125" style="884" customWidth="1"/>
    <col min="285" max="285" width="9.5703125" style="884" customWidth="1"/>
    <col min="286" max="286" width="6.28515625" style="884" customWidth="1"/>
    <col min="287" max="287" width="5.85546875" style="884" customWidth="1"/>
    <col min="288" max="289" width="4.42578125" style="884" customWidth="1"/>
    <col min="290" max="290" width="5" style="884" customWidth="1"/>
    <col min="291" max="291" width="5.85546875" style="884" customWidth="1"/>
    <col min="292" max="292" width="6.140625" style="884" customWidth="1"/>
    <col min="293" max="293" width="6.28515625" style="884" customWidth="1"/>
    <col min="294" max="294" width="11.140625" style="884" customWidth="1"/>
    <col min="295" max="295" width="14.140625" style="884" customWidth="1"/>
    <col min="296" max="296" width="19.85546875" style="884" customWidth="1"/>
    <col min="297" max="297" width="17" style="884" customWidth="1"/>
    <col min="298" max="298" width="20.85546875" style="884" customWidth="1"/>
    <col min="299" max="511" width="11.42578125" style="884"/>
    <col min="512" max="512" width="13.140625" style="884" customWidth="1"/>
    <col min="513" max="513" width="4" style="884" customWidth="1"/>
    <col min="514" max="514" width="12.85546875" style="884" customWidth="1"/>
    <col min="515" max="515" width="14.7109375" style="884" customWidth="1"/>
    <col min="516" max="516" width="10" style="884" customWidth="1"/>
    <col min="517" max="517" width="6.28515625" style="884" customWidth="1"/>
    <col min="518" max="518" width="12.28515625" style="884" customWidth="1"/>
    <col min="519" max="519" width="8.5703125" style="884" customWidth="1"/>
    <col min="520" max="520" width="13.7109375" style="884" customWidth="1"/>
    <col min="521" max="521" width="11.5703125" style="884" customWidth="1"/>
    <col min="522" max="522" width="34.28515625" style="884" customWidth="1"/>
    <col min="523" max="523" width="24.28515625" style="884" customWidth="1"/>
    <col min="524" max="524" width="21.140625" style="884" customWidth="1"/>
    <col min="525" max="525" width="22.140625" style="884" customWidth="1"/>
    <col min="526" max="526" width="8" style="884" customWidth="1"/>
    <col min="527" max="527" width="17" style="884" customWidth="1"/>
    <col min="528" max="528" width="12.7109375" style="884" customWidth="1"/>
    <col min="529" max="529" width="24.5703125" style="884" customWidth="1"/>
    <col min="530" max="530" width="29" style="884" customWidth="1"/>
    <col min="531" max="531" width="17.7109375" style="884" customWidth="1"/>
    <col min="532" max="532" width="36.42578125" style="884" customWidth="1"/>
    <col min="533" max="533" width="21.85546875" style="884" customWidth="1"/>
    <col min="534" max="534" width="11.7109375" style="884" customWidth="1"/>
    <col min="535" max="535" width="26.28515625" style="884" customWidth="1"/>
    <col min="536" max="536" width="9" style="884" customWidth="1"/>
    <col min="537" max="537" width="6.28515625" style="884" customWidth="1"/>
    <col min="538" max="539" width="7.28515625" style="884" customWidth="1"/>
    <col min="540" max="540" width="8.42578125" style="884" customWidth="1"/>
    <col min="541" max="541" width="9.5703125" style="884" customWidth="1"/>
    <col min="542" max="542" width="6.28515625" style="884" customWidth="1"/>
    <col min="543" max="543" width="5.85546875" style="884" customWidth="1"/>
    <col min="544" max="545" width="4.42578125" style="884" customWidth="1"/>
    <col min="546" max="546" width="5" style="884" customWidth="1"/>
    <col min="547" max="547" width="5.85546875" style="884" customWidth="1"/>
    <col min="548" max="548" width="6.140625" style="884" customWidth="1"/>
    <col min="549" max="549" width="6.28515625" style="884" customWidth="1"/>
    <col min="550" max="550" width="11.140625" style="884" customWidth="1"/>
    <col min="551" max="551" width="14.140625" style="884" customWidth="1"/>
    <col min="552" max="552" width="19.85546875" style="884" customWidth="1"/>
    <col min="553" max="553" width="17" style="884" customWidth="1"/>
    <col min="554" max="554" width="20.85546875" style="884" customWidth="1"/>
    <col min="555" max="767" width="11.42578125" style="884"/>
    <col min="768" max="768" width="13.140625" style="884" customWidth="1"/>
    <col min="769" max="769" width="4" style="884" customWidth="1"/>
    <col min="770" max="770" width="12.85546875" style="884" customWidth="1"/>
    <col min="771" max="771" width="14.7109375" style="884" customWidth="1"/>
    <col min="772" max="772" width="10" style="884" customWidth="1"/>
    <col min="773" max="773" width="6.28515625" style="884" customWidth="1"/>
    <col min="774" max="774" width="12.28515625" style="884" customWidth="1"/>
    <col min="775" max="775" width="8.5703125" style="884" customWidth="1"/>
    <col min="776" max="776" width="13.7109375" style="884" customWidth="1"/>
    <col min="777" max="777" width="11.5703125" style="884" customWidth="1"/>
    <col min="778" max="778" width="34.28515625" style="884" customWidth="1"/>
    <col min="779" max="779" width="24.28515625" style="884" customWidth="1"/>
    <col min="780" max="780" width="21.140625" style="884" customWidth="1"/>
    <col min="781" max="781" width="22.140625" style="884" customWidth="1"/>
    <col min="782" max="782" width="8" style="884" customWidth="1"/>
    <col min="783" max="783" width="17" style="884" customWidth="1"/>
    <col min="784" max="784" width="12.7109375" style="884" customWidth="1"/>
    <col min="785" max="785" width="24.5703125" style="884" customWidth="1"/>
    <col min="786" max="786" width="29" style="884" customWidth="1"/>
    <col min="787" max="787" width="17.7109375" style="884" customWidth="1"/>
    <col min="788" max="788" width="36.42578125" style="884" customWidth="1"/>
    <col min="789" max="789" width="21.85546875" style="884" customWidth="1"/>
    <col min="790" max="790" width="11.7109375" style="884" customWidth="1"/>
    <col min="791" max="791" width="26.28515625" style="884" customWidth="1"/>
    <col min="792" max="792" width="9" style="884" customWidth="1"/>
    <col min="793" max="793" width="6.28515625" style="884" customWidth="1"/>
    <col min="794" max="795" width="7.28515625" style="884" customWidth="1"/>
    <col min="796" max="796" width="8.42578125" style="884" customWidth="1"/>
    <col min="797" max="797" width="9.5703125" style="884" customWidth="1"/>
    <col min="798" max="798" width="6.28515625" style="884" customWidth="1"/>
    <col min="799" max="799" width="5.85546875" style="884" customWidth="1"/>
    <col min="800" max="801" width="4.42578125" style="884" customWidth="1"/>
    <col min="802" max="802" width="5" style="884" customWidth="1"/>
    <col min="803" max="803" width="5.85546875" style="884" customWidth="1"/>
    <col min="804" max="804" width="6.140625" style="884" customWidth="1"/>
    <col min="805" max="805" width="6.28515625" style="884" customWidth="1"/>
    <col min="806" max="806" width="11.140625" style="884" customWidth="1"/>
    <col min="807" max="807" width="14.140625" style="884" customWidth="1"/>
    <col min="808" max="808" width="19.85546875" style="884" customWidth="1"/>
    <col min="809" max="809" width="17" style="884" customWidth="1"/>
    <col min="810" max="810" width="20.85546875" style="884" customWidth="1"/>
    <col min="811" max="1023" width="11.42578125" style="884"/>
    <col min="1024" max="1024" width="13.140625" style="884" customWidth="1"/>
    <col min="1025" max="1025" width="4" style="884" customWidth="1"/>
    <col min="1026" max="1026" width="12.85546875" style="884" customWidth="1"/>
    <col min="1027" max="1027" width="14.7109375" style="884" customWidth="1"/>
    <col min="1028" max="1028" width="10" style="884" customWidth="1"/>
    <col min="1029" max="1029" width="6.28515625" style="884" customWidth="1"/>
    <col min="1030" max="1030" width="12.28515625" style="884" customWidth="1"/>
    <col min="1031" max="1031" width="8.5703125" style="884" customWidth="1"/>
    <col min="1032" max="1032" width="13.7109375" style="884" customWidth="1"/>
    <col min="1033" max="1033" width="11.5703125" style="884" customWidth="1"/>
    <col min="1034" max="1034" width="34.28515625" style="884" customWidth="1"/>
    <col min="1035" max="1035" width="24.28515625" style="884" customWidth="1"/>
    <col min="1036" max="1036" width="21.140625" style="884" customWidth="1"/>
    <col min="1037" max="1037" width="22.140625" style="884" customWidth="1"/>
    <col min="1038" max="1038" width="8" style="884" customWidth="1"/>
    <col min="1039" max="1039" width="17" style="884" customWidth="1"/>
    <col min="1040" max="1040" width="12.7109375" style="884" customWidth="1"/>
    <col min="1041" max="1041" width="24.5703125" style="884" customWidth="1"/>
    <col min="1042" max="1042" width="29" style="884" customWidth="1"/>
    <col min="1043" max="1043" width="17.7109375" style="884" customWidth="1"/>
    <col min="1044" max="1044" width="36.42578125" style="884" customWidth="1"/>
    <col min="1045" max="1045" width="21.85546875" style="884" customWidth="1"/>
    <col min="1046" max="1046" width="11.7109375" style="884" customWidth="1"/>
    <col min="1047" max="1047" width="26.28515625" style="884" customWidth="1"/>
    <col min="1048" max="1048" width="9" style="884" customWidth="1"/>
    <col min="1049" max="1049" width="6.28515625" style="884" customWidth="1"/>
    <col min="1050" max="1051" width="7.28515625" style="884" customWidth="1"/>
    <col min="1052" max="1052" width="8.42578125" style="884" customWidth="1"/>
    <col min="1053" max="1053" width="9.5703125" style="884" customWidth="1"/>
    <col min="1054" max="1054" width="6.28515625" style="884" customWidth="1"/>
    <col min="1055" max="1055" width="5.85546875" style="884" customWidth="1"/>
    <col min="1056" max="1057" width="4.42578125" style="884" customWidth="1"/>
    <col min="1058" max="1058" width="5" style="884" customWidth="1"/>
    <col min="1059" max="1059" width="5.85546875" style="884" customWidth="1"/>
    <col min="1060" max="1060" width="6.140625" style="884" customWidth="1"/>
    <col min="1061" max="1061" width="6.28515625" style="884" customWidth="1"/>
    <col min="1062" max="1062" width="11.140625" style="884" customWidth="1"/>
    <col min="1063" max="1063" width="14.140625" style="884" customWidth="1"/>
    <col min="1064" max="1064" width="19.85546875" style="884" customWidth="1"/>
    <col min="1065" max="1065" width="17" style="884" customWidth="1"/>
    <col min="1066" max="1066" width="20.85546875" style="884" customWidth="1"/>
    <col min="1067" max="1279" width="11.42578125" style="884"/>
    <col min="1280" max="1280" width="13.140625" style="884" customWidth="1"/>
    <col min="1281" max="1281" width="4" style="884" customWidth="1"/>
    <col min="1282" max="1282" width="12.85546875" style="884" customWidth="1"/>
    <col min="1283" max="1283" width="14.7109375" style="884" customWidth="1"/>
    <col min="1284" max="1284" width="10" style="884" customWidth="1"/>
    <col min="1285" max="1285" width="6.28515625" style="884" customWidth="1"/>
    <col min="1286" max="1286" width="12.28515625" style="884" customWidth="1"/>
    <col min="1287" max="1287" width="8.5703125" style="884" customWidth="1"/>
    <col min="1288" max="1288" width="13.7109375" style="884" customWidth="1"/>
    <col min="1289" max="1289" width="11.5703125" style="884" customWidth="1"/>
    <col min="1290" max="1290" width="34.28515625" style="884" customWidth="1"/>
    <col min="1291" max="1291" width="24.28515625" style="884" customWidth="1"/>
    <col min="1292" max="1292" width="21.140625" style="884" customWidth="1"/>
    <col min="1293" max="1293" width="22.140625" style="884" customWidth="1"/>
    <col min="1294" max="1294" width="8" style="884" customWidth="1"/>
    <col min="1295" max="1295" width="17" style="884" customWidth="1"/>
    <col min="1296" max="1296" width="12.7109375" style="884" customWidth="1"/>
    <col min="1297" max="1297" width="24.5703125" style="884" customWidth="1"/>
    <col min="1298" max="1298" width="29" style="884" customWidth="1"/>
    <col min="1299" max="1299" width="17.7109375" style="884" customWidth="1"/>
    <col min="1300" max="1300" width="36.42578125" style="884" customWidth="1"/>
    <col min="1301" max="1301" width="21.85546875" style="884" customWidth="1"/>
    <col min="1302" max="1302" width="11.7109375" style="884" customWidth="1"/>
    <col min="1303" max="1303" width="26.28515625" style="884" customWidth="1"/>
    <col min="1304" max="1304" width="9" style="884" customWidth="1"/>
    <col min="1305" max="1305" width="6.28515625" style="884" customWidth="1"/>
    <col min="1306" max="1307" width="7.28515625" style="884" customWidth="1"/>
    <col min="1308" max="1308" width="8.42578125" style="884" customWidth="1"/>
    <col min="1309" max="1309" width="9.5703125" style="884" customWidth="1"/>
    <col min="1310" max="1310" width="6.28515625" style="884" customWidth="1"/>
    <col min="1311" max="1311" width="5.85546875" style="884" customWidth="1"/>
    <col min="1312" max="1313" width="4.42578125" style="884" customWidth="1"/>
    <col min="1314" max="1314" width="5" style="884" customWidth="1"/>
    <col min="1315" max="1315" width="5.85546875" style="884" customWidth="1"/>
    <col min="1316" max="1316" width="6.140625" style="884" customWidth="1"/>
    <col min="1317" max="1317" width="6.28515625" style="884" customWidth="1"/>
    <col min="1318" max="1318" width="11.140625" style="884" customWidth="1"/>
    <col min="1319" max="1319" width="14.140625" style="884" customWidth="1"/>
    <col min="1320" max="1320" width="19.85546875" style="884" customWidth="1"/>
    <col min="1321" max="1321" width="17" style="884" customWidth="1"/>
    <col min="1322" max="1322" width="20.85546875" style="884" customWidth="1"/>
    <col min="1323" max="1535" width="11.42578125" style="884"/>
    <col min="1536" max="1536" width="13.140625" style="884" customWidth="1"/>
    <col min="1537" max="1537" width="4" style="884" customWidth="1"/>
    <col min="1538" max="1538" width="12.85546875" style="884" customWidth="1"/>
    <col min="1539" max="1539" width="14.7109375" style="884" customWidth="1"/>
    <col min="1540" max="1540" width="10" style="884" customWidth="1"/>
    <col min="1541" max="1541" width="6.28515625" style="884" customWidth="1"/>
    <col min="1542" max="1542" width="12.28515625" style="884" customWidth="1"/>
    <col min="1543" max="1543" width="8.5703125" style="884" customWidth="1"/>
    <col min="1544" max="1544" width="13.7109375" style="884" customWidth="1"/>
    <col min="1545" max="1545" width="11.5703125" style="884" customWidth="1"/>
    <col min="1546" max="1546" width="34.28515625" style="884" customWidth="1"/>
    <col min="1547" max="1547" width="24.28515625" style="884" customWidth="1"/>
    <col min="1548" max="1548" width="21.140625" style="884" customWidth="1"/>
    <col min="1549" max="1549" width="22.140625" style="884" customWidth="1"/>
    <col min="1550" max="1550" width="8" style="884" customWidth="1"/>
    <col min="1551" max="1551" width="17" style="884" customWidth="1"/>
    <col min="1552" max="1552" width="12.7109375" style="884" customWidth="1"/>
    <col min="1553" max="1553" width="24.5703125" style="884" customWidth="1"/>
    <col min="1554" max="1554" width="29" style="884" customWidth="1"/>
    <col min="1555" max="1555" width="17.7109375" style="884" customWidth="1"/>
    <col min="1556" max="1556" width="36.42578125" style="884" customWidth="1"/>
    <col min="1557" max="1557" width="21.85546875" style="884" customWidth="1"/>
    <col min="1558" max="1558" width="11.7109375" style="884" customWidth="1"/>
    <col min="1559" max="1559" width="26.28515625" style="884" customWidth="1"/>
    <col min="1560" max="1560" width="9" style="884" customWidth="1"/>
    <col min="1561" max="1561" width="6.28515625" style="884" customWidth="1"/>
    <col min="1562" max="1563" width="7.28515625" style="884" customWidth="1"/>
    <col min="1564" max="1564" width="8.42578125" style="884" customWidth="1"/>
    <col min="1565" max="1565" width="9.5703125" style="884" customWidth="1"/>
    <col min="1566" max="1566" width="6.28515625" style="884" customWidth="1"/>
    <col min="1567" max="1567" width="5.85546875" style="884" customWidth="1"/>
    <col min="1568" max="1569" width="4.42578125" style="884" customWidth="1"/>
    <col min="1570" max="1570" width="5" style="884" customWidth="1"/>
    <col min="1571" max="1571" width="5.85546875" style="884" customWidth="1"/>
    <col min="1572" max="1572" width="6.140625" style="884" customWidth="1"/>
    <col min="1573" max="1573" width="6.28515625" style="884" customWidth="1"/>
    <col min="1574" max="1574" width="11.140625" style="884" customWidth="1"/>
    <col min="1575" max="1575" width="14.140625" style="884" customWidth="1"/>
    <col min="1576" max="1576" width="19.85546875" style="884" customWidth="1"/>
    <col min="1577" max="1577" width="17" style="884" customWidth="1"/>
    <col min="1578" max="1578" width="20.85546875" style="884" customWidth="1"/>
    <col min="1579" max="1791" width="11.42578125" style="884"/>
    <col min="1792" max="1792" width="13.140625" style="884" customWidth="1"/>
    <col min="1793" max="1793" width="4" style="884" customWidth="1"/>
    <col min="1794" max="1794" width="12.85546875" style="884" customWidth="1"/>
    <col min="1795" max="1795" width="14.7109375" style="884" customWidth="1"/>
    <col min="1796" max="1796" width="10" style="884" customWidth="1"/>
    <col min="1797" max="1797" width="6.28515625" style="884" customWidth="1"/>
    <col min="1798" max="1798" width="12.28515625" style="884" customWidth="1"/>
    <col min="1799" max="1799" width="8.5703125" style="884" customWidth="1"/>
    <col min="1800" max="1800" width="13.7109375" style="884" customWidth="1"/>
    <col min="1801" max="1801" width="11.5703125" style="884" customWidth="1"/>
    <col min="1802" max="1802" width="34.28515625" style="884" customWidth="1"/>
    <col min="1803" max="1803" width="24.28515625" style="884" customWidth="1"/>
    <col min="1804" max="1804" width="21.140625" style="884" customWidth="1"/>
    <col min="1805" max="1805" width="22.140625" style="884" customWidth="1"/>
    <col min="1806" max="1806" width="8" style="884" customWidth="1"/>
    <col min="1807" max="1807" width="17" style="884" customWidth="1"/>
    <col min="1808" max="1808" width="12.7109375" style="884" customWidth="1"/>
    <col min="1809" max="1809" width="24.5703125" style="884" customWidth="1"/>
    <col min="1810" max="1810" width="29" style="884" customWidth="1"/>
    <col min="1811" max="1811" width="17.7109375" style="884" customWidth="1"/>
    <col min="1812" max="1812" width="36.42578125" style="884" customWidth="1"/>
    <col min="1813" max="1813" width="21.85546875" style="884" customWidth="1"/>
    <col min="1814" max="1814" width="11.7109375" style="884" customWidth="1"/>
    <col min="1815" max="1815" width="26.28515625" style="884" customWidth="1"/>
    <col min="1816" max="1816" width="9" style="884" customWidth="1"/>
    <col min="1817" max="1817" width="6.28515625" style="884" customWidth="1"/>
    <col min="1818" max="1819" width="7.28515625" style="884" customWidth="1"/>
    <col min="1820" max="1820" width="8.42578125" style="884" customWidth="1"/>
    <col min="1821" max="1821" width="9.5703125" style="884" customWidth="1"/>
    <col min="1822" max="1822" width="6.28515625" style="884" customWidth="1"/>
    <col min="1823" max="1823" width="5.85546875" style="884" customWidth="1"/>
    <col min="1824" max="1825" width="4.42578125" style="884" customWidth="1"/>
    <col min="1826" max="1826" width="5" style="884" customWidth="1"/>
    <col min="1827" max="1827" width="5.85546875" style="884" customWidth="1"/>
    <col min="1828" max="1828" width="6.140625" style="884" customWidth="1"/>
    <col min="1829" max="1829" width="6.28515625" style="884" customWidth="1"/>
    <col min="1830" max="1830" width="11.140625" style="884" customWidth="1"/>
    <col min="1831" max="1831" width="14.140625" style="884" customWidth="1"/>
    <col min="1832" max="1832" width="19.85546875" style="884" customWidth="1"/>
    <col min="1833" max="1833" width="17" style="884" customWidth="1"/>
    <col min="1834" max="1834" width="20.85546875" style="884" customWidth="1"/>
    <col min="1835" max="2047" width="11.42578125" style="884"/>
    <col min="2048" max="2048" width="13.140625" style="884" customWidth="1"/>
    <col min="2049" max="2049" width="4" style="884" customWidth="1"/>
    <col min="2050" max="2050" width="12.85546875" style="884" customWidth="1"/>
    <col min="2051" max="2051" width="14.7109375" style="884" customWidth="1"/>
    <col min="2052" max="2052" width="10" style="884" customWidth="1"/>
    <col min="2053" max="2053" width="6.28515625" style="884" customWidth="1"/>
    <col min="2054" max="2054" width="12.28515625" style="884" customWidth="1"/>
    <col min="2055" max="2055" width="8.5703125" style="884" customWidth="1"/>
    <col min="2056" max="2056" width="13.7109375" style="884" customWidth="1"/>
    <col min="2057" max="2057" width="11.5703125" style="884" customWidth="1"/>
    <col min="2058" max="2058" width="34.28515625" style="884" customWidth="1"/>
    <col min="2059" max="2059" width="24.28515625" style="884" customWidth="1"/>
    <col min="2060" max="2060" width="21.140625" style="884" customWidth="1"/>
    <col min="2061" max="2061" width="22.140625" style="884" customWidth="1"/>
    <col min="2062" max="2062" width="8" style="884" customWidth="1"/>
    <col min="2063" max="2063" width="17" style="884" customWidth="1"/>
    <col min="2064" max="2064" width="12.7109375" style="884" customWidth="1"/>
    <col min="2065" max="2065" width="24.5703125" style="884" customWidth="1"/>
    <col min="2066" max="2066" width="29" style="884" customWidth="1"/>
    <col min="2067" max="2067" width="17.7109375" style="884" customWidth="1"/>
    <col min="2068" max="2068" width="36.42578125" style="884" customWidth="1"/>
    <col min="2069" max="2069" width="21.85546875" style="884" customWidth="1"/>
    <col min="2070" max="2070" width="11.7109375" style="884" customWidth="1"/>
    <col min="2071" max="2071" width="26.28515625" style="884" customWidth="1"/>
    <col min="2072" max="2072" width="9" style="884" customWidth="1"/>
    <col min="2073" max="2073" width="6.28515625" style="884" customWidth="1"/>
    <col min="2074" max="2075" width="7.28515625" style="884" customWidth="1"/>
    <col min="2076" max="2076" width="8.42578125" style="884" customWidth="1"/>
    <col min="2077" max="2077" width="9.5703125" style="884" customWidth="1"/>
    <col min="2078" max="2078" width="6.28515625" style="884" customWidth="1"/>
    <col min="2079" max="2079" width="5.85546875" style="884" customWidth="1"/>
    <col min="2080" max="2081" width="4.42578125" style="884" customWidth="1"/>
    <col min="2082" max="2082" width="5" style="884" customWidth="1"/>
    <col min="2083" max="2083" width="5.85546875" style="884" customWidth="1"/>
    <col min="2084" max="2084" width="6.140625" style="884" customWidth="1"/>
    <col min="2085" max="2085" width="6.28515625" style="884" customWidth="1"/>
    <col min="2086" max="2086" width="11.140625" style="884" customWidth="1"/>
    <col min="2087" max="2087" width="14.140625" style="884" customWidth="1"/>
    <col min="2088" max="2088" width="19.85546875" style="884" customWidth="1"/>
    <col min="2089" max="2089" width="17" style="884" customWidth="1"/>
    <col min="2090" max="2090" width="20.85546875" style="884" customWidth="1"/>
    <col min="2091" max="2303" width="11.42578125" style="884"/>
    <col min="2304" max="2304" width="13.140625" style="884" customWidth="1"/>
    <col min="2305" max="2305" width="4" style="884" customWidth="1"/>
    <col min="2306" max="2306" width="12.85546875" style="884" customWidth="1"/>
    <col min="2307" max="2307" width="14.7109375" style="884" customWidth="1"/>
    <col min="2308" max="2308" width="10" style="884" customWidth="1"/>
    <col min="2309" max="2309" width="6.28515625" style="884" customWidth="1"/>
    <col min="2310" max="2310" width="12.28515625" style="884" customWidth="1"/>
    <col min="2311" max="2311" width="8.5703125" style="884" customWidth="1"/>
    <col min="2312" max="2312" width="13.7109375" style="884" customWidth="1"/>
    <col min="2313" max="2313" width="11.5703125" style="884" customWidth="1"/>
    <col min="2314" max="2314" width="34.28515625" style="884" customWidth="1"/>
    <col min="2315" max="2315" width="24.28515625" style="884" customWidth="1"/>
    <col min="2316" max="2316" width="21.140625" style="884" customWidth="1"/>
    <col min="2317" max="2317" width="22.140625" style="884" customWidth="1"/>
    <col min="2318" max="2318" width="8" style="884" customWidth="1"/>
    <col min="2319" max="2319" width="17" style="884" customWidth="1"/>
    <col min="2320" max="2320" width="12.7109375" style="884" customWidth="1"/>
    <col min="2321" max="2321" width="24.5703125" style="884" customWidth="1"/>
    <col min="2322" max="2322" width="29" style="884" customWidth="1"/>
    <col min="2323" max="2323" width="17.7109375" style="884" customWidth="1"/>
    <col min="2324" max="2324" width="36.42578125" style="884" customWidth="1"/>
    <col min="2325" max="2325" width="21.85546875" style="884" customWidth="1"/>
    <col min="2326" max="2326" width="11.7109375" style="884" customWidth="1"/>
    <col min="2327" max="2327" width="26.28515625" style="884" customWidth="1"/>
    <col min="2328" max="2328" width="9" style="884" customWidth="1"/>
    <col min="2329" max="2329" width="6.28515625" style="884" customWidth="1"/>
    <col min="2330" max="2331" width="7.28515625" style="884" customWidth="1"/>
    <col min="2332" max="2332" width="8.42578125" style="884" customWidth="1"/>
    <col min="2333" max="2333" width="9.5703125" style="884" customWidth="1"/>
    <col min="2334" max="2334" width="6.28515625" style="884" customWidth="1"/>
    <col min="2335" max="2335" width="5.85546875" style="884" customWidth="1"/>
    <col min="2336" max="2337" width="4.42578125" style="884" customWidth="1"/>
    <col min="2338" max="2338" width="5" style="884" customWidth="1"/>
    <col min="2339" max="2339" width="5.85546875" style="884" customWidth="1"/>
    <col min="2340" max="2340" width="6.140625" style="884" customWidth="1"/>
    <col min="2341" max="2341" width="6.28515625" style="884" customWidth="1"/>
    <col min="2342" max="2342" width="11.140625" style="884" customWidth="1"/>
    <col min="2343" max="2343" width="14.140625" style="884" customWidth="1"/>
    <col min="2344" max="2344" width="19.85546875" style="884" customWidth="1"/>
    <col min="2345" max="2345" width="17" style="884" customWidth="1"/>
    <col min="2346" max="2346" width="20.85546875" style="884" customWidth="1"/>
    <col min="2347" max="2559" width="11.42578125" style="884"/>
    <col min="2560" max="2560" width="13.140625" style="884" customWidth="1"/>
    <col min="2561" max="2561" width="4" style="884" customWidth="1"/>
    <col min="2562" max="2562" width="12.85546875" style="884" customWidth="1"/>
    <col min="2563" max="2563" width="14.7109375" style="884" customWidth="1"/>
    <col min="2564" max="2564" width="10" style="884" customWidth="1"/>
    <col min="2565" max="2565" width="6.28515625" style="884" customWidth="1"/>
    <col min="2566" max="2566" width="12.28515625" style="884" customWidth="1"/>
    <col min="2567" max="2567" width="8.5703125" style="884" customWidth="1"/>
    <col min="2568" max="2568" width="13.7109375" style="884" customWidth="1"/>
    <col min="2569" max="2569" width="11.5703125" style="884" customWidth="1"/>
    <col min="2570" max="2570" width="34.28515625" style="884" customWidth="1"/>
    <col min="2571" max="2571" width="24.28515625" style="884" customWidth="1"/>
    <col min="2572" max="2572" width="21.140625" style="884" customWidth="1"/>
    <col min="2573" max="2573" width="22.140625" style="884" customWidth="1"/>
    <col min="2574" max="2574" width="8" style="884" customWidth="1"/>
    <col min="2575" max="2575" width="17" style="884" customWidth="1"/>
    <col min="2576" max="2576" width="12.7109375" style="884" customWidth="1"/>
    <col min="2577" max="2577" width="24.5703125" style="884" customWidth="1"/>
    <col min="2578" max="2578" width="29" style="884" customWidth="1"/>
    <col min="2579" max="2579" width="17.7109375" style="884" customWidth="1"/>
    <col min="2580" max="2580" width="36.42578125" style="884" customWidth="1"/>
    <col min="2581" max="2581" width="21.85546875" style="884" customWidth="1"/>
    <col min="2582" max="2582" width="11.7109375" style="884" customWidth="1"/>
    <col min="2583" max="2583" width="26.28515625" style="884" customWidth="1"/>
    <col min="2584" max="2584" width="9" style="884" customWidth="1"/>
    <col min="2585" max="2585" width="6.28515625" style="884" customWidth="1"/>
    <col min="2586" max="2587" width="7.28515625" style="884" customWidth="1"/>
    <col min="2588" max="2588" width="8.42578125" style="884" customWidth="1"/>
    <col min="2589" max="2589" width="9.5703125" style="884" customWidth="1"/>
    <col min="2590" max="2590" width="6.28515625" style="884" customWidth="1"/>
    <col min="2591" max="2591" width="5.85546875" style="884" customWidth="1"/>
    <col min="2592" max="2593" width="4.42578125" style="884" customWidth="1"/>
    <col min="2594" max="2594" width="5" style="884" customWidth="1"/>
    <col min="2595" max="2595" width="5.85546875" style="884" customWidth="1"/>
    <col min="2596" max="2596" width="6.140625" style="884" customWidth="1"/>
    <col min="2597" max="2597" width="6.28515625" style="884" customWidth="1"/>
    <col min="2598" max="2598" width="11.140625" style="884" customWidth="1"/>
    <col min="2599" max="2599" width="14.140625" style="884" customWidth="1"/>
    <col min="2600" max="2600" width="19.85546875" style="884" customWidth="1"/>
    <col min="2601" max="2601" width="17" style="884" customWidth="1"/>
    <col min="2602" max="2602" width="20.85546875" style="884" customWidth="1"/>
    <col min="2603" max="2815" width="11.42578125" style="884"/>
    <col min="2816" max="2816" width="13.140625" style="884" customWidth="1"/>
    <col min="2817" max="2817" width="4" style="884" customWidth="1"/>
    <col min="2818" max="2818" width="12.85546875" style="884" customWidth="1"/>
    <col min="2819" max="2819" width="14.7109375" style="884" customWidth="1"/>
    <col min="2820" max="2820" width="10" style="884" customWidth="1"/>
    <col min="2821" max="2821" width="6.28515625" style="884" customWidth="1"/>
    <col min="2822" max="2822" width="12.28515625" style="884" customWidth="1"/>
    <col min="2823" max="2823" width="8.5703125" style="884" customWidth="1"/>
    <col min="2824" max="2824" width="13.7109375" style="884" customWidth="1"/>
    <col min="2825" max="2825" width="11.5703125" style="884" customWidth="1"/>
    <col min="2826" max="2826" width="34.28515625" style="884" customWidth="1"/>
    <col min="2827" max="2827" width="24.28515625" style="884" customWidth="1"/>
    <col min="2828" max="2828" width="21.140625" style="884" customWidth="1"/>
    <col min="2829" max="2829" width="22.140625" style="884" customWidth="1"/>
    <col min="2830" max="2830" width="8" style="884" customWidth="1"/>
    <col min="2831" max="2831" width="17" style="884" customWidth="1"/>
    <col min="2832" max="2832" width="12.7109375" style="884" customWidth="1"/>
    <col min="2833" max="2833" width="24.5703125" style="884" customWidth="1"/>
    <col min="2834" max="2834" width="29" style="884" customWidth="1"/>
    <col min="2835" max="2835" width="17.7109375" style="884" customWidth="1"/>
    <col min="2836" max="2836" width="36.42578125" style="884" customWidth="1"/>
    <col min="2837" max="2837" width="21.85546875" style="884" customWidth="1"/>
    <col min="2838" max="2838" width="11.7109375" style="884" customWidth="1"/>
    <col min="2839" max="2839" width="26.28515625" style="884" customWidth="1"/>
    <col min="2840" max="2840" width="9" style="884" customWidth="1"/>
    <col min="2841" max="2841" width="6.28515625" style="884" customWidth="1"/>
    <col min="2842" max="2843" width="7.28515625" style="884" customWidth="1"/>
    <col min="2844" max="2844" width="8.42578125" style="884" customWidth="1"/>
    <col min="2845" max="2845" width="9.5703125" style="884" customWidth="1"/>
    <col min="2846" max="2846" width="6.28515625" style="884" customWidth="1"/>
    <col min="2847" max="2847" width="5.85546875" style="884" customWidth="1"/>
    <col min="2848" max="2849" width="4.42578125" style="884" customWidth="1"/>
    <col min="2850" max="2850" width="5" style="884" customWidth="1"/>
    <col min="2851" max="2851" width="5.85546875" style="884" customWidth="1"/>
    <col min="2852" max="2852" width="6.140625" style="884" customWidth="1"/>
    <col min="2853" max="2853" width="6.28515625" style="884" customWidth="1"/>
    <col min="2854" max="2854" width="11.140625" style="884" customWidth="1"/>
    <col min="2855" max="2855" width="14.140625" style="884" customWidth="1"/>
    <col min="2856" max="2856" width="19.85546875" style="884" customWidth="1"/>
    <col min="2857" max="2857" width="17" style="884" customWidth="1"/>
    <col min="2858" max="2858" width="20.85546875" style="884" customWidth="1"/>
    <col min="2859" max="3071" width="11.42578125" style="884"/>
    <col min="3072" max="3072" width="13.140625" style="884" customWidth="1"/>
    <col min="3073" max="3073" width="4" style="884" customWidth="1"/>
    <col min="3074" max="3074" width="12.85546875" style="884" customWidth="1"/>
    <col min="3075" max="3075" width="14.7109375" style="884" customWidth="1"/>
    <col min="3076" max="3076" width="10" style="884" customWidth="1"/>
    <col min="3077" max="3077" width="6.28515625" style="884" customWidth="1"/>
    <col min="3078" max="3078" width="12.28515625" style="884" customWidth="1"/>
    <col min="3079" max="3079" width="8.5703125" style="884" customWidth="1"/>
    <col min="3080" max="3080" width="13.7109375" style="884" customWidth="1"/>
    <col min="3081" max="3081" width="11.5703125" style="884" customWidth="1"/>
    <col min="3082" max="3082" width="34.28515625" style="884" customWidth="1"/>
    <col min="3083" max="3083" width="24.28515625" style="884" customWidth="1"/>
    <col min="3084" max="3084" width="21.140625" style="884" customWidth="1"/>
    <col min="3085" max="3085" width="22.140625" style="884" customWidth="1"/>
    <col min="3086" max="3086" width="8" style="884" customWidth="1"/>
    <col min="3087" max="3087" width="17" style="884" customWidth="1"/>
    <col min="3088" max="3088" width="12.7109375" style="884" customWidth="1"/>
    <col min="3089" max="3089" width="24.5703125" style="884" customWidth="1"/>
    <col min="3090" max="3090" width="29" style="884" customWidth="1"/>
    <col min="3091" max="3091" width="17.7109375" style="884" customWidth="1"/>
    <col min="3092" max="3092" width="36.42578125" style="884" customWidth="1"/>
    <col min="3093" max="3093" width="21.85546875" style="884" customWidth="1"/>
    <col min="3094" max="3094" width="11.7109375" style="884" customWidth="1"/>
    <col min="3095" max="3095" width="26.28515625" style="884" customWidth="1"/>
    <col min="3096" max="3096" width="9" style="884" customWidth="1"/>
    <col min="3097" max="3097" width="6.28515625" style="884" customWidth="1"/>
    <col min="3098" max="3099" width="7.28515625" style="884" customWidth="1"/>
    <col min="3100" max="3100" width="8.42578125" style="884" customWidth="1"/>
    <col min="3101" max="3101" width="9.5703125" style="884" customWidth="1"/>
    <col min="3102" max="3102" width="6.28515625" style="884" customWidth="1"/>
    <col min="3103" max="3103" width="5.85546875" style="884" customWidth="1"/>
    <col min="3104" max="3105" width="4.42578125" style="884" customWidth="1"/>
    <col min="3106" max="3106" width="5" style="884" customWidth="1"/>
    <col min="3107" max="3107" width="5.85546875" style="884" customWidth="1"/>
    <col min="3108" max="3108" width="6.140625" style="884" customWidth="1"/>
    <col min="3109" max="3109" width="6.28515625" style="884" customWidth="1"/>
    <col min="3110" max="3110" width="11.140625" style="884" customWidth="1"/>
    <col min="3111" max="3111" width="14.140625" style="884" customWidth="1"/>
    <col min="3112" max="3112" width="19.85546875" style="884" customWidth="1"/>
    <col min="3113" max="3113" width="17" style="884" customWidth="1"/>
    <col min="3114" max="3114" width="20.85546875" style="884" customWidth="1"/>
    <col min="3115" max="3327" width="11.42578125" style="884"/>
    <col min="3328" max="3328" width="13.140625" style="884" customWidth="1"/>
    <col min="3329" max="3329" width="4" style="884" customWidth="1"/>
    <col min="3330" max="3330" width="12.85546875" style="884" customWidth="1"/>
    <col min="3331" max="3331" width="14.7109375" style="884" customWidth="1"/>
    <col min="3332" max="3332" width="10" style="884" customWidth="1"/>
    <col min="3333" max="3333" width="6.28515625" style="884" customWidth="1"/>
    <col min="3334" max="3334" width="12.28515625" style="884" customWidth="1"/>
    <col min="3335" max="3335" width="8.5703125" style="884" customWidth="1"/>
    <col min="3336" max="3336" width="13.7109375" style="884" customWidth="1"/>
    <col min="3337" max="3337" width="11.5703125" style="884" customWidth="1"/>
    <col min="3338" max="3338" width="34.28515625" style="884" customWidth="1"/>
    <col min="3339" max="3339" width="24.28515625" style="884" customWidth="1"/>
    <col min="3340" max="3340" width="21.140625" style="884" customWidth="1"/>
    <col min="3341" max="3341" width="22.140625" style="884" customWidth="1"/>
    <col min="3342" max="3342" width="8" style="884" customWidth="1"/>
    <col min="3343" max="3343" width="17" style="884" customWidth="1"/>
    <col min="3344" max="3344" width="12.7109375" style="884" customWidth="1"/>
    <col min="3345" max="3345" width="24.5703125" style="884" customWidth="1"/>
    <col min="3346" max="3346" width="29" style="884" customWidth="1"/>
    <col min="3347" max="3347" width="17.7109375" style="884" customWidth="1"/>
    <col min="3348" max="3348" width="36.42578125" style="884" customWidth="1"/>
    <col min="3349" max="3349" width="21.85546875" style="884" customWidth="1"/>
    <col min="3350" max="3350" width="11.7109375" style="884" customWidth="1"/>
    <col min="3351" max="3351" width="26.28515625" style="884" customWidth="1"/>
    <col min="3352" max="3352" width="9" style="884" customWidth="1"/>
    <col min="3353" max="3353" width="6.28515625" style="884" customWidth="1"/>
    <col min="3354" max="3355" width="7.28515625" style="884" customWidth="1"/>
    <col min="3356" max="3356" width="8.42578125" style="884" customWidth="1"/>
    <col min="3357" max="3357" width="9.5703125" style="884" customWidth="1"/>
    <col min="3358" max="3358" width="6.28515625" style="884" customWidth="1"/>
    <col min="3359" max="3359" width="5.85546875" style="884" customWidth="1"/>
    <col min="3360" max="3361" width="4.42578125" style="884" customWidth="1"/>
    <col min="3362" max="3362" width="5" style="884" customWidth="1"/>
    <col min="3363" max="3363" width="5.85546875" style="884" customWidth="1"/>
    <col min="3364" max="3364" width="6.140625" style="884" customWidth="1"/>
    <col min="3365" max="3365" width="6.28515625" style="884" customWidth="1"/>
    <col min="3366" max="3366" width="11.140625" style="884" customWidth="1"/>
    <col min="3367" max="3367" width="14.140625" style="884" customWidth="1"/>
    <col min="3368" max="3368" width="19.85546875" style="884" customWidth="1"/>
    <col min="3369" max="3369" width="17" style="884" customWidth="1"/>
    <col min="3370" max="3370" width="20.85546875" style="884" customWidth="1"/>
    <col min="3371" max="3583" width="11.42578125" style="884"/>
    <col min="3584" max="3584" width="13.140625" style="884" customWidth="1"/>
    <col min="3585" max="3585" width="4" style="884" customWidth="1"/>
    <col min="3586" max="3586" width="12.85546875" style="884" customWidth="1"/>
    <col min="3587" max="3587" width="14.7109375" style="884" customWidth="1"/>
    <col min="3588" max="3588" width="10" style="884" customWidth="1"/>
    <col min="3589" max="3589" width="6.28515625" style="884" customWidth="1"/>
    <col min="3590" max="3590" width="12.28515625" style="884" customWidth="1"/>
    <col min="3591" max="3591" width="8.5703125" style="884" customWidth="1"/>
    <col min="3592" max="3592" width="13.7109375" style="884" customWidth="1"/>
    <col min="3593" max="3593" width="11.5703125" style="884" customWidth="1"/>
    <col min="3594" max="3594" width="34.28515625" style="884" customWidth="1"/>
    <col min="3595" max="3595" width="24.28515625" style="884" customWidth="1"/>
    <col min="3596" max="3596" width="21.140625" style="884" customWidth="1"/>
    <col min="3597" max="3597" width="22.140625" style="884" customWidth="1"/>
    <col min="3598" max="3598" width="8" style="884" customWidth="1"/>
    <col min="3599" max="3599" width="17" style="884" customWidth="1"/>
    <col min="3600" max="3600" width="12.7109375" style="884" customWidth="1"/>
    <col min="3601" max="3601" width="24.5703125" style="884" customWidth="1"/>
    <col min="3602" max="3602" width="29" style="884" customWidth="1"/>
    <col min="3603" max="3603" width="17.7109375" style="884" customWidth="1"/>
    <col min="3604" max="3604" width="36.42578125" style="884" customWidth="1"/>
    <col min="3605" max="3605" width="21.85546875" style="884" customWidth="1"/>
    <col min="3606" max="3606" width="11.7109375" style="884" customWidth="1"/>
    <col min="3607" max="3607" width="26.28515625" style="884" customWidth="1"/>
    <col min="3608" max="3608" width="9" style="884" customWidth="1"/>
    <col min="3609" max="3609" width="6.28515625" style="884" customWidth="1"/>
    <col min="3610" max="3611" width="7.28515625" style="884" customWidth="1"/>
    <col min="3612" max="3612" width="8.42578125" style="884" customWidth="1"/>
    <col min="3613" max="3613" width="9.5703125" style="884" customWidth="1"/>
    <col min="3614" max="3614" width="6.28515625" style="884" customWidth="1"/>
    <col min="3615" max="3615" width="5.85546875" style="884" customWidth="1"/>
    <col min="3616" max="3617" width="4.42578125" style="884" customWidth="1"/>
    <col min="3618" max="3618" width="5" style="884" customWidth="1"/>
    <col min="3619" max="3619" width="5.85546875" style="884" customWidth="1"/>
    <col min="3620" max="3620" width="6.140625" style="884" customWidth="1"/>
    <col min="3621" max="3621" width="6.28515625" style="884" customWidth="1"/>
    <col min="3622" max="3622" width="11.140625" style="884" customWidth="1"/>
    <col min="3623" max="3623" width="14.140625" style="884" customWidth="1"/>
    <col min="3624" max="3624" width="19.85546875" style="884" customWidth="1"/>
    <col min="3625" max="3625" width="17" style="884" customWidth="1"/>
    <col min="3626" max="3626" width="20.85546875" style="884" customWidth="1"/>
    <col min="3627" max="3839" width="11.42578125" style="884"/>
    <col min="3840" max="3840" width="13.140625" style="884" customWidth="1"/>
    <col min="3841" max="3841" width="4" style="884" customWidth="1"/>
    <col min="3842" max="3842" width="12.85546875" style="884" customWidth="1"/>
    <col min="3843" max="3843" width="14.7109375" style="884" customWidth="1"/>
    <col min="3844" max="3844" width="10" style="884" customWidth="1"/>
    <col min="3845" max="3845" width="6.28515625" style="884" customWidth="1"/>
    <col min="3846" max="3846" width="12.28515625" style="884" customWidth="1"/>
    <col min="3847" max="3847" width="8.5703125" style="884" customWidth="1"/>
    <col min="3848" max="3848" width="13.7109375" style="884" customWidth="1"/>
    <col min="3849" max="3849" width="11.5703125" style="884" customWidth="1"/>
    <col min="3850" max="3850" width="34.28515625" style="884" customWidth="1"/>
    <col min="3851" max="3851" width="24.28515625" style="884" customWidth="1"/>
    <col min="3852" max="3852" width="21.140625" style="884" customWidth="1"/>
    <col min="3853" max="3853" width="22.140625" style="884" customWidth="1"/>
    <col min="3854" max="3854" width="8" style="884" customWidth="1"/>
    <col min="3855" max="3855" width="17" style="884" customWidth="1"/>
    <col min="3856" max="3856" width="12.7109375" style="884" customWidth="1"/>
    <col min="3857" max="3857" width="24.5703125" style="884" customWidth="1"/>
    <col min="3858" max="3858" width="29" style="884" customWidth="1"/>
    <col min="3859" max="3859" width="17.7109375" style="884" customWidth="1"/>
    <col min="3860" max="3860" width="36.42578125" style="884" customWidth="1"/>
    <col min="3861" max="3861" width="21.85546875" style="884" customWidth="1"/>
    <col min="3862" max="3862" width="11.7109375" style="884" customWidth="1"/>
    <col min="3863" max="3863" width="26.28515625" style="884" customWidth="1"/>
    <col min="3864" max="3864" width="9" style="884" customWidth="1"/>
    <col min="3865" max="3865" width="6.28515625" style="884" customWidth="1"/>
    <col min="3866" max="3867" width="7.28515625" style="884" customWidth="1"/>
    <col min="3868" max="3868" width="8.42578125" style="884" customWidth="1"/>
    <col min="3869" max="3869" width="9.5703125" style="884" customWidth="1"/>
    <col min="3870" max="3870" width="6.28515625" style="884" customWidth="1"/>
    <col min="3871" max="3871" width="5.85546875" style="884" customWidth="1"/>
    <col min="3872" max="3873" width="4.42578125" style="884" customWidth="1"/>
    <col min="3874" max="3874" width="5" style="884" customWidth="1"/>
    <col min="3875" max="3875" width="5.85546875" style="884" customWidth="1"/>
    <col min="3876" max="3876" width="6.140625" style="884" customWidth="1"/>
    <col min="3877" max="3877" width="6.28515625" style="884" customWidth="1"/>
    <col min="3878" max="3878" width="11.140625" style="884" customWidth="1"/>
    <col min="3879" max="3879" width="14.140625" style="884" customWidth="1"/>
    <col min="3880" max="3880" width="19.85546875" style="884" customWidth="1"/>
    <col min="3881" max="3881" width="17" style="884" customWidth="1"/>
    <col min="3882" max="3882" width="20.85546875" style="884" customWidth="1"/>
    <col min="3883" max="4095" width="11.42578125" style="884"/>
    <col min="4096" max="4096" width="13.140625" style="884" customWidth="1"/>
    <col min="4097" max="4097" width="4" style="884" customWidth="1"/>
    <col min="4098" max="4098" width="12.85546875" style="884" customWidth="1"/>
    <col min="4099" max="4099" width="14.7109375" style="884" customWidth="1"/>
    <col min="4100" max="4100" width="10" style="884" customWidth="1"/>
    <col min="4101" max="4101" width="6.28515625" style="884" customWidth="1"/>
    <col min="4102" max="4102" width="12.28515625" style="884" customWidth="1"/>
    <col min="4103" max="4103" width="8.5703125" style="884" customWidth="1"/>
    <col min="4104" max="4104" width="13.7109375" style="884" customWidth="1"/>
    <col min="4105" max="4105" width="11.5703125" style="884" customWidth="1"/>
    <col min="4106" max="4106" width="34.28515625" style="884" customWidth="1"/>
    <col min="4107" max="4107" width="24.28515625" style="884" customWidth="1"/>
    <col min="4108" max="4108" width="21.140625" style="884" customWidth="1"/>
    <col min="4109" max="4109" width="22.140625" style="884" customWidth="1"/>
    <col min="4110" max="4110" width="8" style="884" customWidth="1"/>
    <col min="4111" max="4111" width="17" style="884" customWidth="1"/>
    <col min="4112" max="4112" width="12.7109375" style="884" customWidth="1"/>
    <col min="4113" max="4113" width="24.5703125" style="884" customWidth="1"/>
    <col min="4114" max="4114" width="29" style="884" customWidth="1"/>
    <col min="4115" max="4115" width="17.7109375" style="884" customWidth="1"/>
    <col min="4116" max="4116" width="36.42578125" style="884" customWidth="1"/>
    <col min="4117" max="4117" width="21.85546875" style="884" customWidth="1"/>
    <col min="4118" max="4118" width="11.7109375" style="884" customWidth="1"/>
    <col min="4119" max="4119" width="26.28515625" style="884" customWidth="1"/>
    <col min="4120" max="4120" width="9" style="884" customWidth="1"/>
    <col min="4121" max="4121" width="6.28515625" style="884" customWidth="1"/>
    <col min="4122" max="4123" width="7.28515625" style="884" customWidth="1"/>
    <col min="4124" max="4124" width="8.42578125" style="884" customWidth="1"/>
    <col min="4125" max="4125" width="9.5703125" style="884" customWidth="1"/>
    <col min="4126" max="4126" width="6.28515625" style="884" customWidth="1"/>
    <col min="4127" max="4127" width="5.85546875" style="884" customWidth="1"/>
    <col min="4128" max="4129" width="4.42578125" style="884" customWidth="1"/>
    <col min="4130" max="4130" width="5" style="884" customWidth="1"/>
    <col min="4131" max="4131" width="5.85546875" style="884" customWidth="1"/>
    <col min="4132" max="4132" width="6.140625" style="884" customWidth="1"/>
    <col min="4133" max="4133" width="6.28515625" style="884" customWidth="1"/>
    <col min="4134" max="4134" width="11.140625" style="884" customWidth="1"/>
    <col min="4135" max="4135" width="14.140625" style="884" customWidth="1"/>
    <col min="4136" max="4136" width="19.85546875" style="884" customWidth="1"/>
    <col min="4137" max="4137" width="17" style="884" customWidth="1"/>
    <col min="4138" max="4138" width="20.85546875" style="884" customWidth="1"/>
    <col min="4139" max="4351" width="11.42578125" style="884"/>
    <col min="4352" max="4352" width="13.140625" style="884" customWidth="1"/>
    <col min="4353" max="4353" width="4" style="884" customWidth="1"/>
    <col min="4354" max="4354" width="12.85546875" style="884" customWidth="1"/>
    <col min="4355" max="4355" width="14.7109375" style="884" customWidth="1"/>
    <col min="4356" max="4356" width="10" style="884" customWidth="1"/>
    <col min="4357" max="4357" width="6.28515625" style="884" customWidth="1"/>
    <col min="4358" max="4358" width="12.28515625" style="884" customWidth="1"/>
    <col min="4359" max="4359" width="8.5703125" style="884" customWidth="1"/>
    <col min="4360" max="4360" width="13.7109375" style="884" customWidth="1"/>
    <col min="4361" max="4361" width="11.5703125" style="884" customWidth="1"/>
    <col min="4362" max="4362" width="34.28515625" style="884" customWidth="1"/>
    <col min="4363" max="4363" width="24.28515625" style="884" customWidth="1"/>
    <col min="4364" max="4364" width="21.140625" style="884" customWidth="1"/>
    <col min="4365" max="4365" width="22.140625" style="884" customWidth="1"/>
    <col min="4366" max="4366" width="8" style="884" customWidth="1"/>
    <col min="4367" max="4367" width="17" style="884" customWidth="1"/>
    <col min="4368" max="4368" width="12.7109375" style="884" customWidth="1"/>
    <col min="4369" max="4369" width="24.5703125" style="884" customWidth="1"/>
    <col min="4370" max="4370" width="29" style="884" customWidth="1"/>
    <col min="4371" max="4371" width="17.7109375" style="884" customWidth="1"/>
    <col min="4372" max="4372" width="36.42578125" style="884" customWidth="1"/>
    <col min="4373" max="4373" width="21.85546875" style="884" customWidth="1"/>
    <col min="4374" max="4374" width="11.7109375" style="884" customWidth="1"/>
    <col min="4375" max="4375" width="26.28515625" style="884" customWidth="1"/>
    <col min="4376" max="4376" width="9" style="884" customWidth="1"/>
    <col min="4377" max="4377" width="6.28515625" style="884" customWidth="1"/>
    <col min="4378" max="4379" width="7.28515625" style="884" customWidth="1"/>
    <col min="4380" max="4380" width="8.42578125" style="884" customWidth="1"/>
    <col min="4381" max="4381" width="9.5703125" style="884" customWidth="1"/>
    <col min="4382" max="4382" width="6.28515625" style="884" customWidth="1"/>
    <col min="4383" max="4383" width="5.85546875" style="884" customWidth="1"/>
    <col min="4384" max="4385" width="4.42578125" style="884" customWidth="1"/>
    <col min="4386" max="4386" width="5" style="884" customWidth="1"/>
    <col min="4387" max="4387" width="5.85546875" style="884" customWidth="1"/>
    <col min="4388" max="4388" width="6.140625" style="884" customWidth="1"/>
    <col min="4389" max="4389" width="6.28515625" style="884" customWidth="1"/>
    <col min="4390" max="4390" width="11.140625" style="884" customWidth="1"/>
    <col min="4391" max="4391" width="14.140625" style="884" customWidth="1"/>
    <col min="4392" max="4392" width="19.85546875" style="884" customWidth="1"/>
    <col min="4393" max="4393" width="17" style="884" customWidth="1"/>
    <col min="4394" max="4394" width="20.85546875" style="884" customWidth="1"/>
    <col min="4395" max="4607" width="11.42578125" style="884"/>
    <col min="4608" max="4608" width="13.140625" style="884" customWidth="1"/>
    <col min="4609" max="4609" width="4" style="884" customWidth="1"/>
    <col min="4610" max="4610" width="12.85546875" style="884" customWidth="1"/>
    <col min="4611" max="4611" width="14.7109375" style="884" customWidth="1"/>
    <col min="4612" max="4612" width="10" style="884" customWidth="1"/>
    <col min="4613" max="4613" width="6.28515625" style="884" customWidth="1"/>
    <col min="4614" max="4614" width="12.28515625" style="884" customWidth="1"/>
    <col min="4615" max="4615" width="8.5703125" style="884" customWidth="1"/>
    <col min="4616" max="4616" width="13.7109375" style="884" customWidth="1"/>
    <col min="4617" max="4617" width="11.5703125" style="884" customWidth="1"/>
    <col min="4618" max="4618" width="34.28515625" style="884" customWidth="1"/>
    <col min="4619" max="4619" width="24.28515625" style="884" customWidth="1"/>
    <col min="4620" max="4620" width="21.140625" style="884" customWidth="1"/>
    <col min="4621" max="4621" width="22.140625" style="884" customWidth="1"/>
    <col min="4622" max="4622" width="8" style="884" customWidth="1"/>
    <col min="4623" max="4623" width="17" style="884" customWidth="1"/>
    <col min="4624" max="4624" width="12.7109375" style="884" customWidth="1"/>
    <col min="4625" max="4625" width="24.5703125" style="884" customWidth="1"/>
    <col min="4626" max="4626" width="29" style="884" customWidth="1"/>
    <col min="4627" max="4627" width="17.7109375" style="884" customWidth="1"/>
    <col min="4628" max="4628" width="36.42578125" style="884" customWidth="1"/>
    <col min="4629" max="4629" width="21.85546875" style="884" customWidth="1"/>
    <col min="4630" max="4630" width="11.7109375" style="884" customWidth="1"/>
    <col min="4631" max="4631" width="26.28515625" style="884" customWidth="1"/>
    <col min="4632" max="4632" width="9" style="884" customWidth="1"/>
    <col min="4633" max="4633" width="6.28515625" style="884" customWidth="1"/>
    <col min="4634" max="4635" width="7.28515625" style="884" customWidth="1"/>
    <col min="4636" max="4636" width="8.42578125" style="884" customWidth="1"/>
    <col min="4637" max="4637" width="9.5703125" style="884" customWidth="1"/>
    <col min="4638" max="4638" width="6.28515625" style="884" customWidth="1"/>
    <col min="4639" max="4639" width="5.85546875" style="884" customWidth="1"/>
    <col min="4640" max="4641" width="4.42578125" style="884" customWidth="1"/>
    <col min="4642" max="4642" width="5" style="884" customWidth="1"/>
    <col min="4643" max="4643" width="5.85546875" style="884" customWidth="1"/>
    <col min="4644" max="4644" width="6.140625" style="884" customWidth="1"/>
    <col min="4645" max="4645" width="6.28515625" style="884" customWidth="1"/>
    <col min="4646" max="4646" width="11.140625" style="884" customWidth="1"/>
    <col min="4647" max="4647" width="14.140625" style="884" customWidth="1"/>
    <col min="4648" max="4648" width="19.85546875" style="884" customWidth="1"/>
    <col min="4649" max="4649" width="17" style="884" customWidth="1"/>
    <col min="4650" max="4650" width="20.85546875" style="884" customWidth="1"/>
    <col min="4651" max="4863" width="11.42578125" style="884"/>
    <col min="4864" max="4864" width="13.140625" style="884" customWidth="1"/>
    <col min="4865" max="4865" width="4" style="884" customWidth="1"/>
    <col min="4866" max="4866" width="12.85546875" style="884" customWidth="1"/>
    <col min="4867" max="4867" width="14.7109375" style="884" customWidth="1"/>
    <col min="4868" max="4868" width="10" style="884" customWidth="1"/>
    <col min="4869" max="4869" width="6.28515625" style="884" customWidth="1"/>
    <col min="4870" max="4870" width="12.28515625" style="884" customWidth="1"/>
    <col min="4871" max="4871" width="8.5703125" style="884" customWidth="1"/>
    <col min="4872" max="4872" width="13.7109375" style="884" customWidth="1"/>
    <col min="4873" max="4873" width="11.5703125" style="884" customWidth="1"/>
    <col min="4874" max="4874" width="34.28515625" style="884" customWidth="1"/>
    <col min="4875" max="4875" width="24.28515625" style="884" customWidth="1"/>
    <col min="4876" max="4876" width="21.140625" style="884" customWidth="1"/>
    <col min="4877" max="4877" width="22.140625" style="884" customWidth="1"/>
    <col min="4878" max="4878" width="8" style="884" customWidth="1"/>
    <col min="4879" max="4879" width="17" style="884" customWidth="1"/>
    <col min="4880" max="4880" width="12.7109375" style="884" customWidth="1"/>
    <col min="4881" max="4881" width="24.5703125" style="884" customWidth="1"/>
    <col min="4882" max="4882" width="29" style="884" customWidth="1"/>
    <col min="4883" max="4883" width="17.7109375" style="884" customWidth="1"/>
    <col min="4884" max="4884" width="36.42578125" style="884" customWidth="1"/>
    <col min="4885" max="4885" width="21.85546875" style="884" customWidth="1"/>
    <col min="4886" max="4886" width="11.7109375" style="884" customWidth="1"/>
    <col min="4887" max="4887" width="26.28515625" style="884" customWidth="1"/>
    <col min="4888" max="4888" width="9" style="884" customWidth="1"/>
    <col min="4889" max="4889" width="6.28515625" style="884" customWidth="1"/>
    <col min="4890" max="4891" width="7.28515625" style="884" customWidth="1"/>
    <col min="4892" max="4892" width="8.42578125" style="884" customWidth="1"/>
    <col min="4893" max="4893" width="9.5703125" style="884" customWidth="1"/>
    <col min="4894" max="4894" width="6.28515625" style="884" customWidth="1"/>
    <col min="4895" max="4895" width="5.85546875" style="884" customWidth="1"/>
    <col min="4896" max="4897" width="4.42578125" style="884" customWidth="1"/>
    <col min="4898" max="4898" width="5" style="884" customWidth="1"/>
    <col min="4899" max="4899" width="5.85546875" style="884" customWidth="1"/>
    <col min="4900" max="4900" width="6.140625" style="884" customWidth="1"/>
    <col min="4901" max="4901" width="6.28515625" style="884" customWidth="1"/>
    <col min="4902" max="4902" width="11.140625" style="884" customWidth="1"/>
    <col min="4903" max="4903" width="14.140625" style="884" customWidth="1"/>
    <col min="4904" max="4904" width="19.85546875" style="884" customWidth="1"/>
    <col min="4905" max="4905" width="17" style="884" customWidth="1"/>
    <col min="4906" max="4906" width="20.85546875" style="884" customWidth="1"/>
    <col min="4907" max="5119" width="11.42578125" style="884"/>
    <col min="5120" max="5120" width="13.140625" style="884" customWidth="1"/>
    <col min="5121" max="5121" width="4" style="884" customWidth="1"/>
    <col min="5122" max="5122" width="12.85546875" style="884" customWidth="1"/>
    <col min="5123" max="5123" width="14.7109375" style="884" customWidth="1"/>
    <col min="5124" max="5124" width="10" style="884" customWidth="1"/>
    <col min="5125" max="5125" width="6.28515625" style="884" customWidth="1"/>
    <col min="5126" max="5126" width="12.28515625" style="884" customWidth="1"/>
    <col min="5127" max="5127" width="8.5703125" style="884" customWidth="1"/>
    <col min="5128" max="5128" width="13.7109375" style="884" customWidth="1"/>
    <col min="5129" max="5129" width="11.5703125" style="884" customWidth="1"/>
    <col min="5130" max="5130" width="34.28515625" style="884" customWidth="1"/>
    <col min="5131" max="5131" width="24.28515625" style="884" customWidth="1"/>
    <col min="5132" max="5132" width="21.140625" style="884" customWidth="1"/>
    <col min="5133" max="5133" width="22.140625" style="884" customWidth="1"/>
    <col min="5134" max="5134" width="8" style="884" customWidth="1"/>
    <col min="5135" max="5135" width="17" style="884" customWidth="1"/>
    <col min="5136" max="5136" width="12.7109375" style="884" customWidth="1"/>
    <col min="5137" max="5137" width="24.5703125" style="884" customWidth="1"/>
    <col min="5138" max="5138" width="29" style="884" customWidth="1"/>
    <col min="5139" max="5139" width="17.7109375" style="884" customWidth="1"/>
    <col min="5140" max="5140" width="36.42578125" style="884" customWidth="1"/>
    <col min="5141" max="5141" width="21.85546875" style="884" customWidth="1"/>
    <col min="5142" max="5142" width="11.7109375" style="884" customWidth="1"/>
    <col min="5143" max="5143" width="26.28515625" style="884" customWidth="1"/>
    <col min="5144" max="5144" width="9" style="884" customWidth="1"/>
    <col min="5145" max="5145" width="6.28515625" style="884" customWidth="1"/>
    <col min="5146" max="5147" width="7.28515625" style="884" customWidth="1"/>
    <col min="5148" max="5148" width="8.42578125" style="884" customWidth="1"/>
    <col min="5149" max="5149" width="9.5703125" style="884" customWidth="1"/>
    <col min="5150" max="5150" width="6.28515625" style="884" customWidth="1"/>
    <col min="5151" max="5151" width="5.85546875" style="884" customWidth="1"/>
    <col min="5152" max="5153" width="4.42578125" style="884" customWidth="1"/>
    <col min="5154" max="5154" width="5" style="884" customWidth="1"/>
    <col min="5155" max="5155" width="5.85546875" style="884" customWidth="1"/>
    <col min="5156" max="5156" width="6.140625" style="884" customWidth="1"/>
    <col min="5157" max="5157" width="6.28515625" style="884" customWidth="1"/>
    <col min="5158" max="5158" width="11.140625" style="884" customWidth="1"/>
    <col min="5159" max="5159" width="14.140625" style="884" customWidth="1"/>
    <col min="5160" max="5160" width="19.85546875" style="884" customWidth="1"/>
    <col min="5161" max="5161" width="17" style="884" customWidth="1"/>
    <col min="5162" max="5162" width="20.85546875" style="884" customWidth="1"/>
    <col min="5163" max="5375" width="11.42578125" style="884"/>
    <col min="5376" max="5376" width="13.140625" style="884" customWidth="1"/>
    <col min="5377" max="5377" width="4" style="884" customWidth="1"/>
    <col min="5378" max="5378" width="12.85546875" style="884" customWidth="1"/>
    <col min="5379" max="5379" width="14.7109375" style="884" customWidth="1"/>
    <col min="5380" max="5380" width="10" style="884" customWidth="1"/>
    <col min="5381" max="5381" width="6.28515625" style="884" customWidth="1"/>
    <col min="5382" max="5382" width="12.28515625" style="884" customWidth="1"/>
    <col min="5383" max="5383" width="8.5703125" style="884" customWidth="1"/>
    <col min="5384" max="5384" width="13.7109375" style="884" customWidth="1"/>
    <col min="5385" max="5385" width="11.5703125" style="884" customWidth="1"/>
    <col min="5386" max="5386" width="34.28515625" style="884" customWidth="1"/>
    <col min="5387" max="5387" width="24.28515625" style="884" customWidth="1"/>
    <col min="5388" max="5388" width="21.140625" style="884" customWidth="1"/>
    <col min="5389" max="5389" width="22.140625" style="884" customWidth="1"/>
    <col min="5390" max="5390" width="8" style="884" customWidth="1"/>
    <col min="5391" max="5391" width="17" style="884" customWidth="1"/>
    <col min="5392" max="5392" width="12.7109375" style="884" customWidth="1"/>
    <col min="5393" max="5393" width="24.5703125" style="884" customWidth="1"/>
    <col min="5394" max="5394" width="29" style="884" customWidth="1"/>
    <col min="5395" max="5395" width="17.7109375" style="884" customWidth="1"/>
    <col min="5396" max="5396" width="36.42578125" style="884" customWidth="1"/>
    <col min="5397" max="5397" width="21.85546875" style="884" customWidth="1"/>
    <col min="5398" max="5398" width="11.7109375" style="884" customWidth="1"/>
    <col min="5399" max="5399" width="26.28515625" style="884" customWidth="1"/>
    <col min="5400" max="5400" width="9" style="884" customWidth="1"/>
    <col min="5401" max="5401" width="6.28515625" style="884" customWidth="1"/>
    <col min="5402" max="5403" width="7.28515625" style="884" customWidth="1"/>
    <col min="5404" max="5404" width="8.42578125" style="884" customWidth="1"/>
    <col min="5405" max="5405" width="9.5703125" style="884" customWidth="1"/>
    <col min="5406" max="5406" width="6.28515625" style="884" customWidth="1"/>
    <col min="5407" max="5407" width="5.85546875" style="884" customWidth="1"/>
    <col min="5408" max="5409" width="4.42578125" style="884" customWidth="1"/>
    <col min="5410" max="5410" width="5" style="884" customWidth="1"/>
    <col min="5411" max="5411" width="5.85546875" style="884" customWidth="1"/>
    <col min="5412" max="5412" width="6.140625" style="884" customWidth="1"/>
    <col min="5413" max="5413" width="6.28515625" style="884" customWidth="1"/>
    <col min="5414" max="5414" width="11.140625" style="884" customWidth="1"/>
    <col min="5415" max="5415" width="14.140625" style="884" customWidth="1"/>
    <col min="5416" max="5416" width="19.85546875" style="884" customWidth="1"/>
    <col min="5417" max="5417" width="17" style="884" customWidth="1"/>
    <col min="5418" max="5418" width="20.85546875" style="884" customWidth="1"/>
    <col min="5419" max="5631" width="11.42578125" style="884"/>
    <col min="5632" max="5632" width="13.140625" style="884" customWidth="1"/>
    <col min="5633" max="5633" width="4" style="884" customWidth="1"/>
    <col min="5634" max="5634" width="12.85546875" style="884" customWidth="1"/>
    <col min="5635" max="5635" width="14.7109375" style="884" customWidth="1"/>
    <col min="5636" max="5636" width="10" style="884" customWidth="1"/>
    <col min="5637" max="5637" width="6.28515625" style="884" customWidth="1"/>
    <col min="5638" max="5638" width="12.28515625" style="884" customWidth="1"/>
    <col min="5639" max="5639" width="8.5703125" style="884" customWidth="1"/>
    <col min="5640" max="5640" width="13.7109375" style="884" customWidth="1"/>
    <col min="5641" max="5641" width="11.5703125" style="884" customWidth="1"/>
    <col min="5642" max="5642" width="34.28515625" style="884" customWidth="1"/>
    <col min="5643" max="5643" width="24.28515625" style="884" customWidth="1"/>
    <col min="5644" max="5644" width="21.140625" style="884" customWidth="1"/>
    <col min="5645" max="5645" width="22.140625" style="884" customWidth="1"/>
    <col min="5646" max="5646" width="8" style="884" customWidth="1"/>
    <col min="5647" max="5647" width="17" style="884" customWidth="1"/>
    <col min="5648" max="5648" width="12.7109375" style="884" customWidth="1"/>
    <col min="5649" max="5649" width="24.5703125" style="884" customWidth="1"/>
    <col min="5650" max="5650" width="29" style="884" customWidth="1"/>
    <col min="5651" max="5651" width="17.7109375" style="884" customWidth="1"/>
    <col min="5652" max="5652" width="36.42578125" style="884" customWidth="1"/>
    <col min="5653" max="5653" width="21.85546875" style="884" customWidth="1"/>
    <col min="5654" max="5654" width="11.7109375" style="884" customWidth="1"/>
    <col min="5655" max="5655" width="26.28515625" style="884" customWidth="1"/>
    <col min="5656" max="5656" width="9" style="884" customWidth="1"/>
    <col min="5657" max="5657" width="6.28515625" style="884" customWidth="1"/>
    <col min="5658" max="5659" width="7.28515625" style="884" customWidth="1"/>
    <col min="5660" max="5660" width="8.42578125" style="884" customWidth="1"/>
    <col min="5661" max="5661" width="9.5703125" style="884" customWidth="1"/>
    <col min="5662" max="5662" width="6.28515625" style="884" customWidth="1"/>
    <col min="5663" max="5663" width="5.85546875" style="884" customWidth="1"/>
    <col min="5664" max="5665" width="4.42578125" style="884" customWidth="1"/>
    <col min="5666" max="5666" width="5" style="884" customWidth="1"/>
    <col min="5667" max="5667" width="5.85546875" style="884" customWidth="1"/>
    <col min="5668" max="5668" width="6.140625" style="884" customWidth="1"/>
    <col min="5669" max="5669" width="6.28515625" style="884" customWidth="1"/>
    <col min="5670" max="5670" width="11.140625" style="884" customWidth="1"/>
    <col min="5671" max="5671" width="14.140625" style="884" customWidth="1"/>
    <col min="5672" max="5672" width="19.85546875" style="884" customWidth="1"/>
    <col min="5673" max="5673" width="17" style="884" customWidth="1"/>
    <col min="5674" max="5674" width="20.85546875" style="884" customWidth="1"/>
    <col min="5675" max="5887" width="11.42578125" style="884"/>
    <col min="5888" max="5888" width="13.140625" style="884" customWidth="1"/>
    <col min="5889" max="5889" width="4" style="884" customWidth="1"/>
    <col min="5890" max="5890" width="12.85546875" style="884" customWidth="1"/>
    <col min="5891" max="5891" width="14.7109375" style="884" customWidth="1"/>
    <col min="5892" max="5892" width="10" style="884" customWidth="1"/>
    <col min="5893" max="5893" width="6.28515625" style="884" customWidth="1"/>
    <col min="5894" max="5894" width="12.28515625" style="884" customWidth="1"/>
    <col min="5895" max="5895" width="8.5703125" style="884" customWidth="1"/>
    <col min="5896" max="5896" width="13.7109375" style="884" customWidth="1"/>
    <col min="5897" max="5897" width="11.5703125" style="884" customWidth="1"/>
    <col min="5898" max="5898" width="34.28515625" style="884" customWidth="1"/>
    <col min="5899" max="5899" width="24.28515625" style="884" customWidth="1"/>
    <col min="5900" max="5900" width="21.140625" style="884" customWidth="1"/>
    <col min="5901" max="5901" width="22.140625" style="884" customWidth="1"/>
    <col min="5902" max="5902" width="8" style="884" customWidth="1"/>
    <col min="5903" max="5903" width="17" style="884" customWidth="1"/>
    <col min="5904" max="5904" width="12.7109375" style="884" customWidth="1"/>
    <col min="5905" max="5905" width="24.5703125" style="884" customWidth="1"/>
    <col min="5906" max="5906" width="29" style="884" customWidth="1"/>
    <col min="5907" max="5907" width="17.7109375" style="884" customWidth="1"/>
    <col min="5908" max="5908" width="36.42578125" style="884" customWidth="1"/>
    <col min="5909" max="5909" width="21.85546875" style="884" customWidth="1"/>
    <col min="5910" max="5910" width="11.7109375" style="884" customWidth="1"/>
    <col min="5911" max="5911" width="26.28515625" style="884" customWidth="1"/>
    <col min="5912" max="5912" width="9" style="884" customWidth="1"/>
    <col min="5913" max="5913" width="6.28515625" style="884" customWidth="1"/>
    <col min="5914" max="5915" width="7.28515625" style="884" customWidth="1"/>
    <col min="5916" max="5916" width="8.42578125" style="884" customWidth="1"/>
    <col min="5917" max="5917" width="9.5703125" style="884" customWidth="1"/>
    <col min="5918" max="5918" width="6.28515625" style="884" customWidth="1"/>
    <col min="5919" max="5919" width="5.85546875" style="884" customWidth="1"/>
    <col min="5920" max="5921" width="4.42578125" style="884" customWidth="1"/>
    <col min="5922" max="5922" width="5" style="884" customWidth="1"/>
    <col min="5923" max="5923" width="5.85546875" style="884" customWidth="1"/>
    <col min="5924" max="5924" width="6.140625" style="884" customWidth="1"/>
    <col min="5925" max="5925" width="6.28515625" style="884" customWidth="1"/>
    <col min="5926" max="5926" width="11.140625" style="884" customWidth="1"/>
    <col min="5927" max="5927" width="14.140625" style="884" customWidth="1"/>
    <col min="5928" max="5928" width="19.85546875" style="884" customWidth="1"/>
    <col min="5929" max="5929" width="17" style="884" customWidth="1"/>
    <col min="5930" max="5930" width="20.85546875" style="884" customWidth="1"/>
    <col min="5931" max="6143" width="11.42578125" style="884"/>
    <col min="6144" max="6144" width="13.140625" style="884" customWidth="1"/>
    <col min="6145" max="6145" width="4" style="884" customWidth="1"/>
    <col min="6146" max="6146" width="12.85546875" style="884" customWidth="1"/>
    <col min="6147" max="6147" width="14.7109375" style="884" customWidth="1"/>
    <col min="6148" max="6148" width="10" style="884" customWidth="1"/>
    <col min="6149" max="6149" width="6.28515625" style="884" customWidth="1"/>
    <col min="6150" max="6150" width="12.28515625" style="884" customWidth="1"/>
    <col min="6151" max="6151" width="8.5703125" style="884" customWidth="1"/>
    <col min="6152" max="6152" width="13.7109375" style="884" customWidth="1"/>
    <col min="6153" max="6153" width="11.5703125" style="884" customWidth="1"/>
    <col min="6154" max="6154" width="34.28515625" style="884" customWidth="1"/>
    <col min="6155" max="6155" width="24.28515625" style="884" customWidth="1"/>
    <col min="6156" max="6156" width="21.140625" style="884" customWidth="1"/>
    <col min="6157" max="6157" width="22.140625" style="884" customWidth="1"/>
    <col min="6158" max="6158" width="8" style="884" customWidth="1"/>
    <col min="6159" max="6159" width="17" style="884" customWidth="1"/>
    <col min="6160" max="6160" width="12.7109375" style="884" customWidth="1"/>
    <col min="6161" max="6161" width="24.5703125" style="884" customWidth="1"/>
    <col min="6162" max="6162" width="29" style="884" customWidth="1"/>
    <col min="6163" max="6163" width="17.7109375" style="884" customWidth="1"/>
    <col min="6164" max="6164" width="36.42578125" style="884" customWidth="1"/>
    <col min="6165" max="6165" width="21.85546875" style="884" customWidth="1"/>
    <col min="6166" max="6166" width="11.7109375" style="884" customWidth="1"/>
    <col min="6167" max="6167" width="26.28515625" style="884" customWidth="1"/>
    <col min="6168" max="6168" width="9" style="884" customWidth="1"/>
    <col min="6169" max="6169" width="6.28515625" style="884" customWidth="1"/>
    <col min="6170" max="6171" width="7.28515625" style="884" customWidth="1"/>
    <col min="6172" max="6172" width="8.42578125" style="884" customWidth="1"/>
    <col min="6173" max="6173" width="9.5703125" style="884" customWidth="1"/>
    <col min="6174" max="6174" width="6.28515625" style="884" customWidth="1"/>
    <col min="6175" max="6175" width="5.85546875" style="884" customWidth="1"/>
    <col min="6176" max="6177" width="4.42578125" style="884" customWidth="1"/>
    <col min="6178" max="6178" width="5" style="884" customWidth="1"/>
    <col min="6179" max="6179" width="5.85546875" style="884" customWidth="1"/>
    <col min="6180" max="6180" width="6.140625" style="884" customWidth="1"/>
    <col min="6181" max="6181" width="6.28515625" style="884" customWidth="1"/>
    <col min="6182" max="6182" width="11.140625" style="884" customWidth="1"/>
    <col min="6183" max="6183" width="14.140625" style="884" customWidth="1"/>
    <col min="6184" max="6184" width="19.85546875" style="884" customWidth="1"/>
    <col min="6185" max="6185" width="17" style="884" customWidth="1"/>
    <col min="6186" max="6186" width="20.85546875" style="884" customWidth="1"/>
    <col min="6187" max="6399" width="11.42578125" style="884"/>
    <col min="6400" max="6400" width="13.140625" style="884" customWidth="1"/>
    <col min="6401" max="6401" width="4" style="884" customWidth="1"/>
    <col min="6402" max="6402" width="12.85546875" style="884" customWidth="1"/>
    <col min="6403" max="6403" width="14.7109375" style="884" customWidth="1"/>
    <col min="6404" max="6404" width="10" style="884" customWidth="1"/>
    <col min="6405" max="6405" width="6.28515625" style="884" customWidth="1"/>
    <col min="6406" max="6406" width="12.28515625" style="884" customWidth="1"/>
    <col min="6407" max="6407" width="8.5703125" style="884" customWidth="1"/>
    <col min="6408" max="6408" width="13.7109375" style="884" customWidth="1"/>
    <col min="6409" max="6409" width="11.5703125" style="884" customWidth="1"/>
    <col min="6410" max="6410" width="34.28515625" style="884" customWidth="1"/>
    <col min="6411" max="6411" width="24.28515625" style="884" customWidth="1"/>
    <col min="6412" max="6412" width="21.140625" style="884" customWidth="1"/>
    <col min="6413" max="6413" width="22.140625" style="884" customWidth="1"/>
    <col min="6414" max="6414" width="8" style="884" customWidth="1"/>
    <col min="6415" max="6415" width="17" style="884" customWidth="1"/>
    <col min="6416" max="6416" width="12.7109375" style="884" customWidth="1"/>
    <col min="6417" max="6417" width="24.5703125" style="884" customWidth="1"/>
    <col min="6418" max="6418" width="29" style="884" customWidth="1"/>
    <col min="6419" max="6419" width="17.7109375" style="884" customWidth="1"/>
    <col min="6420" max="6420" width="36.42578125" style="884" customWidth="1"/>
    <col min="6421" max="6421" width="21.85546875" style="884" customWidth="1"/>
    <col min="6422" max="6422" width="11.7109375" style="884" customWidth="1"/>
    <col min="6423" max="6423" width="26.28515625" style="884" customWidth="1"/>
    <col min="6424" max="6424" width="9" style="884" customWidth="1"/>
    <col min="6425" max="6425" width="6.28515625" style="884" customWidth="1"/>
    <col min="6426" max="6427" width="7.28515625" style="884" customWidth="1"/>
    <col min="6428" max="6428" width="8.42578125" style="884" customWidth="1"/>
    <col min="6429" max="6429" width="9.5703125" style="884" customWidth="1"/>
    <col min="6430" max="6430" width="6.28515625" style="884" customWidth="1"/>
    <col min="6431" max="6431" width="5.85546875" style="884" customWidth="1"/>
    <col min="6432" max="6433" width="4.42578125" style="884" customWidth="1"/>
    <col min="6434" max="6434" width="5" style="884" customWidth="1"/>
    <col min="6435" max="6435" width="5.85546875" style="884" customWidth="1"/>
    <col min="6436" max="6436" width="6.140625" style="884" customWidth="1"/>
    <col min="6437" max="6437" width="6.28515625" style="884" customWidth="1"/>
    <col min="6438" max="6438" width="11.140625" style="884" customWidth="1"/>
    <col min="6439" max="6439" width="14.140625" style="884" customWidth="1"/>
    <col min="6440" max="6440" width="19.85546875" style="884" customWidth="1"/>
    <col min="6441" max="6441" width="17" style="884" customWidth="1"/>
    <col min="6442" max="6442" width="20.85546875" style="884" customWidth="1"/>
    <col min="6443" max="6655" width="11.42578125" style="884"/>
    <col min="6656" max="6656" width="13.140625" style="884" customWidth="1"/>
    <col min="6657" max="6657" width="4" style="884" customWidth="1"/>
    <col min="6658" max="6658" width="12.85546875" style="884" customWidth="1"/>
    <col min="6659" max="6659" width="14.7109375" style="884" customWidth="1"/>
    <col min="6660" max="6660" width="10" style="884" customWidth="1"/>
    <col min="6661" max="6661" width="6.28515625" style="884" customWidth="1"/>
    <col min="6662" max="6662" width="12.28515625" style="884" customWidth="1"/>
    <col min="6663" max="6663" width="8.5703125" style="884" customWidth="1"/>
    <col min="6664" max="6664" width="13.7109375" style="884" customWidth="1"/>
    <col min="6665" max="6665" width="11.5703125" style="884" customWidth="1"/>
    <col min="6666" max="6666" width="34.28515625" style="884" customWidth="1"/>
    <col min="6667" max="6667" width="24.28515625" style="884" customWidth="1"/>
    <col min="6668" max="6668" width="21.140625" style="884" customWidth="1"/>
    <col min="6669" max="6669" width="22.140625" style="884" customWidth="1"/>
    <col min="6670" max="6670" width="8" style="884" customWidth="1"/>
    <col min="6671" max="6671" width="17" style="884" customWidth="1"/>
    <col min="6672" max="6672" width="12.7109375" style="884" customWidth="1"/>
    <col min="6673" max="6673" width="24.5703125" style="884" customWidth="1"/>
    <col min="6674" max="6674" width="29" style="884" customWidth="1"/>
    <col min="6675" max="6675" width="17.7109375" style="884" customWidth="1"/>
    <col min="6676" max="6676" width="36.42578125" style="884" customWidth="1"/>
    <col min="6677" max="6677" width="21.85546875" style="884" customWidth="1"/>
    <col min="6678" max="6678" width="11.7109375" style="884" customWidth="1"/>
    <col min="6679" max="6679" width="26.28515625" style="884" customWidth="1"/>
    <col min="6680" max="6680" width="9" style="884" customWidth="1"/>
    <col min="6681" max="6681" width="6.28515625" style="884" customWidth="1"/>
    <col min="6682" max="6683" width="7.28515625" style="884" customWidth="1"/>
    <col min="6684" max="6684" width="8.42578125" style="884" customWidth="1"/>
    <col min="6685" max="6685" width="9.5703125" style="884" customWidth="1"/>
    <col min="6686" max="6686" width="6.28515625" style="884" customWidth="1"/>
    <col min="6687" max="6687" width="5.85546875" style="884" customWidth="1"/>
    <col min="6688" max="6689" width="4.42578125" style="884" customWidth="1"/>
    <col min="6690" max="6690" width="5" style="884" customWidth="1"/>
    <col min="6691" max="6691" width="5.85546875" style="884" customWidth="1"/>
    <col min="6692" max="6692" width="6.140625" style="884" customWidth="1"/>
    <col min="6693" max="6693" width="6.28515625" style="884" customWidth="1"/>
    <col min="6694" max="6694" width="11.140625" style="884" customWidth="1"/>
    <col min="6695" max="6695" width="14.140625" style="884" customWidth="1"/>
    <col min="6696" max="6696" width="19.85546875" style="884" customWidth="1"/>
    <col min="6697" max="6697" width="17" style="884" customWidth="1"/>
    <col min="6698" max="6698" width="20.85546875" style="884" customWidth="1"/>
    <col min="6699" max="6911" width="11.42578125" style="884"/>
    <col min="6912" max="6912" width="13.140625" style="884" customWidth="1"/>
    <col min="6913" max="6913" width="4" style="884" customWidth="1"/>
    <col min="6914" max="6914" width="12.85546875" style="884" customWidth="1"/>
    <col min="6915" max="6915" width="14.7109375" style="884" customWidth="1"/>
    <col min="6916" max="6916" width="10" style="884" customWidth="1"/>
    <col min="6917" max="6917" width="6.28515625" style="884" customWidth="1"/>
    <col min="6918" max="6918" width="12.28515625" style="884" customWidth="1"/>
    <col min="6919" max="6919" width="8.5703125" style="884" customWidth="1"/>
    <col min="6920" max="6920" width="13.7109375" style="884" customWidth="1"/>
    <col min="6921" max="6921" width="11.5703125" style="884" customWidth="1"/>
    <col min="6922" max="6922" width="34.28515625" style="884" customWidth="1"/>
    <col min="6923" max="6923" width="24.28515625" style="884" customWidth="1"/>
    <col min="6924" max="6924" width="21.140625" style="884" customWidth="1"/>
    <col min="6925" max="6925" width="22.140625" style="884" customWidth="1"/>
    <col min="6926" max="6926" width="8" style="884" customWidth="1"/>
    <col min="6927" max="6927" width="17" style="884" customWidth="1"/>
    <col min="6928" max="6928" width="12.7109375" style="884" customWidth="1"/>
    <col min="6929" max="6929" width="24.5703125" style="884" customWidth="1"/>
    <col min="6930" max="6930" width="29" style="884" customWidth="1"/>
    <col min="6931" max="6931" width="17.7109375" style="884" customWidth="1"/>
    <col min="6932" max="6932" width="36.42578125" style="884" customWidth="1"/>
    <col min="6933" max="6933" width="21.85546875" style="884" customWidth="1"/>
    <col min="6934" max="6934" width="11.7109375" style="884" customWidth="1"/>
    <col min="6935" max="6935" width="26.28515625" style="884" customWidth="1"/>
    <col min="6936" max="6936" width="9" style="884" customWidth="1"/>
    <col min="6937" max="6937" width="6.28515625" style="884" customWidth="1"/>
    <col min="6938" max="6939" width="7.28515625" style="884" customWidth="1"/>
    <col min="6940" max="6940" width="8.42578125" style="884" customWidth="1"/>
    <col min="6941" max="6941" width="9.5703125" style="884" customWidth="1"/>
    <col min="6942" max="6942" width="6.28515625" style="884" customWidth="1"/>
    <col min="6943" max="6943" width="5.85546875" style="884" customWidth="1"/>
    <col min="6944" max="6945" width="4.42578125" style="884" customWidth="1"/>
    <col min="6946" max="6946" width="5" style="884" customWidth="1"/>
    <col min="6947" max="6947" width="5.85546875" style="884" customWidth="1"/>
    <col min="6948" max="6948" width="6.140625" style="884" customWidth="1"/>
    <col min="6949" max="6949" width="6.28515625" style="884" customWidth="1"/>
    <col min="6950" max="6950" width="11.140625" style="884" customWidth="1"/>
    <col min="6951" max="6951" width="14.140625" style="884" customWidth="1"/>
    <col min="6952" max="6952" width="19.85546875" style="884" customWidth="1"/>
    <col min="6953" max="6953" width="17" style="884" customWidth="1"/>
    <col min="6954" max="6954" width="20.85546875" style="884" customWidth="1"/>
    <col min="6955" max="7167" width="11.42578125" style="884"/>
    <col min="7168" max="7168" width="13.140625" style="884" customWidth="1"/>
    <col min="7169" max="7169" width="4" style="884" customWidth="1"/>
    <col min="7170" max="7170" width="12.85546875" style="884" customWidth="1"/>
    <col min="7171" max="7171" width="14.7109375" style="884" customWidth="1"/>
    <col min="7172" max="7172" width="10" style="884" customWidth="1"/>
    <col min="7173" max="7173" width="6.28515625" style="884" customWidth="1"/>
    <col min="7174" max="7174" width="12.28515625" style="884" customWidth="1"/>
    <col min="7175" max="7175" width="8.5703125" style="884" customWidth="1"/>
    <col min="7176" max="7176" width="13.7109375" style="884" customWidth="1"/>
    <col min="7177" max="7177" width="11.5703125" style="884" customWidth="1"/>
    <col min="7178" max="7178" width="34.28515625" style="884" customWidth="1"/>
    <col min="7179" max="7179" width="24.28515625" style="884" customWidth="1"/>
    <col min="7180" max="7180" width="21.140625" style="884" customWidth="1"/>
    <col min="7181" max="7181" width="22.140625" style="884" customWidth="1"/>
    <col min="7182" max="7182" width="8" style="884" customWidth="1"/>
    <col min="7183" max="7183" width="17" style="884" customWidth="1"/>
    <col min="7184" max="7184" width="12.7109375" style="884" customWidth="1"/>
    <col min="7185" max="7185" width="24.5703125" style="884" customWidth="1"/>
    <col min="7186" max="7186" width="29" style="884" customWidth="1"/>
    <col min="7187" max="7187" width="17.7109375" style="884" customWidth="1"/>
    <col min="7188" max="7188" width="36.42578125" style="884" customWidth="1"/>
    <col min="7189" max="7189" width="21.85546875" style="884" customWidth="1"/>
    <col min="7190" max="7190" width="11.7109375" style="884" customWidth="1"/>
    <col min="7191" max="7191" width="26.28515625" style="884" customWidth="1"/>
    <col min="7192" max="7192" width="9" style="884" customWidth="1"/>
    <col min="7193" max="7193" width="6.28515625" style="884" customWidth="1"/>
    <col min="7194" max="7195" width="7.28515625" style="884" customWidth="1"/>
    <col min="7196" max="7196" width="8.42578125" style="884" customWidth="1"/>
    <col min="7197" max="7197" width="9.5703125" style="884" customWidth="1"/>
    <col min="7198" max="7198" width="6.28515625" style="884" customWidth="1"/>
    <col min="7199" max="7199" width="5.85546875" style="884" customWidth="1"/>
    <col min="7200" max="7201" width="4.42578125" style="884" customWidth="1"/>
    <col min="7202" max="7202" width="5" style="884" customWidth="1"/>
    <col min="7203" max="7203" width="5.85546875" style="884" customWidth="1"/>
    <col min="7204" max="7204" width="6.140625" style="884" customWidth="1"/>
    <col min="7205" max="7205" width="6.28515625" style="884" customWidth="1"/>
    <col min="7206" max="7206" width="11.140625" style="884" customWidth="1"/>
    <col min="7207" max="7207" width="14.140625" style="884" customWidth="1"/>
    <col min="7208" max="7208" width="19.85546875" style="884" customWidth="1"/>
    <col min="7209" max="7209" width="17" style="884" customWidth="1"/>
    <col min="7210" max="7210" width="20.85546875" style="884" customWidth="1"/>
    <col min="7211" max="7423" width="11.42578125" style="884"/>
    <col min="7424" max="7424" width="13.140625" style="884" customWidth="1"/>
    <col min="7425" max="7425" width="4" style="884" customWidth="1"/>
    <col min="7426" max="7426" width="12.85546875" style="884" customWidth="1"/>
    <col min="7427" max="7427" width="14.7109375" style="884" customWidth="1"/>
    <col min="7428" max="7428" width="10" style="884" customWidth="1"/>
    <col min="7429" max="7429" width="6.28515625" style="884" customWidth="1"/>
    <col min="7430" max="7430" width="12.28515625" style="884" customWidth="1"/>
    <col min="7431" max="7431" width="8.5703125" style="884" customWidth="1"/>
    <col min="7432" max="7432" width="13.7109375" style="884" customWidth="1"/>
    <col min="7433" max="7433" width="11.5703125" style="884" customWidth="1"/>
    <col min="7434" max="7434" width="34.28515625" style="884" customWidth="1"/>
    <col min="7435" max="7435" width="24.28515625" style="884" customWidth="1"/>
    <col min="7436" max="7436" width="21.140625" style="884" customWidth="1"/>
    <col min="7437" max="7437" width="22.140625" style="884" customWidth="1"/>
    <col min="7438" max="7438" width="8" style="884" customWidth="1"/>
    <col min="7439" max="7439" width="17" style="884" customWidth="1"/>
    <col min="7440" max="7440" width="12.7109375" style="884" customWidth="1"/>
    <col min="7441" max="7441" width="24.5703125" style="884" customWidth="1"/>
    <col min="7442" max="7442" width="29" style="884" customWidth="1"/>
    <col min="7443" max="7443" width="17.7109375" style="884" customWidth="1"/>
    <col min="7444" max="7444" width="36.42578125" style="884" customWidth="1"/>
    <col min="7445" max="7445" width="21.85546875" style="884" customWidth="1"/>
    <col min="7446" max="7446" width="11.7109375" style="884" customWidth="1"/>
    <col min="7447" max="7447" width="26.28515625" style="884" customWidth="1"/>
    <col min="7448" max="7448" width="9" style="884" customWidth="1"/>
    <col min="7449" max="7449" width="6.28515625" style="884" customWidth="1"/>
    <col min="7450" max="7451" width="7.28515625" style="884" customWidth="1"/>
    <col min="7452" max="7452" width="8.42578125" style="884" customWidth="1"/>
    <col min="7453" max="7453" width="9.5703125" style="884" customWidth="1"/>
    <col min="7454" max="7454" width="6.28515625" style="884" customWidth="1"/>
    <col min="7455" max="7455" width="5.85546875" style="884" customWidth="1"/>
    <col min="7456" max="7457" width="4.42578125" style="884" customWidth="1"/>
    <col min="7458" max="7458" width="5" style="884" customWidth="1"/>
    <col min="7459" max="7459" width="5.85546875" style="884" customWidth="1"/>
    <col min="7460" max="7460" width="6.140625" style="884" customWidth="1"/>
    <col min="7461" max="7461" width="6.28515625" style="884" customWidth="1"/>
    <col min="7462" max="7462" width="11.140625" style="884" customWidth="1"/>
    <col min="7463" max="7463" width="14.140625" style="884" customWidth="1"/>
    <col min="7464" max="7464" width="19.85546875" style="884" customWidth="1"/>
    <col min="7465" max="7465" width="17" style="884" customWidth="1"/>
    <col min="7466" max="7466" width="20.85546875" style="884" customWidth="1"/>
    <col min="7467" max="7679" width="11.42578125" style="884"/>
    <col min="7680" max="7680" width="13.140625" style="884" customWidth="1"/>
    <col min="7681" max="7681" width="4" style="884" customWidth="1"/>
    <col min="7682" max="7682" width="12.85546875" style="884" customWidth="1"/>
    <col min="7683" max="7683" width="14.7109375" style="884" customWidth="1"/>
    <col min="7684" max="7684" width="10" style="884" customWidth="1"/>
    <col min="7685" max="7685" width="6.28515625" style="884" customWidth="1"/>
    <col min="7686" max="7686" width="12.28515625" style="884" customWidth="1"/>
    <col min="7687" max="7687" width="8.5703125" style="884" customWidth="1"/>
    <col min="7688" max="7688" width="13.7109375" style="884" customWidth="1"/>
    <col min="7689" max="7689" width="11.5703125" style="884" customWidth="1"/>
    <col min="7690" max="7690" width="34.28515625" style="884" customWidth="1"/>
    <col min="7691" max="7691" width="24.28515625" style="884" customWidth="1"/>
    <col min="7692" max="7692" width="21.140625" style="884" customWidth="1"/>
    <col min="7693" max="7693" width="22.140625" style="884" customWidth="1"/>
    <col min="7694" max="7694" width="8" style="884" customWidth="1"/>
    <col min="7695" max="7695" width="17" style="884" customWidth="1"/>
    <col min="7696" max="7696" width="12.7109375" style="884" customWidth="1"/>
    <col min="7697" max="7697" width="24.5703125" style="884" customWidth="1"/>
    <col min="7698" max="7698" width="29" style="884" customWidth="1"/>
    <col min="7699" max="7699" width="17.7109375" style="884" customWidth="1"/>
    <col min="7700" max="7700" width="36.42578125" style="884" customWidth="1"/>
    <col min="7701" max="7701" width="21.85546875" style="884" customWidth="1"/>
    <col min="7702" max="7702" width="11.7109375" style="884" customWidth="1"/>
    <col min="7703" max="7703" width="26.28515625" style="884" customWidth="1"/>
    <col min="7704" max="7704" width="9" style="884" customWidth="1"/>
    <col min="7705" max="7705" width="6.28515625" style="884" customWidth="1"/>
    <col min="7706" max="7707" width="7.28515625" style="884" customWidth="1"/>
    <col min="7708" max="7708" width="8.42578125" style="884" customWidth="1"/>
    <col min="7709" max="7709" width="9.5703125" style="884" customWidth="1"/>
    <col min="7710" max="7710" width="6.28515625" style="884" customWidth="1"/>
    <col min="7711" max="7711" width="5.85546875" style="884" customWidth="1"/>
    <col min="7712" max="7713" width="4.42578125" style="884" customWidth="1"/>
    <col min="7714" max="7714" width="5" style="884" customWidth="1"/>
    <col min="7715" max="7715" width="5.85546875" style="884" customWidth="1"/>
    <col min="7716" max="7716" width="6.140625" style="884" customWidth="1"/>
    <col min="7717" max="7717" width="6.28515625" style="884" customWidth="1"/>
    <col min="7718" max="7718" width="11.140625" style="884" customWidth="1"/>
    <col min="7719" max="7719" width="14.140625" style="884" customWidth="1"/>
    <col min="7720" max="7720" width="19.85546875" style="884" customWidth="1"/>
    <col min="7721" max="7721" width="17" style="884" customWidth="1"/>
    <col min="7722" max="7722" width="20.85546875" style="884" customWidth="1"/>
    <col min="7723" max="7935" width="11.42578125" style="884"/>
    <col min="7936" max="7936" width="13.140625" style="884" customWidth="1"/>
    <col min="7937" max="7937" width="4" style="884" customWidth="1"/>
    <col min="7938" max="7938" width="12.85546875" style="884" customWidth="1"/>
    <col min="7939" max="7939" width="14.7109375" style="884" customWidth="1"/>
    <col min="7940" max="7940" width="10" style="884" customWidth="1"/>
    <col min="7941" max="7941" width="6.28515625" style="884" customWidth="1"/>
    <col min="7942" max="7942" width="12.28515625" style="884" customWidth="1"/>
    <col min="7943" max="7943" width="8.5703125" style="884" customWidth="1"/>
    <col min="7944" max="7944" width="13.7109375" style="884" customWidth="1"/>
    <col min="7945" max="7945" width="11.5703125" style="884" customWidth="1"/>
    <col min="7946" max="7946" width="34.28515625" style="884" customWidth="1"/>
    <col min="7947" max="7947" width="24.28515625" style="884" customWidth="1"/>
    <col min="7948" max="7948" width="21.140625" style="884" customWidth="1"/>
    <col min="7949" max="7949" width="22.140625" style="884" customWidth="1"/>
    <col min="7950" max="7950" width="8" style="884" customWidth="1"/>
    <col min="7951" max="7951" width="17" style="884" customWidth="1"/>
    <col min="7952" max="7952" width="12.7109375" style="884" customWidth="1"/>
    <col min="7953" max="7953" width="24.5703125" style="884" customWidth="1"/>
    <col min="7954" max="7954" width="29" style="884" customWidth="1"/>
    <col min="7955" max="7955" width="17.7109375" style="884" customWidth="1"/>
    <col min="7956" max="7956" width="36.42578125" style="884" customWidth="1"/>
    <col min="7957" max="7957" width="21.85546875" style="884" customWidth="1"/>
    <col min="7958" max="7958" width="11.7109375" style="884" customWidth="1"/>
    <col min="7959" max="7959" width="26.28515625" style="884" customWidth="1"/>
    <col min="7960" max="7960" width="9" style="884" customWidth="1"/>
    <col min="7961" max="7961" width="6.28515625" style="884" customWidth="1"/>
    <col min="7962" max="7963" width="7.28515625" style="884" customWidth="1"/>
    <col min="7964" max="7964" width="8.42578125" style="884" customWidth="1"/>
    <col min="7965" max="7965" width="9.5703125" style="884" customWidth="1"/>
    <col min="7966" max="7966" width="6.28515625" style="884" customWidth="1"/>
    <col min="7967" max="7967" width="5.85546875" style="884" customWidth="1"/>
    <col min="7968" max="7969" width="4.42578125" style="884" customWidth="1"/>
    <col min="7970" max="7970" width="5" style="884" customWidth="1"/>
    <col min="7971" max="7971" width="5.85546875" style="884" customWidth="1"/>
    <col min="7972" max="7972" width="6.140625" style="884" customWidth="1"/>
    <col min="7973" max="7973" width="6.28515625" style="884" customWidth="1"/>
    <col min="7974" max="7974" width="11.140625" style="884" customWidth="1"/>
    <col min="7975" max="7975" width="14.140625" style="884" customWidth="1"/>
    <col min="7976" max="7976" width="19.85546875" style="884" customWidth="1"/>
    <col min="7977" max="7977" width="17" style="884" customWidth="1"/>
    <col min="7978" max="7978" width="20.85546875" style="884" customWidth="1"/>
    <col min="7979" max="8191" width="11.42578125" style="884"/>
    <col min="8192" max="8192" width="13.140625" style="884" customWidth="1"/>
    <col min="8193" max="8193" width="4" style="884" customWidth="1"/>
    <col min="8194" max="8194" width="12.85546875" style="884" customWidth="1"/>
    <col min="8195" max="8195" width="14.7109375" style="884" customWidth="1"/>
    <col min="8196" max="8196" width="10" style="884" customWidth="1"/>
    <col min="8197" max="8197" width="6.28515625" style="884" customWidth="1"/>
    <col min="8198" max="8198" width="12.28515625" style="884" customWidth="1"/>
    <col min="8199" max="8199" width="8.5703125" style="884" customWidth="1"/>
    <col min="8200" max="8200" width="13.7109375" style="884" customWidth="1"/>
    <col min="8201" max="8201" width="11.5703125" style="884" customWidth="1"/>
    <col min="8202" max="8202" width="34.28515625" style="884" customWidth="1"/>
    <col min="8203" max="8203" width="24.28515625" style="884" customWidth="1"/>
    <col min="8204" max="8204" width="21.140625" style="884" customWidth="1"/>
    <col min="8205" max="8205" width="22.140625" style="884" customWidth="1"/>
    <col min="8206" max="8206" width="8" style="884" customWidth="1"/>
    <col min="8207" max="8207" width="17" style="884" customWidth="1"/>
    <col min="8208" max="8208" width="12.7109375" style="884" customWidth="1"/>
    <col min="8209" max="8209" width="24.5703125" style="884" customWidth="1"/>
    <col min="8210" max="8210" width="29" style="884" customWidth="1"/>
    <col min="8211" max="8211" width="17.7109375" style="884" customWidth="1"/>
    <col min="8212" max="8212" width="36.42578125" style="884" customWidth="1"/>
    <col min="8213" max="8213" width="21.85546875" style="884" customWidth="1"/>
    <col min="8214" max="8214" width="11.7109375" style="884" customWidth="1"/>
    <col min="8215" max="8215" width="26.28515625" style="884" customWidth="1"/>
    <col min="8216" max="8216" width="9" style="884" customWidth="1"/>
    <col min="8217" max="8217" width="6.28515625" style="884" customWidth="1"/>
    <col min="8218" max="8219" width="7.28515625" style="884" customWidth="1"/>
    <col min="8220" max="8220" width="8.42578125" style="884" customWidth="1"/>
    <col min="8221" max="8221" width="9.5703125" style="884" customWidth="1"/>
    <col min="8222" max="8222" width="6.28515625" style="884" customWidth="1"/>
    <col min="8223" max="8223" width="5.85546875" style="884" customWidth="1"/>
    <col min="8224" max="8225" width="4.42578125" style="884" customWidth="1"/>
    <col min="8226" max="8226" width="5" style="884" customWidth="1"/>
    <col min="8227" max="8227" width="5.85546875" style="884" customWidth="1"/>
    <col min="8228" max="8228" width="6.140625" style="884" customWidth="1"/>
    <col min="8229" max="8229" width="6.28515625" style="884" customWidth="1"/>
    <col min="8230" max="8230" width="11.140625" style="884" customWidth="1"/>
    <col min="8231" max="8231" width="14.140625" style="884" customWidth="1"/>
    <col min="8232" max="8232" width="19.85546875" style="884" customWidth="1"/>
    <col min="8233" max="8233" width="17" style="884" customWidth="1"/>
    <col min="8234" max="8234" width="20.85546875" style="884" customWidth="1"/>
    <col min="8235" max="8447" width="11.42578125" style="884"/>
    <col min="8448" max="8448" width="13.140625" style="884" customWidth="1"/>
    <col min="8449" max="8449" width="4" style="884" customWidth="1"/>
    <col min="8450" max="8450" width="12.85546875" style="884" customWidth="1"/>
    <col min="8451" max="8451" width="14.7109375" style="884" customWidth="1"/>
    <col min="8452" max="8452" width="10" style="884" customWidth="1"/>
    <col min="8453" max="8453" width="6.28515625" style="884" customWidth="1"/>
    <col min="8454" max="8454" width="12.28515625" style="884" customWidth="1"/>
    <col min="8455" max="8455" width="8.5703125" style="884" customWidth="1"/>
    <col min="8456" max="8456" width="13.7109375" style="884" customWidth="1"/>
    <col min="8457" max="8457" width="11.5703125" style="884" customWidth="1"/>
    <col min="8458" max="8458" width="34.28515625" style="884" customWidth="1"/>
    <col min="8459" max="8459" width="24.28515625" style="884" customWidth="1"/>
    <col min="8460" max="8460" width="21.140625" style="884" customWidth="1"/>
    <col min="8461" max="8461" width="22.140625" style="884" customWidth="1"/>
    <col min="8462" max="8462" width="8" style="884" customWidth="1"/>
    <col min="8463" max="8463" width="17" style="884" customWidth="1"/>
    <col min="8464" max="8464" width="12.7109375" style="884" customWidth="1"/>
    <col min="8465" max="8465" width="24.5703125" style="884" customWidth="1"/>
    <col min="8466" max="8466" width="29" style="884" customWidth="1"/>
    <col min="8467" max="8467" width="17.7109375" style="884" customWidth="1"/>
    <col min="8468" max="8468" width="36.42578125" style="884" customWidth="1"/>
    <col min="8469" max="8469" width="21.85546875" style="884" customWidth="1"/>
    <col min="8470" max="8470" width="11.7109375" style="884" customWidth="1"/>
    <col min="8471" max="8471" width="26.28515625" style="884" customWidth="1"/>
    <col min="8472" max="8472" width="9" style="884" customWidth="1"/>
    <col min="8473" max="8473" width="6.28515625" style="884" customWidth="1"/>
    <col min="8474" max="8475" width="7.28515625" style="884" customWidth="1"/>
    <col min="8476" max="8476" width="8.42578125" style="884" customWidth="1"/>
    <col min="8477" max="8477" width="9.5703125" style="884" customWidth="1"/>
    <col min="8478" max="8478" width="6.28515625" style="884" customWidth="1"/>
    <col min="8479" max="8479" width="5.85546875" style="884" customWidth="1"/>
    <col min="8480" max="8481" width="4.42578125" style="884" customWidth="1"/>
    <col min="8482" max="8482" width="5" style="884" customWidth="1"/>
    <col min="8483" max="8483" width="5.85546875" style="884" customWidth="1"/>
    <col min="8484" max="8484" width="6.140625" style="884" customWidth="1"/>
    <col min="8485" max="8485" width="6.28515625" style="884" customWidth="1"/>
    <col min="8486" max="8486" width="11.140625" style="884" customWidth="1"/>
    <col min="8487" max="8487" width="14.140625" style="884" customWidth="1"/>
    <col min="8488" max="8488" width="19.85546875" style="884" customWidth="1"/>
    <col min="8489" max="8489" width="17" style="884" customWidth="1"/>
    <col min="8490" max="8490" width="20.85546875" style="884" customWidth="1"/>
    <col min="8491" max="8703" width="11.42578125" style="884"/>
    <col min="8704" max="8704" width="13.140625" style="884" customWidth="1"/>
    <col min="8705" max="8705" width="4" style="884" customWidth="1"/>
    <col min="8706" max="8706" width="12.85546875" style="884" customWidth="1"/>
    <col min="8707" max="8707" width="14.7109375" style="884" customWidth="1"/>
    <col min="8708" max="8708" width="10" style="884" customWidth="1"/>
    <col min="8709" max="8709" width="6.28515625" style="884" customWidth="1"/>
    <col min="8710" max="8710" width="12.28515625" style="884" customWidth="1"/>
    <col min="8711" max="8711" width="8.5703125" style="884" customWidth="1"/>
    <col min="8712" max="8712" width="13.7109375" style="884" customWidth="1"/>
    <col min="8713" max="8713" width="11.5703125" style="884" customWidth="1"/>
    <col min="8714" max="8714" width="34.28515625" style="884" customWidth="1"/>
    <col min="8715" max="8715" width="24.28515625" style="884" customWidth="1"/>
    <col min="8716" max="8716" width="21.140625" style="884" customWidth="1"/>
    <col min="8717" max="8717" width="22.140625" style="884" customWidth="1"/>
    <col min="8718" max="8718" width="8" style="884" customWidth="1"/>
    <col min="8719" max="8719" width="17" style="884" customWidth="1"/>
    <col min="8720" max="8720" width="12.7109375" style="884" customWidth="1"/>
    <col min="8721" max="8721" width="24.5703125" style="884" customWidth="1"/>
    <col min="8722" max="8722" width="29" style="884" customWidth="1"/>
    <col min="8723" max="8723" width="17.7109375" style="884" customWidth="1"/>
    <col min="8724" max="8724" width="36.42578125" style="884" customWidth="1"/>
    <col min="8725" max="8725" width="21.85546875" style="884" customWidth="1"/>
    <col min="8726" max="8726" width="11.7109375" style="884" customWidth="1"/>
    <col min="8727" max="8727" width="26.28515625" style="884" customWidth="1"/>
    <col min="8728" max="8728" width="9" style="884" customWidth="1"/>
    <col min="8729" max="8729" width="6.28515625" style="884" customWidth="1"/>
    <col min="8730" max="8731" width="7.28515625" style="884" customWidth="1"/>
    <col min="8732" max="8732" width="8.42578125" style="884" customWidth="1"/>
    <col min="8733" max="8733" width="9.5703125" style="884" customWidth="1"/>
    <col min="8734" max="8734" width="6.28515625" style="884" customWidth="1"/>
    <col min="8735" max="8735" width="5.85546875" style="884" customWidth="1"/>
    <col min="8736" max="8737" width="4.42578125" style="884" customWidth="1"/>
    <col min="8738" max="8738" width="5" style="884" customWidth="1"/>
    <col min="8739" max="8739" width="5.85546875" style="884" customWidth="1"/>
    <col min="8740" max="8740" width="6.140625" style="884" customWidth="1"/>
    <col min="8741" max="8741" width="6.28515625" style="884" customWidth="1"/>
    <col min="8742" max="8742" width="11.140625" style="884" customWidth="1"/>
    <col min="8743" max="8743" width="14.140625" style="884" customWidth="1"/>
    <col min="8744" max="8744" width="19.85546875" style="884" customWidth="1"/>
    <col min="8745" max="8745" width="17" style="884" customWidth="1"/>
    <col min="8746" max="8746" width="20.85546875" style="884" customWidth="1"/>
    <col min="8747" max="8959" width="11.42578125" style="884"/>
    <col min="8960" max="8960" width="13.140625" style="884" customWidth="1"/>
    <col min="8961" max="8961" width="4" style="884" customWidth="1"/>
    <col min="8962" max="8962" width="12.85546875" style="884" customWidth="1"/>
    <col min="8963" max="8963" width="14.7109375" style="884" customWidth="1"/>
    <col min="8964" max="8964" width="10" style="884" customWidth="1"/>
    <col min="8965" max="8965" width="6.28515625" style="884" customWidth="1"/>
    <col min="8966" max="8966" width="12.28515625" style="884" customWidth="1"/>
    <col min="8967" max="8967" width="8.5703125" style="884" customWidth="1"/>
    <col min="8968" max="8968" width="13.7109375" style="884" customWidth="1"/>
    <col min="8969" max="8969" width="11.5703125" style="884" customWidth="1"/>
    <col min="8970" max="8970" width="34.28515625" style="884" customWidth="1"/>
    <col min="8971" max="8971" width="24.28515625" style="884" customWidth="1"/>
    <col min="8972" max="8972" width="21.140625" style="884" customWidth="1"/>
    <col min="8973" max="8973" width="22.140625" style="884" customWidth="1"/>
    <col min="8974" max="8974" width="8" style="884" customWidth="1"/>
    <col min="8975" max="8975" width="17" style="884" customWidth="1"/>
    <col min="8976" max="8976" width="12.7109375" style="884" customWidth="1"/>
    <col min="8977" max="8977" width="24.5703125" style="884" customWidth="1"/>
    <col min="8978" max="8978" width="29" style="884" customWidth="1"/>
    <col min="8979" max="8979" width="17.7109375" style="884" customWidth="1"/>
    <col min="8980" max="8980" width="36.42578125" style="884" customWidth="1"/>
    <col min="8981" max="8981" width="21.85546875" style="884" customWidth="1"/>
    <col min="8982" max="8982" width="11.7109375" style="884" customWidth="1"/>
    <col min="8983" max="8983" width="26.28515625" style="884" customWidth="1"/>
    <col min="8984" max="8984" width="9" style="884" customWidth="1"/>
    <col min="8985" max="8985" width="6.28515625" style="884" customWidth="1"/>
    <col min="8986" max="8987" width="7.28515625" style="884" customWidth="1"/>
    <col min="8988" max="8988" width="8.42578125" style="884" customWidth="1"/>
    <col min="8989" max="8989" width="9.5703125" style="884" customWidth="1"/>
    <col min="8990" max="8990" width="6.28515625" style="884" customWidth="1"/>
    <col min="8991" max="8991" width="5.85546875" style="884" customWidth="1"/>
    <col min="8992" max="8993" width="4.42578125" style="884" customWidth="1"/>
    <col min="8994" max="8994" width="5" style="884" customWidth="1"/>
    <col min="8995" max="8995" width="5.85546875" style="884" customWidth="1"/>
    <col min="8996" max="8996" width="6.140625" style="884" customWidth="1"/>
    <col min="8997" max="8997" width="6.28515625" style="884" customWidth="1"/>
    <col min="8998" max="8998" width="11.140625" style="884" customWidth="1"/>
    <col min="8999" max="8999" width="14.140625" style="884" customWidth="1"/>
    <col min="9000" max="9000" width="19.85546875" style="884" customWidth="1"/>
    <col min="9001" max="9001" width="17" style="884" customWidth="1"/>
    <col min="9002" max="9002" width="20.85546875" style="884" customWidth="1"/>
    <col min="9003" max="9215" width="11.42578125" style="884"/>
    <col min="9216" max="9216" width="13.140625" style="884" customWidth="1"/>
    <col min="9217" max="9217" width="4" style="884" customWidth="1"/>
    <col min="9218" max="9218" width="12.85546875" style="884" customWidth="1"/>
    <col min="9219" max="9219" width="14.7109375" style="884" customWidth="1"/>
    <col min="9220" max="9220" width="10" style="884" customWidth="1"/>
    <col min="9221" max="9221" width="6.28515625" style="884" customWidth="1"/>
    <col min="9222" max="9222" width="12.28515625" style="884" customWidth="1"/>
    <col min="9223" max="9223" width="8.5703125" style="884" customWidth="1"/>
    <col min="9224" max="9224" width="13.7109375" style="884" customWidth="1"/>
    <col min="9225" max="9225" width="11.5703125" style="884" customWidth="1"/>
    <col min="9226" max="9226" width="34.28515625" style="884" customWidth="1"/>
    <col min="9227" max="9227" width="24.28515625" style="884" customWidth="1"/>
    <col min="9228" max="9228" width="21.140625" style="884" customWidth="1"/>
    <col min="9229" max="9229" width="22.140625" style="884" customWidth="1"/>
    <col min="9230" max="9230" width="8" style="884" customWidth="1"/>
    <col min="9231" max="9231" width="17" style="884" customWidth="1"/>
    <col min="9232" max="9232" width="12.7109375" style="884" customWidth="1"/>
    <col min="9233" max="9233" width="24.5703125" style="884" customWidth="1"/>
    <col min="9234" max="9234" width="29" style="884" customWidth="1"/>
    <col min="9235" max="9235" width="17.7109375" style="884" customWidth="1"/>
    <col min="9236" max="9236" width="36.42578125" style="884" customWidth="1"/>
    <col min="9237" max="9237" width="21.85546875" style="884" customWidth="1"/>
    <col min="9238" max="9238" width="11.7109375" style="884" customWidth="1"/>
    <col min="9239" max="9239" width="26.28515625" style="884" customWidth="1"/>
    <col min="9240" max="9240" width="9" style="884" customWidth="1"/>
    <col min="9241" max="9241" width="6.28515625" style="884" customWidth="1"/>
    <col min="9242" max="9243" width="7.28515625" style="884" customWidth="1"/>
    <col min="9244" max="9244" width="8.42578125" style="884" customWidth="1"/>
    <col min="9245" max="9245" width="9.5703125" style="884" customWidth="1"/>
    <col min="9246" max="9246" width="6.28515625" style="884" customWidth="1"/>
    <col min="9247" max="9247" width="5.85546875" style="884" customWidth="1"/>
    <col min="9248" max="9249" width="4.42578125" style="884" customWidth="1"/>
    <col min="9250" max="9250" width="5" style="884" customWidth="1"/>
    <col min="9251" max="9251" width="5.85546875" style="884" customWidth="1"/>
    <col min="9252" max="9252" width="6.140625" style="884" customWidth="1"/>
    <col min="9253" max="9253" width="6.28515625" style="884" customWidth="1"/>
    <col min="9254" max="9254" width="11.140625" style="884" customWidth="1"/>
    <col min="9255" max="9255" width="14.140625" style="884" customWidth="1"/>
    <col min="9256" max="9256" width="19.85546875" style="884" customWidth="1"/>
    <col min="9257" max="9257" width="17" style="884" customWidth="1"/>
    <col min="9258" max="9258" width="20.85546875" style="884" customWidth="1"/>
    <col min="9259" max="9471" width="11.42578125" style="884"/>
    <col min="9472" max="9472" width="13.140625" style="884" customWidth="1"/>
    <col min="9473" max="9473" width="4" style="884" customWidth="1"/>
    <col min="9474" max="9474" width="12.85546875" style="884" customWidth="1"/>
    <col min="9475" max="9475" width="14.7109375" style="884" customWidth="1"/>
    <col min="9476" max="9476" width="10" style="884" customWidth="1"/>
    <col min="9477" max="9477" width="6.28515625" style="884" customWidth="1"/>
    <col min="9478" max="9478" width="12.28515625" style="884" customWidth="1"/>
    <col min="9479" max="9479" width="8.5703125" style="884" customWidth="1"/>
    <col min="9480" max="9480" width="13.7109375" style="884" customWidth="1"/>
    <col min="9481" max="9481" width="11.5703125" style="884" customWidth="1"/>
    <col min="9482" max="9482" width="34.28515625" style="884" customWidth="1"/>
    <col min="9483" max="9483" width="24.28515625" style="884" customWidth="1"/>
    <col min="9484" max="9484" width="21.140625" style="884" customWidth="1"/>
    <col min="9485" max="9485" width="22.140625" style="884" customWidth="1"/>
    <col min="9486" max="9486" width="8" style="884" customWidth="1"/>
    <col min="9487" max="9487" width="17" style="884" customWidth="1"/>
    <col min="9488" max="9488" width="12.7109375" style="884" customWidth="1"/>
    <col min="9489" max="9489" width="24.5703125" style="884" customWidth="1"/>
    <col min="9490" max="9490" width="29" style="884" customWidth="1"/>
    <col min="9491" max="9491" width="17.7109375" style="884" customWidth="1"/>
    <col min="9492" max="9492" width="36.42578125" style="884" customWidth="1"/>
    <col min="9493" max="9493" width="21.85546875" style="884" customWidth="1"/>
    <col min="9494" max="9494" width="11.7109375" style="884" customWidth="1"/>
    <col min="9495" max="9495" width="26.28515625" style="884" customWidth="1"/>
    <col min="9496" max="9496" width="9" style="884" customWidth="1"/>
    <col min="9497" max="9497" width="6.28515625" style="884" customWidth="1"/>
    <col min="9498" max="9499" width="7.28515625" style="884" customWidth="1"/>
    <col min="9500" max="9500" width="8.42578125" style="884" customWidth="1"/>
    <col min="9501" max="9501" width="9.5703125" style="884" customWidth="1"/>
    <col min="9502" max="9502" width="6.28515625" style="884" customWidth="1"/>
    <col min="9503" max="9503" width="5.85546875" style="884" customWidth="1"/>
    <col min="9504" max="9505" width="4.42578125" style="884" customWidth="1"/>
    <col min="9506" max="9506" width="5" style="884" customWidth="1"/>
    <col min="9507" max="9507" width="5.85546875" style="884" customWidth="1"/>
    <col min="9508" max="9508" width="6.140625" style="884" customWidth="1"/>
    <col min="9509" max="9509" width="6.28515625" style="884" customWidth="1"/>
    <col min="9510" max="9510" width="11.140625" style="884" customWidth="1"/>
    <col min="9511" max="9511" width="14.140625" style="884" customWidth="1"/>
    <col min="9512" max="9512" width="19.85546875" style="884" customWidth="1"/>
    <col min="9513" max="9513" width="17" style="884" customWidth="1"/>
    <col min="9514" max="9514" width="20.85546875" style="884" customWidth="1"/>
    <col min="9515" max="9727" width="11.42578125" style="884"/>
    <col min="9728" max="9728" width="13.140625" style="884" customWidth="1"/>
    <col min="9729" max="9729" width="4" style="884" customWidth="1"/>
    <col min="9730" max="9730" width="12.85546875" style="884" customWidth="1"/>
    <col min="9731" max="9731" width="14.7109375" style="884" customWidth="1"/>
    <col min="9732" max="9732" width="10" style="884" customWidth="1"/>
    <col min="9733" max="9733" width="6.28515625" style="884" customWidth="1"/>
    <col min="9734" max="9734" width="12.28515625" style="884" customWidth="1"/>
    <col min="9735" max="9735" width="8.5703125" style="884" customWidth="1"/>
    <col min="9736" max="9736" width="13.7109375" style="884" customWidth="1"/>
    <col min="9737" max="9737" width="11.5703125" style="884" customWidth="1"/>
    <col min="9738" max="9738" width="34.28515625" style="884" customWidth="1"/>
    <col min="9739" max="9739" width="24.28515625" style="884" customWidth="1"/>
    <col min="9740" max="9740" width="21.140625" style="884" customWidth="1"/>
    <col min="9741" max="9741" width="22.140625" style="884" customWidth="1"/>
    <col min="9742" max="9742" width="8" style="884" customWidth="1"/>
    <col min="9743" max="9743" width="17" style="884" customWidth="1"/>
    <col min="9744" max="9744" width="12.7109375" style="884" customWidth="1"/>
    <col min="9745" max="9745" width="24.5703125" style="884" customWidth="1"/>
    <col min="9746" max="9746" width="29" style="884" customWidth="1"/>
    <col min="9747" max="9747" width="17.7109375" style="884" customWidth="1"/>
    <col min="9748" max="9748" width="36.42578125" style="884" customWidth="1"/>
    <col min="9749" max="9749" width="21.85546875" style="884" customWidth="1"/>
    <col min="9750" max="9750" width="11.7109375" style="884" customWidth="1"/>
    <col min="9751" max="9751" width="26.28515625" style="884" customWidth="1"/>
    <col min="9752" max="9752" width="9" style="884" customWidth="1"/>
    <col min="9753" max="9753" width="6.28515625" style="884" customWidth="1"/>
    <col min="9754" max="9755" width="7.28515625" style="884" customWidth="1"/>
    <col min="9756" max="9756" width="8.42578125" style="884" customWidth="1"/>
    <col min="9757" max="9757" width="9.5703125" style="884" customWidth="1"/>
    <col min="9758" max="9758" width="6.28515625" style="884" customWidth="1"/>
    <col min="9759" max="9759" width="5.85546875" style="884" customWidth="1"/>
    <col min="9760" max="9761" width="4.42578125" style="884" customWidth="1"/>
    <col min="9762" max="9762" width="5" style="884" customWidth="1"/>
    <col min="9763" max="9763" width="5.85546875" style="884" customWidth="1"/>
    <col min="9764" max="9764" width="6.140625" style="884" customWidth="1"/>
    <col min="9765" max="9765" width="6.28515625" style="884" customWidth="1"/>
    <col min="9766" max="9766" width="11.140625" style="884" customWidth="1"/>
    <col min="9767" max="9767" width="14.140625" style="884" customWidth="1"/>
    <col min="9768" max="9768" width="19.85546875" style="884" customWidth="1"/>
    <col min="9769" max="9769" width="17" style="884" customWidth="1"/>
    <col min="9770" max="9770" width="20.85546875" style="884" customWidth="1"/>
    <col min="9771" max="9983" width="11.42578125" style="884"/>
    <col min="9984" max="9984" width="13.140625" style="884" customWidth="1"/>
    <col min="9985" max="9985" width="4" style="884" customWidth="1"/>
    <col min="9986" max="9986" width="12.85546875" style="884" customWidth="1"/>
    <col min="9987" max="9987" width="14.7109375" style="884" customWidth="1"/>
    <col min="9988" max="9988" width="10" style="884" customWidth="1"/>
    <col min="9989" max="9989" width="6.28515625" style="884" customWidth="1"/>
    <col min="9990" max="9990" width="12.28515625" style="884" customWidth="1"/>
    <col min="9991" max="9991" width="8.5703125" style="884" customWidth="1"/>
    <col min="9992" max="9992" width="13.7109375" style="884" customWidth="1"/>
    <col min="9993" max="9993" width="11.5703125" style="884" customWidth="1"/>
    <col min="9994" max="9994" width="34.28515625" style="884" customWidth="1"/>
    <col min="9995" max="9995" width="24.28515625" style="884" customWidth="1"/>
    <col min="9996" max="9996" width="21.140625" style="884" customWidth="1"/>
    <col min="9997" max="9997" width="22.140625" style="884" customWidth="1"/>
    <col min="9998" max="9998" width="8" style="884" customWidth="1"/>
    <col min="9999" max="9999" width="17" style="884" customWidth="1"/>
    <col min="10000" max="10000" width="12.7109375" style="884" customWidth="1"/>
    <col min="10001" max="10001" width="24.5703125" style="884" customWidth="1"/>
    <col min="10002" max="10002" width="29" style="884" customWidth="1"/>
    <col min="10003" max="10003" width="17.7109375" style="884" customWidth="1"/>
    <col min="10004" max="10004" width="36.42578125" style="884" customWidth="1"/>
    <col min="10005" max="10005" width="21.85546875" style="884" customWidth="1"/>
    <col min="10006" max="10006" width="11.7109375" style="884" customWidth="1"/>
    <col min="10007" max="10007" width="26.28515625" style="884" customWidth="1"/>
    <col min="10008" max="10008" width="9" style="884" customWidth="1"/>
    <col min="10009" max="10009" width="6.28515625" style="884" customWidth="1"/>
    <col min="10010" max="10011" width="7.28515625" style="884" customWidth="1"/>
    <col min="10012" max="10012" width="8.42578125" style="884" customWidth="1"/>
    <col min="10013" max="10013" width="9.5703125" style="884" customWidth="1"/>
    <col min="10014" max="10014" width="6.28515625" style="884" customWidth="1"/>
    <col min="10015" max="10015" width="5.85546875" style="884" customWidth="1"/>
    <col min="10016" max="10017" width="4.42578125" style="884" customWidth="1"/>
    <col min="10018" max="10018" width="5" style="884" customWidth="1"/>
    <col min="10019" max="10019" width="5.85546875" style="884" customWidth="1"/>
    <col min="10020" max="10020" width="6.140625" style="884" customWidth="1"/>
    <col min="10021" max="10021" width="6.28515625" style="884" customWidth="1"/>
    <col min="10022" max="10022" width="11.140625" style="884" customWidth="1"/>
    <col min="10023" max="10023" width="14.140625" style="884" customWidth="1"/>
    <col min="10024" max="10024" width="19.85546875" style="884" customWidth="1"/>
    <col min="10025" max="10025" width="17" style="884" customWidth="1"/>
    <col min="10026" max="10026" width="20.85546875" style="884" customWidth="1"/>
    <col min="10027" max="10239" width="11.42578125" style="884"/>
    <col min="10240" max="10240" width="13.140625" style="884" customWidth="1"/>
    <col min="10241" max="10241" width="4" style="884" customWidth="1"/>
    <col min="10242" max="10242" width="12.85546875" style="884" customWidth="1"/>
    <col min="10243" max="10243" width="14.7109375" style="884" customWidth="1"/>
    <col min="10244" max="10244" width="10" style="884" customWidth="1"/>
    <col min="10245" max="10245" width="6.28515625" style="884" customWidth="1"/>
    <col min="10246" max="10246" width="12.28515625" style="884" customWidth="1"/>
    <col min="10247" max="10247" width="8.5703125" style="884" customWidth="1"/>
    <col min="10248" max="10248" width="13.7109375" style="884" customWidth="1"/>
    <col min="10249" max="10249" width="11.5703125" style="884" customWidth="1"/>
    <col min="10250" max="10250" width="34.28515625" style="884" customWidth="1"/>
    <col min="10251" max="10251" width="24.28515625" style="884" customWidth="1"/>
    <col min="10252" max="10252" width="21.140625" style="884" customWidth="1"/>
    <col min="10253" max="10253" width="22.140625" style="884" customWidth="1"/>
    <col min="10254" max="10254" width="8" style="884" customWidth="1"/>
    <col min="10255" max="10255" width="17" style="884" customWidth="1"/>
    <col min="10256" max="10256" width="12.7109375" style="884" customWidth="1"/>
    <col min="10257" max="10257" width="24.5703125" style="884" customWidth="1"/>
    <col min="10258" max="10258" width="29" style="884" customWidth="1"/>
    <col min="10259" max="10259" width="17.7109375" style="884" customWidth="1"/>
    <col min="10260" max="10260" width="36.42578125" style="884" customWidth="1"/>
    <col min="10261" max="10261" width="21.85546875" style="884" customWidth="1"/>
    <col min="10262" max="10262" width="11.7109375" style="884" customWidth="1"/>
    <col min="10263" max="10263" width="26.28515625" style="884" customWidth="1"/>
    <col min="10264" max="10264" width="9" style="884" customWidth="1"/>
    <col min="10265" max="10265" width="6.28515625" style="884" customWidth="1"/>
    <col min="10266" max="10267" width="7.28515625" style="884" customWidth="1"/>
    <col min="10268" max="10268" width="8.42578125" style="884" customWidth="1"/>
    <col min="10269" max="10269" width="9.5703125" style="884" customWidth="1"/>
    <col min="10270" max="10270" width="6.28515625" style="884" customWidth="1"/>
    <col min="10271" max="10271" width="5.85546875" style="884" customWidth="1"/>
    <col min="10272" max="10273" width="4.42578125" style="884" customWidth="1"/>
    <col min="10274" max="10274" width="5" style="884" customWidth="1"/>
    <col min="10275" max="10275" width="5.85546875" style="884" customWidth="1"/>
    <col min="10276" max="10276" width="6.140625" style="884" customWidth="1"/>
    <col min="10277" max="10277" width="6.28515625" style="884" customWidth="1"/>
    <col min="10278" max="10278" width="11.140625" style="884" customWidth="1"/>
    <col min="10279" max="10279" width="14.140625" style="884" customWidth="1"/>
    <col min="10280" max="10280" width="19.85546875" style="884" customWidth="1"/>
    <col min="10281" max="10281" width="17" style="884" customWidth="1"/>
    <col min="10282" max="10282" width="20.85546875" style="884" customWidth="1"/>
    <col min="10283" max="10495" width="11.42578125" style="884"/>
    <col min="10496" max="10496" width="13.140625" style="884" customWidth="1"/>
    <col min="10497" max="10497" width="4" style="884" customWidth="1"/>
    <col min="10498" max="10498" width="12.85546875" style="884" customWidth="1"/>
    <col min="10499" max="10499" width="14.7109375" style="884" customWidth="1"/>
    <col min="10500" max="10500" width="10" style="884" customWidth="1"/>
    <col min="10501" max="10501" width="6.28515625" style="884" customWidth="1"/>
    <col min="10502" max="10502" width="12.28515625" style="884" customWidth="1"/>
    <col min="10503" max="10503" width="8.5703125" style="884" customWidth="1"/>
    <col min="10504" max="10504" width="13.7109375" style="884" customWidth="1"/>
    <col min="10505" max="10505" width="11.5703125" style="884" customWidth="1"/>
    <col min="10506" max="10506" width="34.28515625" style="884" customWidth="1"/>
    <col min="10507" max="10507" width="24.28515625" style="884" customWidth="1"/>
    <col min="10508" max="10508" width="21.140625" style="884" customWidth="1"/>
    <col min="10509" max="10509" width="22.140625" style="884" customWidth="1"/>
    <col min="10510" max="10510" width="8" style="884" customWidth="1"/>
    <col min="10511" max="10511" width="17" style="884" customWidth="1"/>
    <col min="10512" max="10512" width="12.7109375" style="884" customWidth="1"/>
    <col min="10513" max="10513" width="24.5703125" style="884" customWidth="1"/>
    <col min="10514" max="10514" width="29" style="884" customWidth="1"/>
    <col min="10515" max="10515" width="17.7109375" style="884" customWidth="1"/>
    <col min="10516" max="10516" width="36.42578125" style="884" customWidth="1"/>
    <col min="10517" max="10517" width="21.85546875" style="884" customWidth="1"/>
    <col min="10518" max="10518" width="11.7109375" style="884" customWidth="1"/>
    <col min="10519" max="10519" width="26.28515625" style="884" customWidth="1"/>
    <col min="10520" max="10520" width="9" style="884" customWidth="1"/>
    <col min="10521" max="10521" width="6.28515625" style="884" customWidth="1"/>
    <col min="10522" max="10523" width="7.28515625" style="884" customWidth="1"/>
    <col min="10524" max="10524" width="8.42578125" style="884" customWidth="1"/>
    <col min="10525" max="10525" width="9.5703125" style="884" customWidth="1"/>
    <col min="10526" max="10526" width="6.28515625" style="884" customWidth="1"/>
    <col min="10527" max="10527" width="5.85546875" style="884" customWidth="1"/>
    <col min="10528" max="10529" width="4.42578125" style="884" customWidth="1"/>
    <col min="10530" max="10530" width="5" style="884" customWidth="1"/>
    <col min="10531" max="10531" width="5.85546875" style="884" customWidth="1"/>
    <col min="10532" max="10532" width="6.140625" style="884" customWidth="1"/>
    <col min="10533" max="10533" width="6.28515625" style="884" customWidth="1"/>
    <col min="10534" max="10534" width="11.140625" style="884" customWidth="1"/>
    <col min="10535" max="10535" width="14.140625" style="884" customWidth="1"/>
    <col min="10536" max="10536" width="19.85546875" style="884" customWidth="1"/>
    <col min="10537" max="10537" width="17" style="884" customWidth="1"/>
    <col min="10538" max="10538" width="20.85546875" style="884" customWidth="1"/>
    <col min="10539" max="10751" width="11.42578125" style="884"/>
    <col min="10752" max="10752" width="13.140625" style="884" customWidth="1"/>
    <col min="10753" max="10753" width="4" style="884" customWidth="1"/>
    <col min="10754" max="10754" width="12.85546875" style="884" customWidth="1"/>
    <col min="10755" max="10755" width="14.7109375" style="884" customWidth="1"/>
    <col min="10756" max="10756" width="10" style="884" customWidth="1"/>
    <col min="10757" max="10757" width="6.28515625" style="884" customWidth="1"/>
    <col min="10758" max="10758" width="12.28515625" style="884" customWidth="1"/>
    <col min="10759" max="10759" width="8.5703125" style="884" customWidth="1"/>
    <col min="10760" max="10760" width="13.7109375" style="884" customWidth="1"/>
    <col min="10761" max="10761" width="11.5703125" style="884" customWidth="1"/>
    <col min="10762" max="10762" width="34.28515625" style="884" customWidth="1"/>
    <col min="10763" max="10763" width="24.28515625" style="884" customWidth="1"/>
    <col min="10764" max="10764" width="21.140625" style="884" customWidth="1"/>
    <col min="10765" max="10765" width="22.140625" style="884" customWidth="1"/>
    <col min="10766" max="10766" width="8" style="884" customWidth="1"/>
    <col min="10767" max="10767" width="17" style="884" customWidth="1"/>
    <col min="10768" max="10768" width="12.7109375" style="884" customWidth="1"/>
    <col min="10769" max="10769" width="24.5703125" style="884" customWidth="1"/>
    <col min="10770" max="10770" width="29" style="884" customWidth="1"/>
    <col min="10771" max="10771" width="17.7109375" style="884" customWidth="1"/>
    <col min="10772" max="10772" width="36.42578125" style="884" customWidth="1"/>
    <col min="10773" max="10773" width="21.85546875" style="884" customWidth="1"/>
    <col min="10774" max="10774" width="11.7109375" style="884" customWidth="1"/>
    <col min="10775" max="10775" width="26.28515625" style="884" customWidth="1"/>
    <col min="10776" max="10776" width="9" style="884" customWidth="1"/>
    <col min="10777" max="10777" width="6.28515625" style="884" customWidth="1"/>
    <col min="10778" max="10779" width="7.28515625" style="884" customWidth="1"/>
    <col min="10780" max="10780" width="8.42578125" style="884" customWidth="1"/>
    <col min="10781" max="10781" width="9.5703125" style="884" customWidth="1"/>
    <col min="10782" max="10782" width="6.28515625" style="884" customWidth="1"/>
    <col min="10783" max="10783" width="5.85546875" style="884" customWidth="1"/>
    <col min="10784" max="10785" width="4.42578125" style="884" customWidth="1"/>
    <col min="10786" max="10786" width="5" style="884" customWidth="1"/>
    <col min="10787" max="10787" width="5.85546875" style="884" customWidth="1"/>
    <col min="10788" max="10788" width="6.140625" style="884" customWidth="1"/>
    <col min="10789" max="10789" width="6.28515625" style="884" customWidth="1"/>
    <col min="10790" max="10790" width="11.140625" style="884" customWidth="1"/>
    <col min="10791" max="10791" width="14.140625" style="884" customWidth="1"/>
    <col min="10792" max="10792" width="19.85546875" style="884" customWidth="1"/>
    <col min="10793" max="10793" width="17" style="884" customWidth="1"/>
    <col min="10794" max="10794" width="20.85546875" style="884" customWidth="1"/>
    <col min="10795" max="11007" width="11.42578125" style="884"/>
    <col min="11008" max="11008" width="13.140625" style="884" customWidth="1"/>
    <col min="11009" max="11009" width="4" style="884" customWidth="1"/>
    <col min="11010" max="11010" width="12.85546875" style="884" customWidth="1"/>
    <col min="11011" max="11011" width="14.7109375" style="884" customWidth="1"/>
    <col min="11012" max="11012" width="10" style="884" customWidth="1"/>
    <col min="11013" max="11013" width="6.28515625" style="884" customWidth="1"/>
    <col min="11014" max="11014" width="12.28515625" style="884" customWidth="1"/>
    <col min="11015" max="11015" width="8.5703125" style="884" customWidth="1"/>
    <col min="11016" max="11016" width="13.7109375" style="884" customWidth="1"/>
    <col min="11017" max="11017" width="11.5703125" style="884" customWidth="1"/>
    <col min="11018" max="11018" width="34.28515625" style="884" customWidth="1"/>
    <col min="11019" max="11019" width="24.28515625" style="884" customWidth="1"/>
    <col min="11020" max="11020" width="21.140625" style="884" customWidth="1"/>
    <col min="11021" max="11021" width="22.140625" style="884" customWidth="1"/>
    <col min="11022" max="11022" width="8" style="884" customWidth="1"/>
    <col min="11023" max="11023" width="17" style="884" customWidth="1"/>
    <col min="11024" max="11024" width="12.7109375" style="884" customWidth="1"/>
    <col min="11025" max="11025" width="24.5703125" style="884" customWidth="1"/>
    <col min="11026" max="11026" width="29" style="884" customWidth="1"/>
    <col min="11027" max="11027" width="17.7109375" style="884" customWidth="1"/>
    <col min="11028" max="11028" width="36.42578125" style="884" customWidth="1"/>
    <col min="11029" max="11029" width="21.85546875" style="884" customWidth="1"/>
    <col min="11030" max="11030" width="11.7109375" style="884" customWidth="1"/>
    <col min="11031" max="11031" width="26.28515625" style="884" customWidth="1"/>
    <col min="11032" max="11032" width="9" style="884" customWidth="1"/>
    <col min="11033" max="11033" width="6.28515625" style="884" customWidth="1"/>
    <col min="11034" max="11035" width="7.28515625" style="884" customWidth="1"/>
    <col min="11036" max="11036" width="8.42578125" style="884" customWidth="1"/>
    <col min="11037" max="11037" width="9.5703125" style="884" customWidth="1"/>
    <col min="11038" max="11038" width="6.28515625" style="884" customWidth="1"/>
    <col min="11039" max="11039" width="5.85546875" style="884" customWidth="1"/>
    <col min="11040" max="11041" width="4.42578125" style="884" customWidth="1"/>
    <col min="11042" max="11042" width="5" style="884" customWidth="1"/>
    <col min="11043" max="11043" width="5.85546875" style="884" customWidth="1"/>
    <col min="11044" max="11044" width="6.140625" style="884" customWidth="1"/>
    <col min="11045" max="11045" width="6.28515625" style="884" customWidth="1"/>
    <col min="11046" max="11046" width="11.140625" style="884" customWidth="1"/>
    <col min="11047" max="11047" width="14.140625" style="884" customWidth="1"/>
    <col min="11048" max="11048" width="19.85546875" style="884" customWidth="1"/>
    <col min="11049" max="11049" width="17" style="884" customWidth="1"/>
    <col min="11050" max="11050" width="20.85546875" style="884" customWidth="1"/>
    <col min="11051" max="11263" width="11.42578125" style="884"/>
    <col min="11264" max="11264" width="13.140625" style="884" customWidth="1"/>
    <col min="11265" max="11265" width="4" style="884" customWidth="1"/>
    <col min="11266" max="11266" width="12.85546875" style="884" customWidth="1"/>
    <col min="11267" max="11267" width="14.7109375" style="884" customWidth="1"/>
    <col min="11268" max="11268" width="10" style="884" customWidth="1"/>
    <col min="11269" max="11269" width="6.28515625" style="884" customWidth="1"/>
    <col min="11270" max="11270" width="12.28515625" style="884" customWidth="1"/>
    <col min="11271" max="11271" width="8.5703125" style="884" customWidth="1"/>
    <col min="11272" max="11272" width="13.7109375" style="884" customWidth="1"/>
    <col min="11273" max="11273" width="11.5703125" style="884" customWidth="1"/>
    <col min="11274" max="11274" width="34.28515625" style="884" customWidth="1"/>
    <col min="11275" max="11275" width="24.28515625" style="884" customWidth="1"/>
    <col min="11276" max="11276" width="21.140625" style="884" customWidth="1"/>
    <col min="11277" max="11277" width="22.140625" style="884" customWidth="1"/>
    <col min="11278" max="11278" width="8" style="884" customWidth="1"/>
    <col min="11279" max="11279" width="17" style="884" customWidth="1"/>
    <col min="11280" max="11280" width="12.7109375" style="884" customWidth="1"/>
    <col min="11281" max="11281" width="24.5703125" style="884" customWidth="1"/>
    <col min="11282" max="11282" width="29" style="884" customWidth="1"/>
    <col min="11283" max="11283" width="17.7109375" style="884" customWidth="1"/>
    <col min="11284" max="11284" width="36.42578125" style="884" customWidth="1"/>
    <col min="11285" max="11285" width="21.85546875" style="884" customWidth="1"/>
    <col min="11286" max="11286" width="11.7109375" style="884" customWidth="1"/>
    <col min="11287" max="11287" width="26.28515625" style="884" customWidth="1"/>
    <col min="11288" max="11288" width="9" style="884" customWidth="1"/>
    <col min="11289" max="11289" width="6.28515625" style="884" customWidth="1"/>
    <col min="11290" max="11291" width="7.28515625" style="884" customWidth="1"/>
    <col min="11292" max="11292" width="8.42578125" style="884" customWidth="1"/>
    <col min="11293" max="11293" width="9.5703125" style="884" customWidth="1"/>
    <col min="11294" max="11294" width="6.28515625" style="884" customWidth="1"/>
    <col min="11295" max="11295" width="5.85546875" style="884" customWidth="1"/>
    <col min="11296" max="11297" width="4.42578125" style="884" customWidth="1"/>
    <col min="11298" max="11298" width="5" style="884" customWidth="1"/>
    <col min="11299" max="11299" width="5.85546875" style="884" customWidth="1"/>
    <col min="11300" max="11300" width="6.140625" style="884" customWidth="1"/>
    <col min="11301" max="11301" width="6.28515625" style="884" customWidth="1"/>
    <col min="11302" max="11302" width="11.140625" style="884" customWidth="1"/>
    <col min="11303" max="11303" width="14.140625" style="884" customWidth="1"/>
    <col min="11304" max="11304" width="19.85546875" style="884" customWidth="1"/>
    <col min="11305" max="11305" width="17" style="884" customWidth="1"/>
    <col min="11306" max="11306" width="20.85546875" style="884" customWidth="1"/>
    <col min="11307" max="11519" width="11.42578125" style="884"/>
    <col min="11520" max="11520" width="13.140625" style="884" customWidth="1"/>
    <col min="11521" max="11521" width="4" style="884" customWidth="1"/>
    <col min="11522" max="11522" width="12.85546875" style="884" customWidth="1"/>
    <col min="11523" max="11523" width="14.7109375" style="884" customWidth="1"/>
    <col min="11524" max="11524" width="10" style="884" customWidth="1"/>
    <col min="11525" max="11525" width="6.28515625" style="884" customWidth="1"/>
    <col min="11526" max="11526" width="12.28515625" style="884" customWidth="1"/>
    <col min="11527" max="11527" width="8.5703125" style="884" customWidth="1"/>
    <col min="11528" max="11528" width="13.7109375" style="884" customWidth="1"/>
    <col min="11529" max="11529" width="11.5703125" style="884" customWidth="1"/>
    <col min="11530" max="11530" width="34.28515625" style="884" customWidth="1"/>
    <col min="11531" max="11531" width="24.28515625" style="884" customWidth="1"/>
    <col min="11532" max="11532" width="21.140625" style="884" customWidth="1"/>
    <col min="11533" max="11533" width="22.140625" style="884" customWidth="1"/>
    <col min="11534" max="11534" width="8" style="884" customWidth="1"/>
    <col min="11535" max="11535" width="17" style="884" customWidth="1"/>
    <col min="11536" max="11536" width="12.7109375" style="884" customWidth="1"/>
    <col min="11537" max="11537" width="24.5703125" style="884" customWidth="1"/>
    <col min="11538" max="11538" width="29" style="884" customWidth="1"/>
    <col min="11539" max="11539" width="17.7109375" style="884" customWidth="1"/>
    <col min="11540" max="11540" width="36.42578125" style="884" customWidth="1"/>
    <col min="11541" max="11541" width="21.85546875" style="884" customWidth="1"/>
    <col min="11542" max="11542" width="11.7109375" style="884" customWidth="1"/>
    <col min="11543" max="11543" width="26.28515625" style="884" customWidth="1"/>
    <col min="11544" max="11544" width="9" style="884" customWidth="1"/>
    <col min="11545" max="11545" width="6.28515625" style="884" customWidth="1"/>
    <col min="11546" max="11547" width="7.28515625" style="884" customWidth="1"/>
    <col min="11548" max="11548" width="8.42578125" style="884" customWidth="1"/>
    <col min="11549" max="11549" width="9.5703125" style="884" customWidth="1"/>
    <col min="11550" max="11550" width="6.28515625" style="884" customWidth="1"/>
    <col min="11551" max="11551" width="5.85546875" style="884" customWidth="1"/>
    <col min="11552" max="11553" width="4.42578125" style="884" customWidth="1"/>
    <col min="11554" max="11554" width="5" style="884" customWidth="1"/>
    <col min="11555" max="11555" width="5.85546875" style="884" customWidth="1"/>
    <col min="11556" max="11556" width="6.140625" style="884" customWidth="1"/>
    <col min="11557" max="11557" width="6.28515625" style="884" customWidth="1"/>
    <col min="11558" max="11558" width="11.140625" style="884" customWidth="1"/>
    <col min="11559" max="11559" width="14.140625" style="884" customWidth="1"/>
    <col min="11560" max="11560" width="19.85546875" style="884" customWidth="1"/>
    <col min="11561" max="11561" width="17" style="884" customWidth="1"/>
    <col min="11562" max="11562" width="20.85546875" style="884" customWidth="1"/>
    <col min="11563" max="11775" width="11.42578125" style="884"/>
    <col min="11776" max="11776" width="13.140625" style="884" customWidth="1"/>
    <col min="11777" max="11777" width="4" style="884" customWidth="1"/>
    <col min="11778" max="11778" width="12.85546875" style="884" customWidth="1"/>
    <col min="11779" max="11779" width="14.7109375" style="884" customWidth="1"/>
    <col min="11780" max="11780" width="10" style="884" customWidth="1"/>
    <col min="11781" max="11781" width="6.28515625" style="884" customWidth="1"/>
    <col min="11782" max="11782" width="12.28515625" style="884" customWidth="1"/>
    <col min="11783" max="11783" width="8.5703125" style="884" customWidth="1"/>
    <col min="11784" max="11784" width="13.7109375" style="884" customWidth="1"/>
    <col min="11785" max="11785" width="11.5703125" style="884" customWidth="1"/>
    <col min="11786" max="11786" width="34.28515625" style="884" customWidth="1"/>
    <col min="11787" max="11787" width="24.28515625" style="884" customWidth="1"/>
    <col min="11788" max="11788" width="21.140625" style="884" customWidth="1"/>
    <col min="11789" max="11789" width="22.140625" style="884" customWidth="1"/>
    <col min="11790" max="11790" width="8" style="884" customWidth="1"/>
    <col min="11791" max="11791" width="17" style="884" customWidth="1"/>
    <col min="11792" max="11792" width="12.7109375" style="884" customWidth="1"/>
    <col min="11793" max="11793" width="24.5703125" style="884" customWidth="1"/>
    <col min="11794" max="11794" width="29" style="884" customWidth="1"/>
    <col min="11795" max="11795" width="17.7109375" style="884" customWidth="1"/>
    <col min="11796" max="11796" width="36.42578125" style="884" customWidth="1"/>
    <col min="11797" max="11797" width="21.85546875" style="884" customWidth="1"/>
    <col min="11798" max="11798" width="11.7109375" style="884" customWidth="1"/>
    <col min="11799" max="11799" width="26.28515625" style="884" customWidth="1"/>
    <col min="11800" max="11800" width="9" style="884" customWidth="1"/>
    <col min="11801" max="11801" width="6.28515625" style="884" customWidth="1"/>
    <col min="11802" max="11803" width="7.28515625" style="884" customWidth="1"/>
    <col min="11804" max="11804" width="8.42578125" style="884" customWidth="1"/>
    <col min="11805" max="11805" width="9.5703125" style="884" customWidth="1"/>
    <col min="11806" max="11806" width="6.28515625" style="884" customWidth="1"/>
    <col min="11807" max="11807" width="5.85546875" style="884" customWidth="1"/>
    <col min="11808" max="11809" width="4.42578125" style="884" customWidth="1"/>
    <col min="11810" max="11810" width="5" style="884" customWidth="1"/>
    <col min="11811" max="11811" width="5.85546875" style="884" customWidth="1"/>
    <col min="11812" max="11812" width="6.140625" style="884" customWidth="1"/>
    <col min="11813" max="11813" width="6.28515625" style="884" customWidth="1"/>
    <col min="11814" max="11814" width="11.140625" style="884" customWidth="1"/>
    <col min="11815" max="11815" width="14.140625" style="884" customWidth="1"/>
    <col min="11816" max="11816" width="19.85546875" style="884" customWidth="1"/>
    <col min="11817" max="11817" width="17" style="884" customWidth="1"/>
    <col min="11818" max="11818" width="20.85546875" style="884" customWidth="1"/>
    <col min="11819" max="12031" width="11.42578125" style="884"/>
    <col min="12032" max="12032" width="13.140625" style="884" customWidth="1"/>
    <col min="12033" max="12033" width="4" style="884" customWidth="1"/>
    <col min="12034" max="12034" width="12.85546875" style="884" customWidth="1"/>
    <col min="12035" max="12035" width="14.7109375" style="884" customWidth="1"/>
    <col min="12036" max="12036" width="10" style="884" customWidth="1"/>
    <col min="12037" max="12037" width="6.28515625" style="884" customWidth="1"/>
    <col min="12038" max="12038" width="12.28515625" style="884" customWidth="1"/>
    <col min="12039" max="12039" width="8.5703125" style="884" customWidth="1"/>
    <col min="12040" max="12040" width="13.7109375" style="884" customWidth="1"/>
    <col min="12041" max="12041" width="11.5703125" style="884" customWidth="1"/>
    <col min="12042" max="12042" width="34.28515625" style="884" customWidth="1"/>
    <col min="12043" max="12043" width="24.28515625" style="884" customWidth="1"/>
    <col min="12044" max="12044" width="21.140625" style="884" customWidth="1"/>
    <col min="12045" max="12045" width="22.140625" style="884" customWidth="1"/>
    <col min="12046" max="12046" width="8" style="884" customWidth="1"/>
    <col min="12047" max="12047" width="17" style="884" customWidth="1"/>
    <col min="12048" max="12048" width="12.7109375" style="884" customWidth="1"/>
    <col min="12049" max="12049" width="24.5703125" style="884" customWidth="1"/>
    <col min="12050" max="12050" width="29" style="884" customWidth="1"/>
    <col min="12051" max="12051" width="17.7109375" style="884" customWidth="1"/>
    <col min="12052" max="12052" width="36.42578125" style="884" customWidth="1"/>
    <col min="12053" max="12053" width="21.85546875" style="884" customWidth="1"/>
    <col min="12054" max="12054" width="11.7109375" style="884" customWidth="1"/>
    <col min="12055" max="12055" width="26.28515625" style="884" customWidth="1"/>
    <col min="12056" max="12056" width="9" style="884" customWidth="1"/>
    <col min="12057" max="12057" width="6.28515625" style="884" customWidth="1"/>
    <col min="12058" max="12059" width="7.28515625" style="884" customWidth="1"/>
    <col min="12060" max="12060" width="8.42578125" style="884" customWidth="1"/>
    <col min="12061" max="12061" width="9.5703125" style="884" customWidth="1"/>
    <col min="12062" max="12062" width="6.28515625" style="884" customWidth="1"/>
    <col min="12063" max="12063" width="5.85546875" style="884" customWidth="1"/>
    <col min="12064" max="12065" width="4.42578125" style="884" customWidth="1"/>
    <col min="12066" max="12066" width="5" style="884" customWidth="1"/>
    <col min="12067" max="12067" width="5.85546875" style="884" customWidth="1"/>
    <col min="12068" max="12068" width="6.140625" style="884" customWidth="1"/>
    <col min="12069" max="12069" width="6.28515625" style="884" customWidth="1"/>
    <col min="12070" max="12070" width="11.140625" style="884" customWidth="1"/>
    <col min="12071" max="12071" width="14.140625" style="884" customWidth="1"/>
    <col min="12072" max="12072" width="19.85546875" style="884" customWidth="1"/>
    <col min="12073" max="12073" width="17" style="884" customWidth="1"/>
    <col min="12074" max="12074" width="20.85546875" style="884" customWidth="1"/>
    <col min="12075" max="12287" width="11.42578125" style="884"/>
    <col min="12288" max="12288" width="13.140625" style="884" customWidth="1"/>
    <col min="12289" max="12289" width="4" style="884" customWidth="1"/>
    <col min="12290" max="12290" width="12.85546875" style="884" customWidth="1"/>
    <col min="12291" max="12291" width="14.7109375" style="884" customWidth="1"/>
    <col min="12292" max="12292" width="10" style="884" customWidth="1"/>
    <col min="12293" max="12293" width="6.28515625" style="884" customWidth="1"/>
    <col min="12294" max="12294" width="12.28515625" style="884" customWidth="1"/>
    <col min="12295" max="12295" width="8.5703125" style="884" customWidth="1"/>
    <col min="12296" max="12296" width="13.7109375" style="884" customWidth="1"/>
    <col min="12297" max="12297" width="11.5703125" style="884" customWidth="1"/>
    <col min="12298" max="12298" width="34.28515625" style="884" customWidth="1"/>
    <col min="12299" max="12299" width="24.28515625" style="884" customWidth="1"/>
    <col min="12300" max="12300" width="21.140625" style="884" customWidth="1"/>
    <col min="12301" max="12301" width="22.140625" style="884" customWidth="1"/>
    <col min="12302" max="12302" width="8" style="884" customWidth="1"/>
    <col min="12303" max="12303" width="17" style="884" customWidth="1"/>
    <col min="12304" max="12304" width="12.7109375" style="884" customWidth="1"/>
    <col min="12305" max="12305" width="24.5703125" style="884" customWidth="1"/>
    <col min="12306" max="12306" width="29" style="884" customWidth="1"/>
    <col min="12307" max="12307" width="17.7109375" style="884" customWidth="1"/>
    <col min="12308" max="12308" width="36.42578125" style="884" customWidth="1"/>
    <col min="12309" max="12309" width="21.85546875" style="884" customWidth="1"/>
    <col min="12310" max="12310" width="11.7109375" style="884" customWidth="1"/>
    <col min="12311" max="12311" width="26.28515625" style="884" customWidth="1"/>
    <col min="12312" max="12312" width="9" style="884" customWidth="1"/>
    <col min="12313" max="12313" width="6.28515625" style="884" customWidth="1"/>
    <col min="12314" max="12315" width="7.28515625" style="884" customWidth="1"/>
    <col min="12316" max="12316" width="8.42578125" style="884" customWidth="1"/>
    <col min="12317" max="12317" width="9.5703125" style="884" customWidth="1"/>
    <col min="12318" max="12318" width="6.28515625" style="884" customWidth="1"/>
    <col min="12319" max="12319" width="5.85546875" style="884" customWidth="1"/>
    <col min="12320" max="12321" width="4.42578125" style="884" customWidth="1"/>
    <col min="12322" max="12322" width="5" style="884" customWidth="1"/>
    <col min="12323" max="12323" width="5.85546875" style="884" customWidth="1"/>
    <col min="12324" max="12324" width="6.140625" style="884" customWidth="1"/>
    <col min="12325" max="12325" width="6.28515625" style="884" customWidth="1"/>
    <col min="12326" max="12326" width="11.140625" style="884" customWidth="1"/>
    <col min="12327" max="12327" width="14.140625" style="884" customWidth="1"/>
    <col min="12328" max="12328" width="19.85546875" style="884" customWidth="1"/>
    <col min="12329" max="12329" width="17" style="884" customWidth="1"/>
    <col min="12330" max="12330" width="20.85546875" style="884" customWidth="1"/>
    <col min="12331" max="12543" width="11.42578125" style="884"/>
    <col min="12544" max="12544" width="13.140625" style="884" customWidth="1"/>
    <col min="12545" max="12545" width="4" style="884" customWidth="1"/>
    <col min="12546" max="12546" width="12.85546875" style="884" customWidth="1"/>
    <col min="12547" max="12547" width="14.7109375" style="884" customWidth="1"/>
    <col min="12548" max="12548" width="10" style="884" customWidth="1"/>
    <col min="12549" max="12549" width="6.28515625" style="884" customWidth="1"/>
    <col min="12550" max="12550" width="12.28515625" style="884" customWidth="1"/>
    <col min="12551" max="12551" width="8.5703125" style="884" customWidth="1"/>
    <col min="12552" max="12552" width="13.7109375" style="884" customWidth="1"/>
    <col min="12553" max="12553" width="11.5703125" style="884" customWidth="1"/>
    <col min="12554" max="12554" width="34.28515625" style="884" customWidth="1"/>
    <col min="12555" max="12555" width="24.28515625" style="884" customWidth="1"/>
    <col min="12556" max="12556" width="21.140625" style="884" customWidth="1"/>
    <col min="12557" max="12557" width="22.140625" style="884" customWidth="1"/>
    <col min="12558" max="12558" width="8" style="884" customWidth="1"/>
    <col min="12559" max="12559" width="17" style="884" customWidth="1"/>
    <col min="12560" max="12560" width="12.7109375" style="884" customWidth="1"/>
    <col min="12561" max="12561" width="24.5703125" style="884" customWidth="1"/>
    <col min="12562" max="12562" width="29" style="884" customWidth="1"/>
    <col min="12563" max="12563" width="17.7109375" style="884" customWidth="1"/>
    <col min="12564" max="12564" width="36.42578125" style="884" customWidth="1"/>
    <col min="12565" max="12565" width="21.85546875" style="884" customWidth="1"/>
    <col min="12566" max="12566" width="11.7109375" style="884" customWidth="1"/>
    <col min="12567" max="12567" width="26.28515625" style="884" customWidth="1"/>
    <col min="12568" max="12568" width="9" style="884" customWidth="1"/>
    <col min="12569" max="12569" width="6.28515625" style="884" customWidth="1"/>
    <col min="12570" max="12571" width="7.28515625" style="884" customWidth="1"/>
    <col min="12572" max="12572" width="8.42578125" style="884" customWidth="1"/>
    <col min="12573" max="12573" width="9.5703125" style="884" customWidth="1"/>
    <col min="12574" max="12574" width="6.28515625" style="884" customWidth="1"/>
    <col min="12575" max="12575" width="5.85546875" style="884" customWidth="1"/>
    <col min="12576" max="12577" width="4.42578125" style="884" customWidth="1"/>
    <col min="12578" max="12578" width="5" style="884" customWidth="1"/>
    <col min="12579" max="12579" width="5.85546875" style="884" customWidth="1"/>
    <col min="12580" max="12580" width="6.140625" style="884" customWidth="1"/>
    <col min="12581" max="12581" width="6.28515625" style="884" customWidth="1"/>
    <col min="12582" max="12582" width="11.140625" style="884" customWidth="1"/>
    <col min="12583" max="12583" width="14.140625" style="884" customWidth="1"/>
    <col min="12584" max="12584" width="19.85546875" style="884" customWidth="1"/>
    <col min="12585" max="12585" width="17" style="884" customWidth="1"/>
    <col min="12586" max="12586" width="20.85546875" style="884" customWidth="1"/>
    <col min="12587" max="12799" width="11.42578125" style="884"/>
    <col min="12800" max="12800" width="13.140625" style="884" customWidth="1"/>
    <col min="12801" max="12801" width="4" style="884" customWidth="1"/>
    <col min="12802" max="12802" width="12.85546875" style="884" customWidth="1"/>
    <col min="12803" max="12803" width="14.7109375" style="884" customWidth="1"/>
    <col min="12804" max="12804" width="10" style="884" customWidth="1"/>
    <col min="12805" max="12805" width="6.28515625" style="884" customWidth="1"/>
    <col min="12806" max="12806" width="12.28515625" style="884" customWidth="1"/>
    <col min="12807" max="12807" width="8.5703125" style="884" customWidth="1"/>
    <col min="12808" max="12808" width="13.7109375" style="884" customWidth="1"/>
    <col min="12809" max="12809" width="11.5703125" style="884" customWidth="1"/>
    <col min="12810" max="12810" width="34.28515625" style="884" customWidth="1"/>
    <col min="12811" max="12811" width="24.28515625" style="884" customWidth="1"/>
    <col min="12812" max="12812" width="21.140625" style="884" customWidth="1"/>
    <col min="12813" max="12813" width="22.140625" style="884" customWidth="1"/>
    <col min="12814" max="12814" width="8" style="884" customWidth="1"/>
    <col min="12815" max="12815" width="17" style="884" customWidth="1"/>
    <col min="12816" max="12816" width="12.7109375" style="884" customWidth="1"/>
    <col min="12817" max="12817" width="24.5703125" style="884" customWidth="1"/>
    <col min="12818" max="12818" width="29" style="884" customWidth="1"/>
    <col min="12819" max="12819" width="17.7109375" style="884" customWidth="1"/>
    <col min="12820" max="12820" width="36.42578125" style="884" customWidth="1"/>
    <col min="12821" max="12821" width="21.85546875" style="884" customWidth="1"/>
    <col min="12822" max="12822" width="11.7109375" style="884" customWidth="1"/>
    <col min="12823" max="12823" width="26.28515625" style="884" customWidth="1"/>
    <col min="12824" max="12824" width="9" style="884" customWidth="1"/>
    <col min="12825" max="12825" width="6.28515625" style="884" customWidth="1"/>
    <col min="12826" max="12827" width="7.28515625" style="884" customWidth="1"/>
    <col min="12828" max="12828" width="8.42578125" style="884" customWidth="1"/>
    <col min="12829" max="12829" width="9.5703125" style="884" customWidth="1"/>
    <col min="12830" max="12830" width="6.28515625" style="884" customWidth="1"/>
    <col min="12831" max="12831" width="5.85546875" style="884" customWidth="1"/>
    <col min="12832" max="12833" width="4.42578125" style="884" customWidth="1"/>
    <col min="12834" max="12834" width="5" style="884" customWidth="1"/>
    <col min="12835" max="12835" width="5.85546875" style="884" customWidth="1"/>
    <col min="12836" max="12836" width="6.140625" style="884" customWidth="1"/>
    <col min="12837" max="12837" width="6.28515625" style="884" customWidth="1"/>
    <col min="12838" max="12838" width="11.140625" style="884" customWidth="1"/>
    <col min="12839" max="12839" width="14.140625" style="884" customWidth="1"/>
    <col min="12840" max="12840" width="19.85546875" style="884" customWidth="1"/>
    <col min="12841" max="12841" width="17" style="884" customWidth="1"/>
    <col min="12842" max="12842" width="20.85546875" style="884" customWidth="1"/>
    <col min="12843" max="13055" width="11.42578125" style="884"/>
    <col min="13056" max="13056" width="13.140625" style="884" customWidth="1"/>
    <col min="13057" max="13057" width="4" style="884" customWidth="1"/>
    <col min="13058" max="13058" width="12.85546875" style="884" customWidth="1"/>
    <col min="13059" max="13059" width="14.7109375" style="884" customWidth="1"/>
    <col min="13060" max="13060" width="10" style="884" customWidth="1"/>
    <col min="13061" max="13061" width="6.28515625" style="884" customWidth="1"/>
    <col min="13062" max="13062" width="12.28515625" style="884" customWidth="1"/>
    <col min="13063" max="13063" width="8.5703125" style="884" customWidth="1"/>
    <col min="13064" max="13064" width="13.7109375" style="884" customWidth="1"/>
    <col min="13065" max="13065" width="11.5703125" style="884" customWidth="1"/>
    <col min="13066" max="13066" width="34.28515625" style="884" customWidth="1"/>
    <col min="13067" max="13067" width="24.28515625" style="884" customWidth="1"/>
    <col min="13068" max="13068" width="21.140625" style="884" customWidth="1"/>
    <col min="13069" max="13069" width="22.140625" style="884" customWidth="1"/>
    <col min="13070" max="13070" width="8" style="884" customWidth="1"/>
    <col min="13071" max="13071" width="17" style="884" customWidth="1"/>
    <col min="13072" max="13072" width="12.7109375" style="884" customWidth="1"/>
    <col min="13073" max="13073" width="24.5703125" style="884" customWidth="1"/>
    <col min="13074" max="13074" width="29" style="884" customWidth="1"/>
    <col min="13075" max="13075" width="17.7109375" style="884" customWidth="1"/>
    <col min="13076" max="13076" width="36.42578125" style="884" customWidth="1"/>
    <col min="13077" max="13077" width="21.85546875" style="884" customWidth="1"/>
    <col min="13078" max="13078" width="11.7109375" style="884" customWidth="1"/>
    <col min="13079" max="13079" width="26.28515625" style="884" customWidth="1"/>
    <col min="13080" max="13080" width="9" style="884" customWidth="1"/>
    <col min="13081" max="13081" width="6.28515625" style="884" customWidth="1"/>
    <col min="13082" max="13083" width="7.28515625" style="884" customWidth="1"/>
    <col min="13084" max="13084" width="8.42578125" style="884" customWidth="1"/>
    <col min="13085" max="13085" width="9.5703125" style="884" customWidth="1"/>
    <col min="13086" max="13086" width="6.28515625" style="884" customWidth="1"/>
    <col min="13087" max="13087" width="5.85546875" style="884" customWidth="1"/>
    <col min="13088" max="13089" width="4.42578125" style="884" customWidth="1"/>
    <col min="13090" max="13090" width="5" style="884" customWidth="1"/>
    <col min="13091" max="13091" width="5.85546875" style="884" customWidth="1"/>
    <col min="13092" max="13092" width="6.140625" style="884" customWidth="1"/>
    <col min="13093" max="13093" width="6.28515625" style="884" customWidth="1"/>
    <col min="13094" max="13094" width="11.140625" style="884" customWidth="1"/>
    <col min="13095" max="13095" width="14.140625" style="884" customWidth="1"/>
    <col min="13096" max="13096" width="19.85546875" style="884" customWidth="1"/>
    <col min="13097" max="13097" width="17" style="884" customWidth="1"/>
    <col min="13098" max="13098" width="20.85546875" style="884" customWidth="1"/>
    <col min="13099" max="13311" width="11.42578125" style="884"/>
    <col min="13312" max="13312" width="13.140625" style="884" customWidth="1"/>
    <col min="13313" max="13313" width="4" style="884" customWidth="1"/>
    <col min="13314" max="13314" width="12.85546875" style="884" customWidth="1"/>
    <col min="13315" max="13315" width="14.7109375" style="884" customWidth="1"/>
    <col min="13316" max="13316" width="10" style="884" customWidth="1"/>
    <col min="13317" max="13317" width="6.28515625" style="884" customWidth="1"/>
    <col min="13318" max="13318" width="12.28515625" style="884" customWidth="1"/>
    <col min="13319" max="13319" width="8.5703125" style="884" customWidth="1"/>
    <col min="13320" max="13320" width="13.7109375" style="884" customWidth="1"/>
    <col min="13321" max="13321" width="11.5703125" style="884" customWidth="1"/>
    <col min="13322" max="13322" width="34.28515625" style="884" customWidth="1"/>
    <col min="13323" max="13323" width="24.28515625" style="884" customWidth="1"/>
    <col min="13324" max="13324" width="21.140625" style="884" customWidth="1"/>
    <col min="13325" max="13325" width="22.140625" style="884" customWidth="1"/>
    <col min="13326" max="13326" width="8" style="884" customWidth="1"/>
    <col min="13327" max="13327" width="17" style="884" customWidth="1"/>
    <col min="13328" max="13328" width="12.7109375" style="884" customWidth="1"/>
    <col min="13329" max="13329" width="24.5703125" style="884" customWidth="1"/>
    <col min="13330" max="13330" width="29" style="884" customWidth="1"/>
    <col min="13331" max="13331" width="17.7109375" style="884" customWidth="1"/>
    <col min="13332" max="13332" width="36.42578125" style="884" customWidth="1"/>
    <col min="13333" max="13333" width="21.85546875" style="884" customWidth="1"/>
    <col min="13334" max="13334" width="11.7109375" style="884" customWidth="1"/>
    <col min="13335" max="13335" width="26.28515625" style="884" customWidth="1"/>
    <col min="13336" max="13336" width="9" style="884" customWidth="1"/>
    <col min="13337" max="13337" width="6.28515625" style="884" customWidth="1"/>
    <col min="13338" max="13339" width="7.28515625" style="884" customWidth="1"/>
    <col min="13340" max="13340" width="8.42578125" style="884" customWidth="1"/>
    <col min="13341" max="13341" width="9.5703125" style="884" customWidth="1"/>
    <col min="13342" max="13342" width="6.28515625" style="884" customWidth="1"/>
    <col min="13343" max="13343" width="5.85546875" style="884" customWidth="1"/>
    <col min="13344" max="13345" width="4.42578125" style="884" customWidth="1"/>
    <col min="13346" max="13346" width="5" style="884" customWidth="1"/>
    <col min="13347" max="13347" width="5.85546875" style="884" customWidth="1"/>
    <col min="13348" max="13348" width="6.140625" style="884" customWidth="1"/>
    <col min="13349" max="13349" width="6.28515625" style="884" customWidth="1"/>
    <col min="13350" max="13350" width="11.140625" style="884" customWidth="1"/>
    <col min="13351" max="13351" width="14.140625" style="884" customWidth="1"/>
    <col min="13352" max="13352" width="19.85546875" style="884" customWidth="1"/>
    <col min="13353" max="13353" width="17" style="884" customWidth="1"/>
    <col min="13354" max="13354" width="20.85546875" style="884" customWidth="1"/>
    <col min="13355" max="13567" width="11.42578125" style="884"/>
    <col min="13568" max="13568" width="13.140625" style="884" customWidth="1"/>
    <col min="13569" max="13569" width="4" style="884" customWidth="1"/>
    <col min="13570" max="13570" width="12.85546875" style="884" customWidth="1"/>
    <col min="13571" max="13571" width="14.7109375" style="884" customWidth="1"/>
    <col min="13572" max="13572" width="10" style="884" customWidth="1"/>
    <col min="13573" max="13573" width="6.28515625" style="884" customWidth="1"/>
    <col min="13574" max="13574" width="12.28515625" style="884" customWidth="1"/>
    <col min="13575" max="13575" width="8.5703125" style="884" customWidth="1"/>
    <col min="13576" max="13576" width="13.7109375" style="884" customWidth="1"/>
    <col min="13577" max="13577" width="11.5703125" style="884" customWidth="1"/>
    <col min="13578" max="13578" width="34.28515625" style="884" customWidth="1"/>
    <col min="13579" max="13579" width="24.28515625" style="884" customWidth="1"/>
    <col min="13580" max="13580" width="21.140625" style="884" customWidth="1"/>
    <col min="13581" max="13581" width="22.140625" style="884" customWidth="1"/>
    <col min="13582" max="13582" width="8" style="884" customWidth="1"/>
    <col min="13583" max="13583" width="17" style="884" customWidth="1"/>
    <col min="13584" max="13584" width="12.7109375" style="884" customWidth="1"/>
    <col min="13585" max="13585" width="24.5703125" style="884" customWidth="1"/>
    <col min="13586" max="13586" width="29" style="884" customWidth="1"/>
    <col min="13587" max="13587" width="17.7109375" style="884" customWidth="1"/>
    <col min="13588" max="13588" width="36.42578125" style="884" customWidth="1"/>
    <col min="13589" max="13589" width="21.85546875" style="884" customWidth="1"/>
    <col min="13590" max="13590" width="11.7109375" style="884" customWidth="1"/>
    <col min="13591" max="13591" width="26.28515625" style="884" customWidth="1"/>
    <col min="13592" max="13592" width="9" style="884" customWidth="1"/>
    <col min="13593" max="13593" width="6.28515625" style="884" customWidth="1"/>
    <col min="13594" max="13595" width="7.28515625" style="884" customWidth="1"/>
    <col min="13596" max="13596" width="8.42578125" style="884" customWidth="1"/>
    <col min="13597" max="13597" width="9.5703125" style="884" customWidth="1"/>
    <col min="13598" max="13598" width="6.28515625" style="884" customWidth="1"/>
    <col min="13599" max="13599" width="5.85546875" style="884" customWidth="1"/>
    <col min="13600" max="13601" width="4.42578125" style="884" customWidth="1"/>
    <col min="13602" max="13602" width="5" style="884" customWidth="1"/>
    <col min="13603" max="13603" width="5.85546875" style="884" customWidth="1"/>
    <col min="13604" max="13604" width="6.140625" style="884" customWidth="1"/>
    <col min="13605" max="13605" width="6.28515625" style="884" customWidth="1"/>
    <col min="13606" max="13606" width="11.140625" style="884" customWidth="1"/>
    <col min="13607" max="13607" width="14.140625" style="884" customWidth="1"/>
    <col min="13608" max="13608" width="19.85546875" style="884" customWidth="1"/>
    <col min="13609" max="13609" width="17" style="884" customWidth="1"/>
    <col min="13610" max="13610" width="20.85546875" style="884" customWidth="1"/>
    <col min="13611" max="13823" width="11.42578125" style="884"/>
    <col min="13824" max="13824" width="13.140625" style="884" customWidth="1"/>
    <col min="13825" max="13825" width="4" style="884" customWidth="1"/>
    <col min="13826" max="13826" width="12.85546875" style="884" customWidth="1"/>
    <col min="13827" max="13827" width="14.7109375" style="884" customWidth="1"/>
    <col min="13828" max="13828" width="10" style="884" customWidth="1"/>
    <col min="13829" max="13829" width="6.28515625" style="884" customWidth="1"/>
    <col min="13830" max="13830" width="12.28515625" style="884" customWidth="1"/>
    <col min="13831" max="13831" width="8.5703125" style="884" customWidth="1"/>
    <col min="13832" max="13832" width="13.7109375" style="884" customWidth="1"/>
    <col min="13833" max="13833" width="11.5703125" style="884" customWidth="1"/>
    <col min="13834" max="13834" width="34.28515625" style="884" customWidth="1"/>
    <col min="13835" max="13835" width="24.28515625" style="884" customWidth="1"/>
    <col min="13836" max="13836" width="21.140625" style="884" customWidth="1"/>
    <col min="13837" max="13837" width="22.140625" style="884" customWidth="1"/>
    <col min="13838" max="13838" width="8" style="884" customWidth="1"/>
    <col min="13839" max="13839" width="17" style="884" customWidth="1"/>
    <col min="13840" max="13840" width="12.7109375" style="884" customWidth="1"/>
    <col min="13841" max="13841" width="24.5703125" style="884" customWidth="1"/>
    <col min="13842" max="13842" width="29" style="884" customWidth="1"/>
    <col min="13843" max="13843" width="17.7109375" style="884" customWidth="1"/>
    <col min="13844" max="13844" width="36.42578125" style="884" customWidth="1"/>
    <col min="13845" max="13845" width="21.85546875" style="884" customWidth="1"/>
    <col min="13846" max="13846" width="11.7109375" style="884" customWidth="1"/>
    <col min="13847" max="13847" width="26.28515625" style="884" customWidth="1"/>
    <col min="13848" max="13848" width="9" style="884" customWidth="1"/>
    <col min="13849" max="13849" width="6.28515625" style="884" customWidth="1"/>
    <col min="13850" max="13851" width="7.28515625" style="884" customWidth="1"/>
    <col min="13852" max="13852" width="8.42578125" style="884" customWidth="1"/>
    <col min="13853" max="13853" width="9.5703125" style="884" customWidth="1"/>
    <col min="13854" max="13854" width="6.28515625" style="884" customWidth="1"/>
    <col min="13855" max="13855" width="5.85546875" style="884" customWidth="1"/>
    <col min="13856" max="13857" width="4.42578125" style="884" customWidth="1"/>
    <col min="13858" max="13858" width="5" style="884" customWidth="1"/>
    <col min="13859" max="13859" width="5.85546875" style="884" customWidth="1"/>
    <col min="13860" max="13860" width="6.140625" style="884" customWidth="1"/>
    <col min="13861" max="13861" width="6.28515625" style="884" customWidth="1"/>
    <col min="13862" max="13862" width="11.140625" style="884" customWidth="1"/>
    <col min="13863" max="13863" width="14.140625" style="884" customWidth="1"/>
    <col min="13864" max="13864" width="19.85546875" style="884" customWidth="1"/>
    <col min="13865" max="13865" width="17" style="884" customWidth="1"/>
    <col min="13866" max="13866" width="20.85546875" style="884" customWidth="1"/>
    <col min="13867" max="14079" width="11.42578125" style="884"/>
    <col min="14080" max="14080" width="13.140625" style="884" customWidth="1"/>
    <col min="14081" max="14081" width="4" style="884" customWidth="1"/>
    <col min="14082" max="14082" width="12.85546875" style="884" customWidth="1"/>
    <col min="14083" max="14083" width="14.7109375" style="884" customWidth="1"/>
    <col min="14084" max="14084" width="10" style="884" customWidth="1"/>
    <col min="14085" max="14085" width="6.28515625" style="884" customWidth="1"/>
    <col min="14086" max="14086" width="12.28515625" style="884" customWidth="1"/>
    <col min="14087" max="14087" width="8.5703125" style="884" customWidth="1"/>
    <col min="14088" max="14088" width="13.7109375" style="884" customWidth="1"/>
    <col min="14089" max="14089" width="11.5703125" style="884" customWidth="1"/>
    <col min="14090" max="14090" width="34.28515625" style="884" customWidth="1"/>
    <col min="14091" max="14091" width="24.28515625" style="884" customWidth="1"/>
    <col min="14092" max="14092" width="21.140625" style="884" customWidth="1"/>
    <col min="14093" max="14093" width="22.140625" style="884" customWidth="1"/>
    <col min="14094" max="14094" width="8" style="884" customWidth="1"/>
    <col min="14095" max="14095" width="17" style="884" customWidth="1"/>
    <col min="14096" max="14096" width="12.7109375" style="884" customWidth="1"/>
    <col min="14097" max="14097" width="24.5703125" style="884" customWidth="1"/>
    <col min="14098" max="14098" width="29" style="884" customWidth="1"/>
    <col min="14099" max="14099" width="17.7109375" style="884" customWidth="1"/>
    <col min="14100" max="14100" width="36.42578125" style="884" customWidth="1"/>
    <col min="14101" max="14101" width="21.85546875" style="884" customWidth="1"/>
    <col min="14102" max="14102" width="11.7109375" style="884" customWidth="1"/>
    <col min="14103" max="14103" width="26.28515625" style="884" customWidth="1"/>
    <col min="14104" max="14104" width="9" style="884" customWidth="1"/>
    <col min="14105" max="14105" width="6.28515625" style="884" customWidth="1"/>
    <col min="14106" max="14107" width="7.28515625" style="884" customWidth="1"/>
    <col min="14108" max="14108" width="8.42578125" style="884" customWidth="1"/>
    <col min="14109" max="14109" width="9.5703125" style="884" customWidth="1"/>
    <col min="14110" max="14110" width="6.28515625" style="884" customWidth="1"/>
    <col min="14111" max="14111" width="5.85546875" style="884" customWidth="1"/>
    <col min="14112" max="14113" width="4.42578125" style="884" customWidth="1"/>
    <col min="14114" max="14114" width="5" style="884" customWidth="1"/>
    <col min="14115" max="14115" width="5.85546875" style="884" customWidth="1"/>
    <col min="14116" max="14116" width="6.140625" style="884" customWidth="1"/>
    <col min="14117" max="14117" width="6.28515625" style="884" customWidth="1"/>
    <col min="14118" max="14118" width="11.140625" style="884" customWidth="1"/>
    <col min="14119" max="14119" width="14.140625" style="884" customWidth="1"/>
    <col min="14120" max="14120" width="19.85546875" style="884" customWidth="1"/>
    <col min="14121" max="14121" width="17" style="884" customWidth="1"/>
    <col min="14122" max="14122" width="20.85546875" style="884" customWidth="1"/>
    <col min="14123" max="14335" width="11.42578125" style="884"/>
    <col min="14336" max="14336" width="13.140625" style="884" customWidth="1"/>
    <col min="14337" max="14337" width="4" style="884" customWidth="1"/>
    <col min="14338" max="14338" width="12.85546875" style="884" customWidth="1"/>
    <col min="14339" max="14339" width="14.7109375" style="884" customWidth="1"/>
    <col min="14340" max="14340" width="10" style="884" customWidth="1"/>
    <col min="14341" max="14341" width="6.28515625" style="884" customWidth="1"/>
    <col min="14342" max="14342" width="12.28515625" style="884" customWidth="1"/>
    <col min="14343" max="14343" width="8.5703125" style="884" customWidth="1"/>
    <col min="14344" max="14344" width="13.7109375" style="884" customWidth="1"/>
    <col min="14345" max="14345" width="11.5703125" style="884" customWidth="1"/>
    <col min="14346" max="14346" width="34.28515625" style="884" customWidth="1"/>
    <col min="14347" max="14347" width="24.28515625" style="884" customWidth="1"/>
    <col min="14348" max="14348" width="21.140625" style="884" customWidth="1"/>
    <col min="14349" max="14349" width="22.140625" style="884" customWidth="1"/>
    <col min="14350" max="14350" width="8" style="884" customWidth="1"/>
    <col min="14351" max="14351" width="17" style="884" customWidth="1"/>
    <col min="14352" max="14352" width="12.7109375" style="884" customWidth="1"/>
    <col min="14353" max="14353" width="24.5703125" style="884" customWidth="1"/>
    <col min="14354" max="14354" width="29" style="884" customWidth="1"/>
    <col min="14355" max="14355" width="17.7109375" style="884" customWidth="1"/>
    <col min="14356" max="14356" width="36.42578125" style="884" customWidth="1"/>
    <col min="14357" max="14357" width="21.85546875" style="884" customWidth="1"/>
    <col min="14358" max="14358" width="11.7109375" style="884" customWidth="1"/>
    <col min="14359" max="14359" width="26.28515625" style="884" customWidth="1"/>
    <col min="14360" max="14360" width="9" style="884" customWidth="1"/>
    <col min="14361" max="14361" width="6.28515625" style="884" customWidth="1"/>
    <col min="14362" max="14363" width="7.28515625" style="884" customWidth="1"/>
    <col min="14364" max="14364" width="8.42578125" style="884" customWidth="1"/>
    <col min="14365" max="14365" width="9.5703125" style="884" customWidth="1"/>
    <col min="14366" max="14366" width="6.28515625" style="884" customWidth="1"/>
    <col min="14367" max="14367" width="5.85546875" style="884" customWidth="1"/>
    <col min="14368" max="14369" width="4.42578125" style="884" customWidth="1"/>
    <col min="14370" max="14370" width="5" style="884" customWidth="1"/>
    <col min="14371" max="14371" width="5.85546875" style="884" customWidth="1"/>
    <col min="14372" max="14372" width="6.140625" style="884" customWidth="1"/>
    <col min="14373" max="14373" width="6.28515625" style="884" customWidth="1"/>
    <col min="14374" max="14374" width="11.140625" style="884" customWidth="1"/>
    <col min="14375" max="14375" width="14.140625" style="884" customWidth="1"/>
    <col min="14376" max="14376" width="19.85546875" style="884" customWidth="1"/>
    <col min="14377" max="14377" width="17" style="884" customWidth="1"/>
    <col min="14378" max="14378" width="20.85546875" style="884" customWidth="1"/>
    <col min="14379" max="14591" width="11.42578125" style="884"/>
    <col min="14592" max="14592" width="13.140625" style="884" customWidth="1"/>
    <col min="14593" max="14593" width="4" style="884" customWidth="1"/>
    <col min="14594" max="14594" width="12.85546875" style="884" customWidth="1"/>
    <col min="14595" max="14595" width="14.7109375" style="884" customWidth="1"/>
    <col min="14596" max="14596" width="10" style="884" customWidth="1"/>
    <col min="14597" max="14597" width="6.28515625" style="884" customWidth="1"/>
    <col min="14598" max="14598" width="12.28515625" style="884" customWidth="1"/>
    <col min="14599" max="14599" width="8.5703125" style="884" customWidth="1"/>
    <col min="14600" max="14600" width="13.7109375" style="884" customWidth="1"/>
    <col min="14601" max="14601" width="11.5703125" style="884" customWidth="1"/>
    <col min="14602" max="14602" width="34.28515625" style="884" customWidth="1"/>
    <col min="14603" max="14603" width="24.28515625" style="884" customWidth="1"/>
    <col min="14604" max="14604" width="21.140625" style="884" customWidth="1"/>
    <col min="14605" max="14605" width="22.140625" style="884" customWidth="1"/>
    <col min="14606" max="14606" width="8" style="884" customWidth="1"/>
    <col min="14607" max="14607" width="17" style="884" customWidth="1"/>
    <col min="14608" max="14608" width="12.7109375" style="884" customWidth="1"/>
    <col min="14609" max="14609" width="24.5703125" style="884" customWidth="1"/>
    <col min="14610" max="14610" width="29" style="884" customWidth="1"/>
    <col min="14611" max="14611" width="17.7109375" style="884" customWidth="1"/>
    <col min="14612" max="14612" width="36.42578125" style="884" customWidth="1"/>
    <col min="14613" max="14613" width="21.85546875" style="884" customWidth="1"/>
    <col min="14614" max="14614" width="11.7109375" style="884" customWidth="1"/>
    <col min="14615" max="14615" width="26.28515625" style="884" customWidth="1"/>
    <col min="14616" max="14616" width="9" style="884" customWidth="1"/>
    <col min="14617" max="14617" width="6.28515625" style="884" customWidth="1"/>
    <col min="14618" max="14619" width="7.28515625" style="884" customWidth="1"/>
    <col min="14620" max="14620" width="8.42578125" style="884" customWidth="1"/>
    <col min="14621" max="14621" width="9.5703125" style="884" customWidth="1"/>
    <col min="14622" max="14622" width="6.28515625" style="884" customWidth="1"/>
    <col min="14623" max="14623" width="5.85546875" style="884" customWidth="1"/>
    <col min="14624" max="14625" width="4.42578125" style="884" customWidth="1"/>
    <col min="14626" max="14626" width="5" style="884" customWidth="1"/>
    <col min="14627" max="14627" width="5.85546875" style="884" customWidth="1"/>
    <col min="14628" max="14628" width="6.140625" style="884" customWidth="1"/>
    <col min="14629" max="14629" width="6.28515625" style="884" customWidth="1"/>
    <col min="14630" max="14630" width="11.140625" style="884" customWidth="1"/>
    <col min="14631" max="14631" width="14.140625" style="884" customWidth="1"/>
    <col min="14632" max="14632" width="19.85546875" style="884" customWidth="1"/>
    <col min="14633" max="14633" width="17" style="884" customWidth="1"/>
    <col min="14634" max="14634" width="20.85546875" style="884" customWidth="1"/>
    <col min="14635" max="14847" width="11.42578125" style="884"/>
    <col min="14848" max="14848" width="13.140625" style="884" customWidth="1"/>
    <col min="14849" max="14849" width="4" style="884" customWidth="1"/>
    <col min="14850" max="14850" width="12.85546875" style="884" customWidth="1"/>
    <col min="14851" max="14851" width="14.7109375" style="884" customWidth="1"/>
    <col min="14852" max="14852" width="10" style="884" customWidth="1"/>
    <col min="14853" max="14853" width="6.28515625" style="884" customWidth="1"/>
    <col min="14854" max="14854" width="12.28515625" style="884" customWidth="1"/>
    <col min="14855" max="14855" width="8.5703125" style="884" customWidth="1"/>
    <col min="14856" max="14856" width="13.7109375" style="884" customWidth="1"/>
    <col min="14857" max="14857" width="11.5703125" style="884" customWidth="1"/>
    <col min="14858" max="14858" width="34.28515625" style="884" customWidth="1"/>
    <col min="14859" max="14859" width="24.28515625" style="884" customWidth="1"/>
    <col min="14860" max="14860" width="21.140625" style="884" customWidth="1"/>
    <col min="14861" max="14861" width="22.140625" style="884" customWidth="1"/>
    <col min="14862" max="14862" width="8" style="884" customWidth="1"/>
    <col min="14863" max="14863" width="17" style="884" customWidth="1"/>
    <col min="14864" max="14864" width="12.7109375" style="884" customWidth="1"/>
    <col min="14865" max="14865" width="24.5703125" style="884" customWidth="1"/>
    <col min="14866" max="14866" width="29" style="884" customWidth="1"/>
    <col min="14867" max="14867" width="17.7109375" style="884" customWidth="1"/>
    <col min="14868" max="14868" width="36.42578125" style="884" customWidth="1"/>
    <col min="14869" max="14869" width="21.85546875" style="884" customWidth="1"/>
    <col min="14870" max="14870" width="11.7109375" style="884" customWidth="1"/>
    <col min="14871" max="14871" width="26.28515625" style="884" customWidth="1"/>
    <col min="14872" max="14872" width="9" style="884" customWidth="1"/>
    <col min="14873" max="14873" width="6.28515625" style="884" customWidth="1"/>
    <col min="14874" max="14875" width="7.28515625" style="884" customWidth="1"/>
    <col min="14876" max="14876" width="8.42578125" style="884" customWidth="1"/>
    <col min="14877" max="14877" width="9.5703125" style="884" customWidth="1"/>
    <col min="14878" max="14878" width="6.28515625" style="884" customWidth="1"/>
    <col min="14879" max="14879" width="5.85546875" style="884" customWidth="1"/>
    <col min="14880" max="14881" width="4.42578125" style="884" customWidth="1"/>
    <col min="14882" max="14882" width="5" style="884" customWidth="1"/>
    <col min="14883" max="14883" width="5.85546875" style="884" customWidth="1"/>
    <col min="14884" max="14884" width="6.140625" style="884" customWidth="1"/>
    <col min="14885" max="14885" width="6.28515625" style="884" customWidth="1"/>
    <col min="14886" max="14886" width="11.140625" style="884" customWidth="1"/>
    <col min="14887" max="14887" width="14.140625" style="884" customWidth="1"/>
    <col min="14888" max="14888" width="19.85546875" style="884" customWidth="1"/>
    <col min="14889" max="14889" width="17" style="884" customWidth="1"/>
    <col min="14890" max="14890" width="20.85546875" style="884" customWidth="1"/>
    <col min="14891" max="15103" width="11.42578125" style="884"/>
    <col min="15104" max="15104" width="13.140625" style="884" customWidth="1"/>
    <col min="15105" max="15105" width="4" style="884" customWidth="1"/>
    <col min="15106" max="15106" width="12.85546875" style="884" customWidth="1"/>
    <col min="15107" max="15107" width="14.7109375" style="884" customWidth="1"/>
    <col min="15108" max="15108" width="10" style="884" customWidth="1"/>
    <col min="15109" max="15109" width="6.28515625" style="884" customWidth="1"/>
    <col min="15110" max="15110" width="12.28515625" style="884" customWidth="1"/>
    <col min="15111" max="15111" width="8.5703125" style="884" customWidth="1"/>
    <col min="15112" max="15112" width="13.7109375" style="884" customWidth="1"/>
    <col min="15113" max="15113" width="11.5703125" style="884" customWidth="1"/>
    <col min="15114" max="15114" width="34.28515625" style="884" customWidth="1"/>
    <col min="15115" max="15115" width="24.28515625" style="884" customWidth="1"/>
    <col min="15116" max="15116" width="21.140625" style="884" customWidth="1"/>
    <col min="15117" max="15117" width="22.140625" style="884" customWidth="1"/>
    <col min="15118" max="15118" width="8" style="884" customWidth="1"/>
    <col min="15119" max="15119" width="17" style="884" customWidth="1"/>
    <col min="15120" max="15120" width="12.7109375" style="884" customWidth="1"/>
    <col min="15121" max="15121" width="24.5703125" style="884" customWidth="1"/>
    <col min="15122" max="15122" width="29" style="884" customWidth="1"/>
    <col min="15123" max="15123" width="17.7109375" style="884" customWidth="1"/>
    <col min="15124" max="15124" width="36.42578125" style="884" customWidth="1"/>
    <col min="15125" max="15125" width="21.85546875" style="884" customWidth="1"/>
    <col min="15126" max="15126" width="11.7109375" style="884" customWidth="1"/>
    <col min="15127" max="15127" width="26.28515625" style="884" customWidth="1"/>
    <col min="15128" max="15128" width="9" style="884" customWidth="1"/>
    <col min="15129" max="15129" width="6.28515625" style="884" customWidth="1"/>
    <col min="15130" max="15131" width="7.28515625" style="884" customWidth="1"/>
    <col min="15132" max="15132" width="8.42578125" style="884" customWidth="1"/>
    <col min="15133" max="15133" width="9.5703125" style="884" customWidth="1"/>
    <col min="15134" max="15134" width="6.28515625" style="884" customWidth="1"/>
    <col min="15135" max="15135" width="5.85546875" style="884" customWidth="1"/>
    <col min="15136" max="15137" width="4.42578125" style="884" customWidth="1"/>
    <col min="15138" max="15138" width="5" style="884" customWidth="1"/>
    <col min="15139" max="15139" width="5.85546875" style="884" customWidth="1"/>
    <col min="15140" max="15140" width="6.140625" style="884" customWidth="1"/>
    <col min="15141" max="15141" width="6.28515625" style="884" customWidth="1"/>
    <col min="15142" max="15142" width="11.140625" style="884" customWidth="1"/>
    <col min="15143" max="15143" width="14.140625" style="884" customWidth="1"/>
    <col min="15144" max="15144" width="19.85546875" style="884" customWidth="1"/>
    <col min="15145" max="15145" width="17" style="884" customWidth="1"/>
    <col min="15146" max="15146" width="20.85546875" style="884" customWidth="1"/>
    <col min="15147" max="15359" width="11.42578125" style="884"/>
    <col min="15360" max="15360" width="13.140625" style="884" customWidth="1"/>
    <col min="15361" max="15361" width="4" style="884" customWidth="1"/>
    <col min="15362" max="15362" width="12.85546875" style="884" customWidth="1"/>
    <col min="15363" max="15363" width="14.7109375" style="884" customWidth="1"/>
    <col min="15364" max="15364" width="10" style="884" customWidth="1"/>
    <col min="15365" max="15365" width="6.28515625" style="884" customWidth="1"/>
    <col min="15366" max="15366" width="12.28515625" style="884" customWidth="1"/>
    <col min="15367" max="15367" width="8.5703125" style="884" customWidth="1"/>
    <col min="15368" max="15368" width="13.7109375" style="884" customWidth="1"/>
    <col min="15369" max="15369" width="11.5703125" style="884" customWidth="1"/>
    <col min="15370" max="15370" width="34.28515625" style="884" customWidth="1"/>
    <col min="15371" max="15371" width="24.28515625" style="884" customWidth="1"/>
    <col min="15372" max="15372" width="21.140625" style="884" customWidth="1"/>
    <col min="15373" max="15373" width="22.140625" style="884" customWidth="1"/>
    <col min="15374" max="15374" width="8" style="884" customWidth="1"/>
    <col min="15375" max="15375" width="17" style="884" customWidth="1"/>
    <col min="15376" max="15376" width="12.7109375" style="884" customWidth="1"/>
    <col min="15377" max="15377" width="24.5703125" style="884" customWidth="1"/>
    <col min="15378" max="15378" width="29" style="884" customWidth="1"/>
    <col min="15379" max="15379" width="17.7109375" style="884" customWidth="1"/>
    <col min="15380" max="15380" width="36.42578125" style="884" customWidth="1"/>
    <col min="15381" max="15381" width="21.85546875" style="884" customWidth="1"/>
    <col min="15382" max="15382" width="11.7109375" style="884" customWidth="1"/>
    <col min="15383" max="15383" width="26.28515625" style="884" customWidth="1"/>
    <col min="15384" max="15384" width="9" style="884" customWidth="1"/>
    <col min="15385" max="15385" width="6.28515625" style="884" customWidth="1"/>
    <col min="15386" max="15387" width="7.28515625" style="884" customWidth="1"/>
    <col min="15388" max="15388" width="8.42578125" style="884" customWidth="1"/>
    <col min="15389" max="15389" width="9.5703125" style="884" customWidth="1"/>
    <col min="15390" max="15390" width="6.28515625" style="884" customWidth="1"/>
    <col min="15391" max="15391" width="5.85546875" style="884" customWidth="1"/>
    <col min="15392" max="15393" width="4.42578125" style="884" customWidth="1"/>
    <col min="15394" max="15394" width="5" style="884" customWidth="1"/>
    <col min="15395" max="15395" width="5.85546875" style="884" customWidth="1"/>
    <col min="15396" max="15396" width="6.140625" style="884" customWidth="1"/>
    <col min="15397" max="15397" width="6.28515625" style="884" customWidth="1"/>
    <col min="15398" max="15398" width="11.140625" style="884" customWidth="1"/>
    <col min="15399" max="15399" width="14.140625" style="884" customWidth="1"/>
    <col min="15400" max="15400" width="19.85546875" style="884" customWidth="1"/>
    <col min="15401" max="15401" width="17" style="884" customWidth="1"/>
    <col min="15402" max="15402" width="20.85546875" style="884" customWidth="1"/>
    <col min="15403" max="15615" width="11.42578125" style="884"/>
    <col min="15616" max="15616" width="13.140625" style="884" customWidth="1"/>
    <col min="15617" max="15617" width="4" style="884" customWidth="1"/>
    <col min="15618" max="15618" width="12.85546875" style="884" customWidth="1"/>
    <col min="15619" max="15619" width="14.7109375" style="884" customWidth="1"/>
    <col min="15620" max="15620" width="10" style="884" customWidth="1"/>
    <col min="15621" max="15621" width="6.28515625" style="884" customWidth="1"/>
    <col min="15622" max="15622" width="12.28515625" style="884" customWidth="1"/>
    <col min="15623" max="15623" width="8.5703125" style="884" customWidth="1"/>
    <col min="15624" max="15624" width="13.7109375" style="884" customWidth="1"/>
    <col min="15625" max="15625" width="11.5703125" style="884" customWidth="1"/>
    <col min="15626" max="15626" width="34.28515625" style="884" customWidth="1"/>
    <col min="15627" max="15627" width="24.28515625" style="884" customWidth="1"/>
    <col min="15628" max="15628" width="21.140625" style="884" customWidth="1"/>
    <col min="15629" max="15629" width="22.140625" style="884" customWidth="1"/>
    <col min="15630" max="15630" width="8" style="884" customWidth="1"/>
    <col min="15631" max="15631" width="17" style="884" customWidth="1"/>
    <col min="15632" max="15632" width="12.7109375" style="884" customWidth="1"/>
    <col min="15633" max="15633" width="24.5703125" style="884" customWidth="1"/>
    <col min="15634" max="15634" width="29" style="884" customWidth="1"/>
    <col min="15635" max="15635" width="17.7109375" style="884" customWidth="1"/>
    <col min="15636" max="15636" width="36.42578125" style="884" customWidth="1"/>
    <col min="15637" max="15637" width="21.85546875" style="884" customWidth="1"/>
    <col min="15638" max="15638" width="11.7109375" style="884" customWidth="1"/>
    <col min="15639" max="15639" width="26.28515625" style="884" customWidth="1"/>
    <col min="15640" max="15640" width="9" style="884" customWidth="1"/>
    <col min="15641" max="15641" width="6.28515625" style="884" customWidth="1"/>
    <col min="15642" max="15643" width="7.28515625" style="884" customWidth="1"/>
    <col min="15644" max="15644" width="8.42578125" style="884" customWidth="1"/>
    <col min="15645" max="15645" width="9.5703125" style="884" customWidth="1"/>
    <col min="15646" max="15646" width="6.28515625" style="884" customWidth="1"/>
    <col min="15647" max="15647" width="5.85546875" style="884" customWidth="1"/>
    <col min="15648" max="15649" width="4.42578125" style="884" customWidth="1"/>
    <col min="15650" max="15650" width="5" style="884" customWidth="1"/>
    <col min="15651" max="15651" width="5.85546875" style="884" customWidth="1"/>
    <col min="15652" max="15652" width="6.140625" style="884" customWidth="1"/>
    <col min="15653" max="15653" width="6.28515625" style="884" customWidth="1"/>
    <col min="15654" max="15654" width="11.140625" style="884" customWidth="1"/>
    <col min="15655" max="15655" width="14.140625" style="884" customWidth="1"/>
    <col min="15656" max="15656" width="19.85546875" style="884" customWidth="1"/>
    <col min="15657" max="15657" width="17" style="884" customWidth="1"/>
    <col min="15658" max="15658" width="20.85546875" style="884" customWidth="1"/>
    <col min="15659" max="15871" width="11.42578125" style="884"/>
    <col min="15872" max="15872" width="13.140625" style="884" customWidth="1"/>
    <col min="15873" max="15873" width="4" style="884" customWidth="1"/>
    <col min="15874" max="15874" width="12.85546875" style="884" customWidth="1"/>
    <col min="15875" max="15875" width="14.7109375" style="884" customWidth="1"/>
    <col min="15876" max="15876" width="10" style="884" customWidth="1"/>
    <col min="15877" max="15877" width="6.28515625" style="884" customWidth="1"/>
    <col min="15878" max="15878" width="12.28515625" style="884" customWidth="1"/>
    <col min="15879" max="15879" width="8.5703125" style="884" customWidth="1"/>
    <col min="15880" max="15880" width="13.7109375" style="884" customWidth="1"/>
    <col min="15881" max="15881" width="11.5703125" style="884" customWidth="1"/>
    <col min="15882" max="15882" width="34.28515625" style="884" customWidth="1"/>
    <col min="15883" max="15883" width="24.28515625" style="884" customWidth="1"/>
    <col min="15884" max="15884" width="21.140625" style="884" customWidth="1"/>
    <col min="15885" max="15885" width="22.140625" style="884" customWidth="1"/>
    <col min="15886" max="15886" width="8" style="884" customWidth="1"/>
    <col min="15887" max="15887" width="17" style="884" customWidth="1"/>
    <col min="15888" max="15888" width="12.7109375" style="884" customWidth="1"/>
    <col min="15889" max="15889" width="24.5703125" style="884" customWidth="1"/>
    <col min="15890" max="15890" width="29" style="884" customWidth="1"/>
    <col min="15891" max="15891" width="17.7109375" style="884" customWidth="1"/>
    <col min="15892" max="15892" width="36.42578125" style="884" customWidth="1"/>
    <col min="15893" max="15893" width="21.85546875" style="884" customWidth="1"/>
    <col min="15894" max="15894" width="11.7109375" style="884" customWidth="1"/>
    <col min="15895" max="15895" width="26.28515625" style="884" customWidth="1"/>
    <col min="15896" max="15896" width="9" style="884" customWidth="1"/>
    <col min="15897" max="15897" width="6.28515625" style="884" customWidth="1"/>
    <col min="15898" max="15899" width="7.28515625" style="884" customWidth="1"/>
    <col min="15900" max="15900" width="8.42578125" style="884" customWidth="1"/>
    <col min="15901" max="15901" width="9.5703125" style="884" customWidth="1"/>
    <col min="15902" max="15902" width="6.28515625" style="884" customWidth="1"/>
    <col min="15903" max="15903" width="5.85546875" style="884" customWidth="1"/>
    <col min="15904" max="15905" width="4.42578125" style="884" customWidth="1"/>
    <col min="15906" max="15906" width="5" style="884" customWidth="1"/>
    <col min="15907" max="15907" width="5.85546875" style="884" customWidth="1"/>
    <col min="15908" max="15908" width="6.140625" style="884" customWidth="1"/>
    <col min="15909" max="15909" width="6.28515625" style="884" customWidth="1"/>
    <col min="15910" max="15910" width="11.140625" style="884" customWidth="1"/>
    <col min="15911" max="15911" width="14.140625" style="884" customWidth="1"/>
    <col min="15912" max="15912" width="19.85546875" style="884" customWidth="1"/>
    <col min="15913" max="15913" width="17" style="884" customWidth="1"/>
    <col min="15914" max="15914" width="20.85546875" style="884" customWidth="1"/>
    <col min="15915" max="16127" width="11.42578125" style="884"/>
    <col min="16128" max="16128" width="13.140625" style="884" customWidth="1"/>
    <col min="16129" max="16129" width="4" style="884" customWidth="1"/>
    <col min="16130" max="16130" width="12.85546875" style="884" customWidth="1"/>
    <col min="16131" max="16131" width="14.7109375" style="884" customWidth="1"/>
    <col min="16132" max="16132" width="10" style="884" customWidth="1"/>
    <col min="16133" max="16133" width="6.28515625" style="884" customWidth="1"/>
    <col min="16134" max="16134" width="12.28515625" style="884" customWidth="1"/>
    <col min="16135" max="16135" width="8.5703125" style="884" customWidth="1"/>
    <col min="16136" max="16136" width="13.7109375" style="884" customWidth="1"/>
    <col min="16137" max="16137" width="11.5703125" style="884" customWidth="1"/>
    <col min="16138" max="16138" width="34.28515625" style="884" customWidth="1"/>
    <col min="16139" max="16139" width="24.28515625" style="884" customWidth="1"/>
    <col min="16140" max="16140" width="21.140625" style="884" customWidth="1"/>
    <col min="16141" max="16141" width="22.140625" style="884" customWidth="1"/>
    <col min="16142" max="16142" width="8" style="884" customWidth="1"/>
    <col min="16143" max="16143" width="17" style="884" customWidth="1"/>
    <col min="16144" max="16144" width="12.7109375" style="884" customWidth="1"/>
    <col min="16145" max="16145" width="24.5703125" style="884" customWidth="1"/>
    <col min="16146" max="16146" width="29" style="884" customWidth="1"/>
    <col min="16147" max="16147" width="17.7109375" style="884" customWidth="1"/>
    <col min="16148" max="16148" width="36.42578125" style="884" customWidth="1"/>
    <col min="16149" max="16149" width="21.85546875" style="884" customWidth="1"/>
    <col min="16150" max="16150" width="11.7109375" style="884" customWidth="1"/>
    <col min="16151" max="16151" width="26.28515625" style="884" customWidth="1"/>
    <col min="16152" max="16152" width="9" style="884" customWidth="1"/>
    <col min="16153" max="16153" width="6.28515625" style="884" customWidth="1"/>
    <col min="16154" max="16155" width="7.28515625" style="884" customWidth="1"/>
    <col min="16156" max="16156" width="8.42578125" style="884" customWidth="1"/>
    <col min="16157" max="16157" width="9.5703125" style="884" customWidth="1"/>
    <col min="16158" max="16158" width="6.28515625" style="884" customWidth="1"/>
    <col min="16159" max="16159" width="5.85546875" style="884" customWidth="1"/>
    <col min="16160" max="16161" width="4.42578125" style="884" customWidth="1"/>
    <col min="16162" max="16162" width="5" style="884" customWidth="1"/>
    <col min="16163" max="16163" width="5.85546875" style="884" customWidth="1"/>
    <col min="16164" max="16164" width="6.140625" style="884" customWidth="1"/>
    <col min="16165" max="16165" width="6.28515625" style="884" customWidth="1"/>
    <col min="16166" max="16166" width="11.140625" style="884" customWidth="1"/>
    <col min="16167" max="16167" width="14.140625" style="884" customWidth="1"/>
    <col min="16168" max="16168" width="19.85546875" style="884" customWidth="1"/>
    <col min="16169" max="16169" width="17" style="884" customWidth="1"/>
    <col min="16170" max="16170" width="20.85546875" style="884" customWidth="1"/>
    <col min="16171" max="16384" width="11.42578125" style="884"/>
  </cols>
  <sheetData>
    <row r="1" spans="1:62" ht="15" customHeight="1" x14ac:dyDescent="0.2">
      <c r="A1" s="2326" t="s">
        <v>1641</v>
      </c>
      <c r="B1" s="3259"/>
      <c r="C1" s="3259"/>
      <c r="D1" s="3259"/>
      <c r="E1" s="3259"/>
      <c r="F1" s="3259"/>
      <c r="G1" s="3259"/>
      <c r="H1" s="3259"/>
      <c r="I1" s="3259"/>
      <c r="J1" s="3259"/>
      <c r="K1" s="3259"/>
      <c r="L1" s="3259"/>
      <c r="M1" s="3259"/>
      <c r="N1" s="3259"/>
      <c r="O1" s="3259"/>
      <c r="P1" s="3259"/>
      <c r="Q1" s="3259"/>
      <c r="R1" s="3259"/>
      <c r="S1" s="3259"/>
      <c r="T1" s="3259"/>
      <c r="U1" s="3259"/>
      <c r="V1" s="3259"/>
      <c r="W1" s="3259"/>
      <c r="X1" s="3259"/>
      <c r="Y1" s="3259"/>
      <c r="Z1" s="3259"/>
      <c r="AA1" s="3259"/>
      <c r="AB1" s="3259"/>
      <c r="AC1" s="3259"/>
      <c r="AD1" s="3259"/>
      <c r="AE1" s="3259"/>
      <c r="AF1" s="3259"/>
      <c r="AG1" s="3259"/>
      <c r="AH1" s="3259"/>
      <c r="AI1" s="3259"/>
      <c r="AJ1" s="3259"/>
      <c r="AK1" s="3259"/>
      <c r="AL1" s="3259"/>
      <c r="AM1" s="3259"/>
      <c r="AN1" s="3259"/>
      <c r="AO1" s="2253"/>
      <c r="AP1" s="408" t="s">
        <v>231</v>
      </c>
      <c r="AQ1" s="408" t="s">
        <v>131</v>
      </c>
    </row>
    <row r="2" spans="1:62" ht="15" customHeight="1" x14ac:dyDescent="0.2">
      <c r="A2" s="2326"/>
      <c r="B2" s="3259"/>
      <c r="C2" s="3259"/>
      <c r="D2" s="3259"/>
      <c r="E2" s="3259"/>
      <c r="F2" s="3259"/>
      <c r="G2" s="3259"/>
      <c r="H2" s="3259"/>
      <c r="I2" s="3259"/>
      <c r="J2" s="3259"/>
      <c r="K2" s="3259"/>
      <c r="L2" s="3259"/>
      <c r="M2" s="3259"/>
      <c r="N2" s="3259"/>
      <c r="O2" s="3259"/>
      <c r="P2" s="3259"/>
      <c r="Q2" s="3259"/>
      <c r="R2" s="3259"/>
      <c r="S2" s="3259"/>
      <c r="T2" s="3259"/>
      <c r="U2" s="3259"/>
      <c r="V2" s="3259"/>
      <c r="W2" s="3259"/>
      <c r="X2" s="3259"/>
      <c r="Y2" s="3259"/>
      <c r="Z2" s="3259"/>
      <c r="AA2" s="3259"/>
      <c r="AB2" s="3259"/>
      <c r="AC2" s="3259"/>
      <c r="AD2" s="3259"/>
      <c r="AE2" s="3259"/>
      <c r="AF2" s="3259"/>
      <c r="AG2" s="3259"/>
      <c r="AH2" s="3259"/>
      <c r="AI2" s="3259"/>
      <c r="AJ2" s="3259"/>
      <c r="AK2" s="3259"/>
      <c r="AL2" s="3259"/>
      <c r="AM2" s="3259"/>
      <c r="AN2" s="3259"/>
      <c r="AO2" s="2253"/>
      <c r="AP2" s="410" t="s">
        <v>232</v>
      </c>
      <c r="AQ2" s="408" t="s">
        <v>135</v>
      </c>
    </row>
    <row r="3" spans="1:62" ht="15" customHeight="1" x14ac:dyDescent="0.2">
      <c r="A3" s="2326"/>
      <c r="B3" s="3259"/>
      <c r="C3" s="3259"/>
      <c r="D3" s="3259"/>
      <c r="E3" s="3259"/>
      <c r="F3" s="3259"/>
      <c r="G3" s="3259"/>
      <c r="H3" s="3259"/>
      <c r="I3" s="3259"/>
      <c r="J3" s="3259"/>
      <c r="K3" s="3259"/>
      <c r="L3" s="3259"/>
      <c r="M3" s="3259"/>
      <c r="N3" s="3259"/>
      <c r="O3" s="3259"/>
      <c r="P3" s="3259"/>
      <c r="Q3" s="3259"/>
      <c r="R3" s="3259"/>
      <c r="S3" s="3259"/>
      <c r="T3" s="3259"/>
      <c r="U3" s="3259"/>
      <c r="V3" s="3259"/>
      <c r="W3" s="3259"/>
      <c r="X3" s="3259"/>
      <c r="Y3" s="3259"/>
      <c r="Z3" s="3259"/>
      <c r="AA3" s="3259"/>
      <c r="AB3" s="3259"/>
      <c r="AC3" s="3259"/>
      <c r="AD3" s="3259"/>
      <c r="AE3" s="3259"/>
      <c r="AF3" s="3259"/>
      <c r="AG3" s="3259"/>
      <c r="AH3" s="3259"/>
      <c r="AI3" s="3259"/>
      <c r="AJ3" s="3259"/>
      <c r="AK3" s="3259"/>
      <c r="AL3" s="3259"/>
      <c r="AM3" s="3259"/>
      <c r="AN3" s="3259"/>
      <c r="AO3" s="2253"/>
      <c r="AP3" s="408" t="s">
        <v>233</v>
      </c>
      <c r="AQ3" s="411" t="s">
        <v>136</v>
      </c>
    </row>
    <row r="4" spans="1:62" s="1344" customFormat="1" ht="15" customHeight="1" x14ac:dyDescent="0.2">
      <c r="A4" s="2327"/>
      <c r="B4" s="2254"/>
      <c r="C4" s="2254"/>
      <c r="D4" s="2254"/>
      <c r="E4" s="2254"/>
      <c r="F4" s="2254"/>
      <c r="G4" s="2254"/>
      <c r="H4" s="2254"/>
      <c r="I4" s="2254"/>
      <c r="J4" s="2254"/>
      <c r="K4" s="2254"/>
      <c r="L4" s="2254"/>
      <c r="M4" s="2254"/>
      <c r="N4" s="2254"/>
      <c r="O4" s="2254"/>
      <c r="P4" s="2254"/>
      <c r="Q4" s="2254"/>
      <c r="R4" s="2254"/>
      <c r="S4" s="2254"/>
      <c r="T4" s="2254"/>
      <c r="U4" s="2254"/>
      <c r="V4" s="2254"/>
      <c r="W4" s="2254"/>
      <c r="X4" s="2254"/>
      <c r="Y4" s="2254"/>
      <c r="Z4" s="2254"/>
      <c r="AA4" s="2254"/>
      <c r="AB4" s="2254"/>
      <c r="AC4" s="2254"/>
      <c r="AD4" s="2254"/>
      <c r="AE4" s="2254"/>
      <c r="AF4" s="2254"/>
      <c r="AG4" s="2254"/>
      <c r="AH4" s="2254"/>
      <c r="AI4" s="2254"/>
      <c r="AJ4" s="2254"/>
      <c r="AK4" s="2254"/>
      <c r="AL4" s="2254"/>
      <c r="AM4" s="2254"/>
      <c r="AN4" s="2254"/>
      <c r="AO4" s="2255"/>
      <c r="AP4" s="408" t="s">
        <v>234</v>
      </c>
      <c r="AQ4" s="412" t="s">
        <v>1</v>
      </c>
    </row>
    <row r="5" spans="1:62" ht="15.75" x14ac:dyDescent="0.2">
      <c r="A5" s="2328" t="s">
        <v>2</v>
      </c>
      <c r="B5" s="2329"/>
      <c r="C5" s="2329"/>
      <c r="D5" s="2329"/>
      <c r="E5" s="2329"/>
      <c r="F5" s="2329"/>
      <c r="G5" s="2329"/>
      <c r="H5" s="2329"/>
      <c r="I5" s="2329"/>
      <c r="J5" s="2329"/>
      <c r="K5" s="2329"/>
      <c r="L5" s="2329"/>
      <c r="M5" s="2329"/>
      <c r="N5" s="2259" t="s">
        <v>3</v>
      </c>
      <c r="O5" s="2260"/>
      <c r="P5" s="2260"/>
      <c r="Q5" s="2260"/>
      <c r="R5" s="2260"/>
      <c r="S5" s="2260"/>
      <c r="T5" s="2260"/>
      <c r="U5" s="2260"/>
      <c r="V5" s="2260"/>
      <c r="W5" s="2260"/>
      <c r="X5" s="2260"/>
      <c r="Y5" s="2260"/>
      <c r="Z5" s="2260"/>
      <c r="AA5" s="2260"/>
      <c r="AB5" s="2260"/>
      <c r="AC5" s="2260"/>
      <c r="AD5" s="2260"/>
      <c r="AE5" s="2260"/>
      <c r="AF5" s="2260"/>
      <c r="AG5" s="2260"/>
      <c r="AH5" s="2260"/>
      <c r="AI5" s="2260"/>
      <c r="AJ5" s="2260"/>
      <c r="AK5" s="2260"/>
      <c r="AL5" s="2260"/>
      <c r="AM5" s="2260"/>
      <c r="AN5" s="2260"/>
      <c r="AO5" s="2260"/>
      <c r="AP5" s="2260"/>
      <c r="AQ5" s="2754"/>
    </row>
    <row r="6" spans="1:62" ht="15.75" x14ac:dyDescent="0.2">
      <c r="A6" s="2330"/>
      <c r="B6" s="2331"/>
      <c r="C6" s="2331"/>
      <c r="D6" s="2331"/>
      <c r="E6" s="2331"/>
      <c r="F6" s="2331"/>
      <c r="G6" s="2331"/>
      <c r="H6" s="2331"/>
      <c r="I6" s="2331"/>
      <c r="J6" s="2331"/>
      <c r="K6" s="2331"/>
      <c r="L6" s="2331"/>
      <c r="M6" s="2331"/>
      <c r="N6" s="2259"/>
      <c r="O6" s="2260"/>
      <c r="P6" s="2260"/>
      <c r="Q6" s="2260"/>
      <c r="R6" s="2260"/>
      <c r="S6" s="2260"/>
      <c r="T6" s="2260"/>
      <c r="U6" s="2260"/>
      <c r="V6" s="2260"/>
      <c r="W6" s="2260"/>
      <c r="X6" s="2261"/>
      <c r="Y6" s="1180"/>
      <c r="Z6" s="1180"/>
      <c r="AA6" s="1180"/>
      <c r="AB6" s="1180"/>
      <c r="AC6" s="1180"/>
      <c r="AD6" s="1180"/>
      <c r="AE6" s="1180"/>
      <c r="AF6" s="1180"/>
      <c r="AG6" s="1180"/>
      <c r="AH6" s="1180"/>
      <c r="AI6" s="1180"/>
      <c r="AJ6" s="1180"/>
      <c r="AK6" s="1180"/>
      <c r="AL6" s="1180"/>
      <c r="AM6" s="1180"/>
      <c r="AN6" s="1180"/>
      <c r="AO6" s="2259"/>
      <c r="AP6" s="2260"/>
      <c r="AQ6" s="2754"/>
    </row>
    <row r="7" spans="1:62" ht="23.25" customHeight="1" x14ac:dyDescent="0.2">
      <c r="A7" s="3263" t="s">
        <v>5</v>
      </c>
      <c r="B7" s="2545" t="s">
        <v>6</v>
      </c>
      <c r="C7" s="2545"/>
      <c r="D7" s="2545" t="s">
        <v>5</v>
      </c>
      <c r="E7" s="2545" t="s">
        <v>7</v>
      </c>
      <c r="F7" s="2545"/>
      <c r="G7" s="2545" t="s">
        <v>5</v>
      </c>
      <c r="H7" s="2545" t="s">
        <v>8</v>
      </c>
      <c r="I7" s="2545"/>
      <c r="J7" s="2545" t="s">
        <v>5</v>
      </c>
      <c r="K7" s="2545" t="s">
        <v>9</v>
      </c>
      <c r="L7" s="2545" t="s">
        <v>10</v>
      </c>
      <c r="M7" s="2264" t="s">
        <v>11</v>
      </c>
      <c r="N7" s="2545" t="s">
        <v>12</v>
      </c>
      <c r="O7" s="2238" t="s">
        <v>182</v>
      </c>
      <c r="P7" s="2545" t="s">
        <v>3</v>
      </c>
      <c r="Q7" s="2545" t="s">
        <v>14</v>
      </c>
      <c r="R7" s="2545" t="s">
        <v>15</v>
      </c>
      <c r="S7" s="2545" t="s">
        <v>16</v>
      </c>
      <c r="T7" s="2545" t="s">
        <v>17</v>
      </c>
      <c r="U7" s="2545" t="s">
        <v>18</v>
      </c>
      <c r="V7" s="2264" t="s">
        <v>15</v>
      </c>
      <c r="W7" s="2238" t="s">
        <v>5</v>
      </c>
      <c r="X7" s="2545" t="s">
        <v>19</v>
      </c>
      <c r="Y7" s="2240" t="s">
        <v>20</v>
      </c>
      <c r="Z7" s="2241"/>
      <c r="AA7" s="2242" t="s">
        <v>21</v>
      </c>
      <c r="AB7" s="2243"/>
      <c r="AC7" s="2243"/>
      <c r="AD7" s="2243"/>
      <c r="AE7" s="2244" t="s">
        <v>22</v>
      </c>
      <c r="AF7" s="2245"/>
      <c r="AG7" s="2245"/>
      <c r="AH7" s="2245"/>
      <c r="AI7" s="2245"/>
      <c r="AJ7" s="2245"/>
      <c r="AK7" s="2242" t="s">
        <v>23</v>
      </c>
      <c r="AL7" s="2243"/>
      <c r="AM7" s="2243"/>
      <c r="AN7" s="2533" t="s">
        <v>24</v>
      </c>
      <c r="AO7" s="2758" t="s">
        <v>25</v>
      </c>
      <c r="AP7" s="2758" t="s">
        <v>26</v>
      </c>
      <c r="AQ7" s="2548" t="s">
        <v>27</v>
      </c>
    </row>
    <row r="8" spans="1:62" ht="163.5" x14ac:dyDescent="0.2">
      <c r="A8" s="3263"/>
      <c r="B8" s="2545"/>
      <c r="C8" s="2545"/>
      <c r="D8" s="2545"/>
      <c r="E8" s="2545"/>
      <c r="F8" s="2545"/>
      <c r="G8" s="2545"/>
      <c r="H8" s="2545"/>
      <c r="I8" s="2545"/>
      <c r="J8" s="2545"/>
      <c r="K8" s="2545"/>
      <c r="L8" s="2545"/>
      <c r="M8" s="2893"/>
      <c r="N8" s="2545"/>
      <c r="O8" s="2239"/>
      <c r="P8" s="2545"/>
      <c r="Q8" s="2545"/>
      <c r="R8" s="2545"/>
      <c r="S8" s="2545"/>
      <c r="T8" s="2545"/>
      <c r="U8" s="2545"/>
      <c r="V8" s="2266"/>
      <c r="W8" s="2239"/>
      <c r="X8" s="2545"/>
      <c r="Y8" s="227" t="s">
        <v>28</v>
      </c>
      <c r="Z8" s="228" t="s">
        <v>29</v>
      </c>
      <c r="AA8" s="124" t="s">
        <v>30</v>
      </c>
      <c r="AB8" s="227" t="s">
        <v>31</v>
      </c>
      <c r="AC8" s="124" t="s">
        <v>138</v>
      </c>
      <c r="AD8" s="227" t="s">
        <v>32</v>
      </c>
      <c r="AE8" s="227" t="s">
        <v>33</v>
      </c>
      <c r="AF8" s="227" t="s">
        <v>34</v>
      </c>
      <c r="AG8" s="227" t="s">
        <v>35</v>
      </c>
      <c r="AH8" s="227" t="s">
        <v>36</v>
      </c>
      <c r="AI8" s="227" t="s">
        <v>37</v>
      </c>
      <c r="AJ8" s="227" t="s">
        <v>38</v>
      </c>
      <c r="AK8" s="227" t="s">
        <v>39</v>
      </c>
      <c r="AL8" s="227" t="s">
        <v>40</v>
      </c>
      <c r="AM8" s="227" t="s">
        <v>41</v>
      </c>
      <c r="AN8" s="2534"/>
      <c r="AO8" s="2759"/>
      <c r="AP8" s="2759"/>
      <c r="AQ8" s="2548"/>
    </row>
    <row r="9" spans="1:62" s="1354" customFormat="1" ht="20.25" customHeight="1" x14ac:dyDescent="0.2">
      <c r="A9" s="1345">
        <v>3</v>
      </c>
      <c r="B9" s="1346"/>
      <c r="C9" s="1346" t="s">
        <v>260</v>
      </c>
      <c r="D9" s="1346"/>
      <c r="E9" s="1346"/>
      <c r="F9" s="1346"/>
      <c r="G9" s="1346"/>
      <c r="H9" s="1346"/>
      <c r="I9" s="1346"/>
      <c r="J9" s="1346"/>
      <c r="K9" s="1347"/>
      <c r="L9" s="1346"/>
      <c r="M9" s="1346"/>
      <c r="N9" s="1346"/>
      <c r="O9" s="1348"/>
      <c r="P9" s="1347"/>
      <c r="Q9" s="1349"/>
      <c r="R9" s="1350"/>
      <c r="S9" s="1347"/>
      <c r="T9" s="1347"/>
      <c r="U9" s="1347"/>
      <c r="V9" s="1347"/>
      <c r="W9" s="1351"/>
      <c r="X9" s="1348"/>
      <c r="Y9" s="1346"/>
      <c r="Z9" s="1346"/>
      <c r="AA9" s="1346"/>
      <c r="AB9" s="1346"/>
      <c r="AC9" s="1346"/>
      <c r="AD9" s="1346"/>
      <c r="AE9" s="1346"/>
      <c r="AF9" s="1346"/>
      <c r="AG9" s="1346"/>
      <c r="AH9" s="1346"/>
      <c r="AI9" s="1346"/>
      <c r="AJ9" s="1346"/>
      <c r="AK9" s="1346"/>
      <c r="AL9" s="1346"/>
      <c r="AM9" s="1346"/>
      <c r="AN9" s="1346"/>
      <c r="AO9" s="1352"/>
      <c r="AP9" s="1352"/>
      <c r="AQ9" s="1353"/>
      <c r="AR9" s="888"/>
      <c r="AS9" s="888"/>
      <c r="AT9" s="888"/>
      <c r="AU9" s="888"/>
      <c r="AV9" s="888"/>
      <c r="AW9" s="888"/>
      <c r="AX9" s="888"/>
      <c r="AY9" s="888"/>
      <c r="AZ9" s="888"/>
      <c r="BA9" s="888"/>
      <c r="BB9" s="888"/>
      <c r="BC9" s="888"/>
      <c r="BD9" s="888"/>
      <c r="BE9" s="888"/>
      <c r="BF9" s="888"/>
      <c r="BG9" s="888"/>
      <c r="BH9" s="888"/>
      <c r="BI9" s="888"/>
      <c r="BJ9" s="888"/>
    </row>
    <row r="10" spans="1:62" s="888" customFormat="1" ht="20.25" customHeight="1" x14ac:dyDescent="0.2">
      <c r="A10" s="1355"/>
      <c r="B10" s="1356"/>
      <c r="C10" s="1357"/>
      <c r="D10" s="1358">
        <v>20</v>
      </c>
      <c r="E10" s="1359" t="s">
        <v>1642</v>
      </c>
      <c r="F10" s="1359"/>
      <c r="G10" s="1359"/>
      <c r="H10" s="1359"/>
      <c r="I10" s="1359"/>
      <c r="J10" s="1359"/>
      <c r="K10" s="1360"/>
      <c r="L10" s="1359"/>
      <c r="M10" s="1359"/>
      <c r="N10" s="1359"/>
      <c r="O10" s="1361"/>
      <c r="P10" s="1360"/>
      <c r="Q10" s="1362"/>
      <c r="R10" s="1363"/>
      <c r="S10" s="1360"/>
      <c r="T10" s="1360"/>
      <c r="U10" s="1360"/>
      <c r="V10" s="1364"/>
      <c r="W10" s="1365"/>
      <c r="X10" s="1361"/>
      <c r="Y10" s="1359"/>
      <c r="Z10" s="1359"/>
      <c r="AA10" s="1359"/>
      <c r="AB10" s="1359"/>
      <c r="AC10" s="1359"/>
      <c r="AD10" s="1359"/>
      <c r="AE10" s="1359"/>
      <c r="AF10" s="1359"/>
      <c r="AG10" s="1359"/>
      <c r="AH10" s="1359"/>
      <c r="AI10" s="1359"/>
      <c r="AJ10" s="1359"/>
      <c r="AK10" s="1359"/>
      <c r="AL10" s="1359"/>
      <c r="AM10" s="1359"/>
      <c r="AN10" s="1359"/>
      <c r="AO10" s="1366"/>
      <c r="AP10" s="1366"/>
      <c r="AQ10" s="1367"/>
    </row>
    <row r="11" spans="1:62" s="888" customFormat="1" ht="20.25" customHeight="1" x14ac:dyDescent="0.2">
      <c r="A11" s="1368"/>
      <c r="B11" s="1369"/>
      <c r="C11" s="1370"/>
      <c r="D11" s="1371"/>
      <c r="E11" s="1372"/>
      <c r="F11" s="1372"/>
      <c r="G11" s="1373">
        <v>68</v>
      </c>
      <c r="H11" s="1374" t="s">
        <v>1643</v>
      </c>
      <c r="I11" s="1374"/>
      <c r="J11" s="1374"/>
      <c r="K11" s="1375"/>
      <c r="L11" s="1374"/>
      <c r="M11" s="1374"/>
      <c r="N11" s="1374"/>
      <c r="O11" s="1376"/>
      <c r="P11" s="1375"/>
      <c r="Q11" s="1377"/>
      <c r="R11" s="1378"/>
      <c r="S11" s="1375"/>
      <c r="T11" s="1375"/>
      <c r="U11" s="1375"/>
      <c r="V11" s="1379"/>
      <c r="W11" s="1380"/>
      <c r="X11" s="1376"/>
      <c r="Y11" s="1374"/>
      <c r="Z11" s="1374"/>
      <c r="AA11" s="1374"/>
      <c r="AB11" s="1374"/>
      <c r="AC11" s="1374"/>
      <c r="AD11" s="1374"/>
      <c r="AE11" s="1374"/>
      <c r="AF11" s="1374"/>
      <c r="AG11" s="1374"/>
      <c r="AH11" s="1374"/>
      <c r="AI11" s="1374"/>
      <c r="AJ11" s="1374"/>
      <c r="AK11" s="1374"/>
      <c r="AL11" s="1374"/>
      <c r="AM11" s="1374"/>
      <c r="AN11" s="1374"/>
      <c r="AO11" s="1381"/>
      <c r="AP11" s="1381"/>
      <c r="AQ11" s="1382"/>
    </row>
    <row r="12" spans="1:62" s="888" customFormat="1" ht="46.5" customHeight="1" x14ac:dyDescent="0.2">
      <c r="A12" s="1368"/>
      <c r="B12" s="1369"/>
      <c r="C12" s="1370"/>
      <c r="D12" s="1383"/>
      <c r="E12" s="1384"/>
      <c r="F12" s="1384"/>
      <c r="G12" s="1385"/>
      <c r="H12" s="1384"/>
      <c r="I12" s="1384"/>
      <c r="J12" s="3410">
        <v>202</v>
      </c>
      <c r="K12" s="3411" t="s">
        <v>1644</v>
      </c>
      <c r="L12" s="3411" t="s">
        <v>1645</v>
      </c>
      <c r="M12" s="3410">
        <v>23</v>
      </c>
      <c r="N12" s="1386" t="s">
        <v>1646</v>
      </c>
      <c r="O12" s="3408" t="s">
        <v>1647</v>
      </c>
      <c r="P12" s="3402" t="s">
        <v>1648</v>
      </c>
      <c r="Q12" s="1387">
        <f>+V12/R12</f>
        <v>0.17181072177239415</v>
      </c>
      <c r="R12" s="3404">
        <f>SUM(V12:V16)</f>
        <v>1342174677</v>
      </c>
      <c r="S12" s="3402" t="s">
        <v>1649</v>
      </c>
      <c r="T12" s="3398" t="s">
        <v>1650</v>
      </c>
      <c r="U12" s="3408" t="s">
        <v>1651</v>
      </c>
      <c r="V12" s="1388">
        <v>230600000</v>
      </c>
      <c r="W12" s="1389">
        <v>12</v>
      </c>
      <c r="X12" s="1390" t="s">
        <v>1652</v>
      </c>
      <c r="Y12" s="3395">
        <v>648</v>
      </c>
      <c r="Z12" s="3395">
        <v>625</v>
      </c>
      <c r="AA12" s="3395">
        <v>325</v>
      </c>
      <c r="AB12" s="3395">
        <v>325</v>
      </c>
      <c r="AC12" s="3395">
        <v>548</v>
      </c>
      <c r="AD12" s="3395"/>
      <c r="AE12" s="3395"/>
      <c r="AF12" s="3395"/>
      <c r="AG12" s="3395"/>
      <c r="AH12" s="3395"/>
      <c r="AI12" s="3395"/>
      <c r="AJ12" s="3395"/>
      <c r="AK12" s="3395">
        <v>75</v>
      </c>
      <c r="AL12" s="3395"/>
      <c r="AM12" s="3395"/>
      <c r="AN12" s="3395">
        <v>1273</v>
      </c>
      <c r="AO12" s="3413">
        <v>43101</v>
      </c>
      <c r="AP12" s="3413">
        <v>43465</v>
      </c>
      <c r="AQ12" s="3398" t="s">
        <v>1653</v>
      </c>
    </row>
    <row r="13" spans="1:62" s="888" customFormat="1" ht="37.5" customHeight="1" x14ac:dyDescent="0.2">
      <c r="A13" s="1368"/>
      <c r="B13" s="1369"/>
      <c r="C13" s="1370"/>
      <c r="D13" s="1383"/>
      <c r="E13" s="1384"/>
      <c r="F13" s="1384"/>
      <c r="G13" s="1383"/>
      <c r="H13" s="1384"/>
      <c r="I13" s="1384"/>
      <c r="J13" s="3410"/>
      <c r="K13" s="3411"/>
      <c r="L13" s="3411"/>
      <c r="M13" s="3410"/>
      <c r="N13" s="1386" t="s">
        <v>1654</v>
      </c>
      <c r="O13" s="3416"/>
      <c r="P13" s="3407"/>
      <c r="Q13" s="1387">
        <f>+V13/R12</f>
        <v>0.44703570279027099</v>
      </c>
      <c r="R13" s="3405"/>
      <c r="S13" s="3407"/>
      <c r="T13" s="3399"/>
      <c r="U13" s="3409"/>
      <c r="V13" s="1388">
        <v>600000000</v>
      </c>
      <c r="W13" s="1389">
        <v>6</v>
      </c>
      <c r="X13" s="1390" t="s">
        <v>1655</v>
      </c>
      <c r="Y13" s="3396"/>
      <c r="Z13" s="3396"/>
      <c r="AA13" s="3396"/>
      <c r="AB13" s="3396"/>
      <c r="AC13" s="3396"/>
      <c r="AD13" s="3396"/>
      <c r="AE13" s="3396"/>
      <c r="AF13" s="3396"/>
      <c r="AG13" s="3396"/>
      <c r="AH13" s="3396"/>
      <c r="AI13" s="3396"/>
      <c r="AJ13" s="3396"/>
      <c r="AK13" s="3396"/>
      <c r="AL13" s="3396"/>
      <c r="AM13" s="3396"/>
      <c r="AN13" s="3396"/>
      <c r="AO13" s="3414"/>
      <c r="AP13" s="3414"/>
      <c r="AQ13" s="3399"/>
    </row>
    <row r="14" spans="1:62" s="888" customFormat="1" ht="38.25" customHeight="1" x14ac:dyDescent="0.2">
      <c r="A14" s="1368"/>
      <c r="B14" s="1369"/>
      <c r="C14" s="1370"/>
      <c r="D14" s="1383"/>
      <c r="E14" s="3401"/>
      <c r="F14" s="3401"/>
      <c r="G14" s="1383"/>
      <c r="H14" s="1369"/>
      <c r="I14" s="1369"/>
      <c r="J14" s="3410"/>
      <c r="K14" s="3411"/>
      <c r="L14" s="3411"/>
      <c r="M14" s="3410"/>
      <c r="N14" s="1386" t="s">
        <v>1656</v>
      </c>
      <c r="O14" s="3416"/>
      <c r="P14" s="3407"/>
      <c r="Q14" s="1387">
        <f>+V14/R12</f>
        <v>8.94071405580542E-3</v>
      </c>
      <c r="R14" s="3405"/>
      <c r="S14" s="3407"/>
      <c r="T14" s="3399"/>
      <c r="U14" s="3402" t="s">
        <v>1657</v>
      </c>
      <c r="V14" s="1391">
        <v>12000000</v>
      </c>
      <c r="W14" s="1389">
        <v>9</v>
      </c>
      <c r="X14" s="1390" t="s">
        <v>1658</v>
      </c>
      <c r="Y14" s="3396"/>
      <c r="Z14" s="3396"/>
      <c r="AA14" s="3396"/>
      <c r="AB14" s="3396"/>
      <c r="AC14" s="3396"/>
      <c r="AD14" s="3396"/>
      <c r="AE14" s="3396"/>
      <c r="AF14" s="3396"/>
      <c r="AG14" s="3396"/>
      <c r="AH14" s="3396"/>
      <c r="AI14" s="3396"/>
      <c r="AJ14" s="3396"/>
      <c r="AK14" s="3396"/>
      <c r="AL14" s="3396"/>
      <c r="AM14" s="3396"/>
      <c r="AN14" s="3396"/>
      <c r="AO14" s="3414"/>
      <c r="AP14" s="3414"/>
      <c r="AQ14" s="3399"/>
    </row>
    <row r="15" spans="1:62" s="888" customFormat="1" ht="36" customHeight="1" x14ac:dyDescent="0.2">
      <c r="A15" s="1368"/>
      <c r="B15" s="1369"/>
      <c r="C15" s="1370"/>
      <c r="D15" s="1383"/>
      <c r="E15" s="1384"/>
      <c r="F15" s="1384"/>
      <c r="G15" s="1383"/>
      <c r="H15" s="1384"/>
      <c r="I15" s="1384"/>
      <c r="J15" s="3410"/>
      <c r="K15" s="3411"/>
      <c r="L15" s="3411"/>
      <c r="M15" s="3410"/>
      <c r="N15" s="1386" t="s">
        <v>1659</v>
      </c>
      <c r="O15" s="3416"/>
      <c r="P15" s="3407"/>
      <c r="Q15" s="1387">
        <f>+V15/R12</f>
        <v>0.24704286460025351</v>
      </c>
      <c r="R15" s="3405"/>
      <c r="S15" s="3407"/>
      <c r="T15" s="3399"/>
      <c r="U15" s="3403"/>
      <c r="V15" s="1388">
        <v>331574677</v>
      </c>
      <c r="W15" s="1389">
        <v>4</v>
      </c>
      <c r="X15" s="1390" t="s">
        <v>1660</v>
      </c>
      <c r="Y15" s="3396"/>
      <c r="Z15" s="3396"/>
      <c r="AA15" s="3396"/>
      <c r="AB15" s="3396"/>
      <c r="AC15" s="3396"/>
      <c r="AD15" s="3396"/>
      <c r="AE15" s="3396"/>
      <c r="AF15" s="3396"/>
      <c r="AG15" s="3396"/>
      <c r="AH15" s="3396"/>
      <c r="AI15" s="3396"/>
      <c r="AJ15" s="3396"/>
      <c r="AK15" s="3396"/>
      <c r="AL15" s="3396"/>
      <c r="AM15" s="3396"/>
      <c r="AN15" s="3396"/>
      <c r="AO15" s="3414"/>
      <c r="AP15" s="3414"/>
      <c r="AQ15" s="3399"/>
    </row>
    <row r="16" spans="1:62" s="888" customFormat="1" ht="137.25" customHeight="1" x14ac:dyDescent="0.2">
      <c r="A16" s="1368"/>
      <c r="B16" s="1369"/>
      <c r="C16" s="1370"/>
      <c r="D16" s="1383"/>
      <c r="E16" s="1384"/>
      <c r="F16" s="1384"/>
      <c r="G16" s="1383"/>
      <c r="H16" s="1384"/>
      <c r="I16" s="1384"/>
      <c r="J16" s="1386">
        <v>203</v>
      </c>
      <c r="K16" s="1392" t="s">
        <v>1661</v>
      </c>
      <c r="L16" s="1392" t="s">
        <v>1662</v>
      </c>
      <c r="M16" s="1386">
        <v>20</v>
      </c>
      <c r="N16" s="1386" t="s">
        <v>1663</v>
      </c>
      <c r="O16" s="3409"/>
      <c r="P16" s="3403"/>
      <c r="Q16" s="1387">
        <f>+V16/R12</f>
        <v>0.12516999678127588</v>
      </c>
      <c r="R16" s="3406"/>
      <c r="S16" s="3403"/>
      <c r="T16" s="3400"/>
      <c r="U16" s="1393" t="s">
        <v>1664</v>
      </c>
      <c r="V16" s="1394">
        <v>168000000</v>
      </c>
      <c r="W16" s="1389">
        <v>4</v>
      </c>
      <c r="X16" s="1390" t="s">
        <v>1660</v>
      </c>
      <c r="Y16" s="3397"/>
      <c r="Z16" s="3397"/>
      <c r="AA16" s="3397"/>
      <c r="AB16" s="3397"/>
      <c r="AC16" s="3397"/>
      <c r="AD16" s="3397"/>
      <c r="AE16" s="3397"/>
      <c r="AF16" s="3397"/>
      <c r="AG16" s="3397"/>
      <c r="AH16" s="3397"/>
      <c r="AI16" s="3397"/>
      <c r="AJ16" s="3397"/>
      <c r="AK16" s="3397"/>
      <c r="AL16" s="3397"/>
      <c r="AM16" s="3397"/>
      <c r="AN16" s="3397"/>
      <c r="AO16" s="3415"/>
      <c r="AP16" s="3415"/>
      <c r="AQ16" s="3400"/>
    </row>
    <row r="17" spans="1:43" s="888" customFormat="1" ht="23.25" customHeight="1" x14ac:dyDescent="0.2">
      <c r="A17" s="1368"/>
      <c r="B17" s="1369"/>
      <c r="C17" s="1370"/>
      <c r="D17" s="1383"/>
      <c r="E17" s="1384"/>
      <c r="F17" s="1384"/>
      <c r="G17" s="1373">
        <v>69</v>
      </c>
      <c r="H17" s="1374" t="s">
        <v>1665</v>
      </c>
      <c r="I17" s="1374"/>
      <c r="J17" s="1374"/>
      <c r="K17" s="1375"/>
      <c r="L17" s="1374"/>
      <c r="M17" s="1374"/>
      <c r="N17" s="1374"/>
      <c r="O17" s="1376"/>
      <c r="P17" s="1375"/>
      <c r="Q17" s="1377"/>
      <c r="R17" s="1378"/>
      <c r="S17" s="1375" t="s">
        <v>303</v>
      </c>
      <c r="T17" s="1375" t="s">
        <v>303</v>
      </c>
      <c r="U17" s="1375"/>
      <c r="V17" s="1379"/>
      <c r="W17" s="1380"/>
      <c r="X17" s="1376"/>
      <c r="Y17" s="1395"/>
      <c r="Z17" s="1395"/>
      <c r="AA17" s="1395"/>
      <c r="AB17" s="1395"/>
      <c r="AC17" s="1395"/>
      <c r="AD17" s="1395"/>
      <c r="AE17" s="1395"/>
      <c r="AF17" s="1395"/>
      <c r="AG17" s="1395"/>
      <c r="AH17" s="1395"/>
      <c r="AI17" s="1395"/>
      <c r="AJ17" s="1395"/>
      <c r="AK17" s="1395"/>
      <c r="AL17" s="1395"/>
      <c r="AM17" s="1395"/>
      <c r="AN17" s="1395"/>
      <c r="AO17" s="1381"/>
      <c r="AP17" s="1381"/>
      <c r="AQ17" s="1396"/>
    </row>
    <row r="18" spans="1:43" s="888" customFormat="1" ht="69" customHeight="1" x14ac:dyDescent="0.2">
      <c r="A18" s="1368"/>
      <c r="B18" s="1369"/>
      <c r="C18" s="1370"/>
      <c r="D18" s="1383"/>
      <c r="E18" s="1384"/>
      <c r="F18" s="1384"/>
      <c r="G18" s="1383"/>
      <c r="H18" s="1384"/>
      <c r="I18" s="1384"/>
      <c r="J18" s="3410">
        <v>204</v>
      </c>
      <c r="K18" s="3411" t="s">
        <v>1666</v>
      </c>
      <c r="L18" s="3412" t="s">
        <v>1667</v>
      </c>
      <c r="M18" s="3408">
        <v>13</v>
      </c>
      <c r="N18" s="1386" t="s">
        <v>1668</v>
      </c>
      <c r="O18" s="3408" t="s">
        <v>1647</v>
      </c>
      <c r="P18" s="3402" t="s">
        <v>1648</v>
      </c>
      <c r="Q18" s="1387">
        <f>+V18/R18</f>
        <v>0.64747356051703875</v>
      </c>
      <c r="R18" s="3404">
        <f>SUM(V18:V19)</f>
        <v>170200000</v>
      </c>
      <c r="S18" s="3402" t="s">
        <v>1649</v>
      </c>
      <c r="T18" s="3402" t="s">
        <v>1650</v>
      </c>
      <c r="U18" s="3402" t="s">
        <v>1669</v>
      </c>
      <c r="V18" s="1388">
        <v>110200000</v>
      </c>
      <c r="W18" s="1389">
        <v>4</v>
      </c>
      <c r="X18" s="1390" t="s">
        <v>1660</v>
      </c>
      <c r="Y18" s="3395">
        <f>+Y12</f>
        <v>648</v>
      </c>
      <c r="Z18" s="3395">
        <f>+Z12</f>
        <v>625</v>
      </c>
      <c r="AA18" s="3395">
        <f>+AA12</f>
        <v>325</v>
      </c>
      <c r="AB18" s="3395">
        <f>+AB12</f>
        <v>325</v>
      </c>
      <c r="AC18" s="3395">
        <f>+AC12</f>
        <v>548</v>
      </c>
      <c r="AD18" s="3395"/>
      <c r="AE18" s="3395"/>
      <c r="AF18" s="3395"/>
      <c r="AG18" s="3395"/>
      <c r="AH18" s="3395"/>
      <c r="AI18" s="3395"/>
      <c r="AJ18" s="3395"/>
      <c r="AK18" s="3395">
        <f>+AK12</f>
        <v>75</v>
      </c>
      <c r="AL18" s="3395"/>
      <c r="AM18" s="3395"/>
      <c r="AN18" s="3395">
        <f>+AN12</f>
        <v>1273</v>
      </c>
      <c r="AO18" s="3413">
        <v>43101</v>
      </c>
      <c r="AP18" s="3413">
        <f>+AP12</f>
        <v>43465</v>
      </c>
      <c r="AQ18" s="3398" t="s">
        <v>1653</v>
      </c>
    </row>
    <row r="19" spans="1:43" s="888" customFormat="1" ht="51.75" customHeight="1" x14ac:dyDescent="0.2">
      <c r="A19" s="1368"/>
      <c r="B19" s="1369"/>
      <c r="C19" s="1370"/>
      <c r="D19" s="1383"/>
      <c r="E19" s="1384"/>
      <c r="F19" s="1384"/>
      <c r="G19" s="1383"/>
      <c r="H19" s="1384"/>
      <c r="I19" s="1384"/>
      <c r="J19" s="3410"/>
      <c r="K19" s="3411"/>
      <c r="L19" s="3412"/>
      <c r="M19" s="3409"/>
      <c r="N19" s="1386" t="s">
        <v>1670</v>
      </c>
      <c r="O19" s="3409"/>
      <c r="P19" s="3403"/>
      <c r="Q19" s="1387">
        <f>+V19/R18</f>
        <v>0.3525264394829612</v>
      </c>
      <c r="R19" s="3406"/>
      <c r="S19" s="3403"/>
      <c r="T19" s="3403" t="s">
        <v>303</v>
      </c>
      <c r="U19" s="3403"/>
      <c r="V19" s="1388">
        <v>60000000</v>
      </c>
      <c r="W19" s="1389">
        <v>12</v>
      </c>
      <c r="X19" s="1390" t="s">
        <v>1652</v>
      </c>
      <c r="Y19" s="3397"/>
      <c r="Z19" s="3397"/>
      <c r="AA19" s="3397"/>
      <c r="AB19" s="3397"/>
      <c r="AC19" s="3397"/>
      <c r="AD19" s="3397"/>
      <c r="AE19" s="3397"/>
      <c r="AF19" s="3397"/>
      <c r="AG19" s="3397"/>
      <c r="AH19" s="3397"/>
      <c r="AI19" s="3397"/>
      <c r="AJ19" s="3397"/>
      <c r="AK19" s="3397"/>
      <c r="AL19" s="3397"/>
      <c r="AM19" s="3397"/>
      <c r="AN19" s="3397"/>
      <c r="AO19" s="3414"/>
      <c r="AP19" s="3414"/>
      <c r="AQ19" s="3399"/>
    </row>
    <row r="20" spans="1:43" s="888" customFormat="1" ht="23.25" customHeight="1" x14ac:dyDescent="0.2">
      <c r="A20" s="1368"/>
      <c r="B20" s="1369"/>
      <c r="C20" s="1370"/>
      <c r="D20" s="1383"/>
      <c r="E20" s="1384"/>
      <c r="F20" s="1384"/>
      <c r="G20" s="1373">
        <v>70</v>
      </c>
      <c r="H20" s="1374" t="s">
        <v>1671</v>
      </c>
      <c r="I20" s="1374"/>
      <c r="J20" s="1374"/>
      <c r="K20" s="1375"/>
      <c r="L20" s="1374"/>
      <c r="M20" s="1374"/>
      <c r="N20" s="1374"/>
      <c r="O20" s="1376"/>
      <c r="P20" s="1375"/>
      <c r="Q20" s="1377"/>
      <c r="R20" s="1378"/>
      <c r="S20" s="1375" t="s">
        <v>303</v>
      </c>
      <c r="T20" s="1375" t="s">
        <v>303</v>
      </c>
      <c r="U20" s="1375"/>
      <c r="V20" s="1379"/>
      <c r="W20" s="1380"/>
      <c r="X20" s="1376"/>
      <c r="Y20" s="1395"/>
      <c r="Z20" s="1395"/>
      <c r="AA20" s="1395"/>
      <c r="AB20" s="1395"/>
      <c r="AC20" s="1395"/>
      <c r="AD20" s="1395"/>
      <c r="AE20" s="1395"/>
      <c r="AF20" s="1395"/>
      <c r="AG20" s="1395"/>
      <c r="AH20" s="1395"/>
      <c r="AI20" s="1395"/>
      <c r="AJ20" s="1395"/>
      <c r="AK20" s="1395"/>
      <c r="AL20" s="1395"/>
      <c r="AM20" s="1395"/>
      <c r="AN20" s="1395"/>
      <c r="AO20" s="1381"/>
      <c r="AP20" s="1381"/>
      <c r="AQ20" s="1396"/>
    </row>
    <row r="21" spans="1:43" s="888" customFormat="1" ht="42.75" customHeight="1" x14ac:dyDescent="0.2">
      <c r="A21" s="1368"/>
      <c r="B21" s="1369"/>
      <c r="C21" s="1370"/>
      <c r="D21" s="1383"/>
      <c r="E21" s="1384"/>
      <c r="F21" s="1384"/>
      <c r="G21" s="1383"/>
      <c r="H21" s="1384"/>
      <c r="I21" s="1384"/>
      <c r="J21" s="3410">
        <v>205</v>
      </c>
      <c r="K21" s="3411" t="s">
        <v>1672</v>
      </c>
      <c r="L21" s="3417" t="s">
        <v>1673</v>
      </c>
      <c r="M21" s="3410">
        <v>1</v>
      </c>
      <c r="N21" s="1386" t="s">
        <v>1674</v>
      </c>
      <c r="O21" s="3410" t="s">
        <v>1675</v>
      </c>
      <c r="P21" s="3411" t="s">
        <v>1676</v>
      </c>
      <c r="Q21" s="1387">
        <f>+V21/R21</f>
        <v>0.31182503530384442</v>
      </c>
      <c r="R21" s="3419">
        <v>420107384.49000001</v>
      </c>
      <c r="S21" s="3402" t="s">
        <v>1677</v>
      </c>
      <c r="T21" s="3402" t="s">
        <v>1678</v>
      </c>
      <c r="U21" s="3402" t="s">
        <v>1679</v>
      </c>
      <c r="V21" s="1388">
        <v>131000000</v>
      </c>
      <c r="W21" s="1389">
        <v>12</v>
      </c>
      <c r="X21" s="1390" t="s">
        <v>1652</v>
      </c>
      <c r="Y21" s="3418">
        <v>4002</v>
      </c>
      <c r="Z21" s="3418">
        <v>6013</v>
      </c>
      <c r="AA21" s="3418">
        <v>4164</v>
      </c>
      <c r="AB21" s="3418">
        <v>5851</v>
      </c>
      <c r="AC21" s="3418"/>
      <c r="AD21" s="3418"/>
      <c r="AE21" s="3418"/>
      <c r="AF21" s="3418"/>
      <c r="AG21" s="3418"/>
      <c r="AH21" s="3418"/>
      <c r="AI21" s="3418"/>
      <c r="AJ21" s="3418"/>
      <c r="AK21" s="3418"/>
      <c r="AL21" s="3418"/>
      <c r="AM21" s="3418"/>
      <c r="AN21" s="3418">
        <v>10015</v>
      </c>
      <c r="AO21" s="3420">
        <v>43101</v>
      </c>
      <c r="AP21" s="3420">
        <v>43465</v>
      </c>
      <c r="AQ21" s="3421" t="s">
        <v>1653</v>
      </c>
    </row>
    <row r="22" spans="1:43" s="888" customFormat="1" ht="38.25" customHeight="1" x14ac:dyDescent="0.2">
      <c r="A22" s="1368"/>
      <c r="B22" s="1369"/>
      <c r="C22" s="1370"/>
      <c r="D22" s="1383"/>
      <c r="E22" s="1384"/>
      <c r="F22" s="1384"/>
      <c r="G22" s="1383"/>
      <c r="H22" s="1384"/>
      <c r="I22" s="1384"/>
      <c r="J22" s="3410"/>
      <c r="K22" s="3411"/>
      <c r="L22" s="3417"/>
      <c r="M22" s="3410"/>
      <c r="N22" s="1386" t="s">
        <v>1680</v>
      </c>
      <c r="O22" s="3410"/>
      <c r="P22" s="3411"/>
      <c r="Q22" s="1387">
        <f>+V22/R21</f>
        <v>0.1904275024756302</v>
      </c>
      <c r="R22" s="3419"/>
      <c r="S22" s="3407"/>
      <c r="T22" s="3407" t="s">
        <v>303</v>
      </c>
      <c r="U22" s="3407"/>
      <c r="V22" s="1388">
        <v>80000000</v>
      </c>
      <c r="W22" s="1389">
        <v>4</v>
      </c>
      <c r="X22" s="1390" t="s">
        <v>1660</v>
      </c>
      <c r="Y22" s="3418"/>
      <c r="Z22" s="3418"/>
      <c r="AA22" s="3418"/>
      <c r="AB22" s="3418"/>
      <c r="AC22" s="3418"/>
      <c r="AD22" s="3418"/>
      <c r="AE22" s="3418"/>
      <c r="AF22" s="3418"/>
      <c r="AG22" s="3418"/>
      <c r="AH22" s="3418"/>
      <c r="AI22" s="3418"/>
      <c r="AJ22" s="3418"/>
      <c r="AK22" s="3418"/>
      <c r="AL22" s="3418"/>
      <c r="AM22" s="3418"/>
      <c r="AN22" s="3418"/>
      <c r="AO22" s="3420"/>
      <c r="AP22" s="3420"/>
      <c r="AQ22" s="3421"/>
    </row>
    <row r="23" spans="1:43" s="888" customFormat="1" ht="38.25" customHeight="1" x14ac:dyDescent="0.2">
      <c r="A23" s="1368"/>
      <c r="B23" s="1369"/>
      <c r="C23" s="1370"/>
      <c r="D23" s="1383"/>
      <c r="E23" s="1384"/>
      <c r="F23" s="1384"/>
      <c r="G23" s="1383"/>
      <c r="H23" s="1384"/>
      <c r="I23" s="1384"/>
      <c r="J23" s="3410"/>
      <c r="K23" s="3411"/>
      <c r="L23" s="3417"/>
      <c r="M23" s="3410"/>
      <c r="N23" s="1386" t="s">
        <v>1681</v>
      </c>
      <c r="O23" s="3410"/>
      <c r="P23" s="3411"/>
      <c r="Q23" s="1387">
        <f>+V23/R21</f>
        <v>0.26631224924984176</v>
      </c>
      <c r="R23" s="3419"/>
      <c r="S23" s="3407"/>
      <c r="T23" s="3407"/>
      <c r="U23" s="3407"/>
      <c r="V23" s="1388">
        <v>111879742.48999999</v>
      </c>
      <c r="W23" s="1389">
        <v>6</v>
      </c>
      <c r="X23" s="1390" t="s">
        <v>1655</v>
      </c>
      <c r="Y23" s="3418"/>
      <c r="Z23" s="3418"/>
      <c r="AA23" s="3418"/>
      <c r="AB23" s="3418"/>
      <c r="AC23" s="3418"/>
      <c r="AD23" s="3418"/>
      <c r="AE23" s="3418"/>
      <c r="AF23" s="3418"/>
      <c r="AG23" s="3418"/>
      <c r="AH23" s="3418"/>
      <c r="AI23" s="3418"/>
      <c r="AJ23" s="3418"/>
      <c r="AK23" s="3418"/>
      <c r="AL23" s="3418"/>
      <c r="AM23" s="3418"/>
      <c r="AN23" s="3418"/>
      <c r="AO23" s="3420"/>
      <c r="AP23" s="3420"/>
      <c r="AQ23" s="3421"/>
    </row>
    <row r="24" spans="1:43" s="888" customFormat="1" ht="42" customHeight="1" x14ac:dyDescent="0.2">
      <c r="A24" s="1368"/>
      <c r="B24" s="1369"/>
      <c r="C24" s="1370"/>
      <c r="D24" s="1383"/>
      <c r="E24" s="1384"/>
      <c r="F24" s="1384"/>
      <c r="G24" s="1383"/>
      <c r="H24" s="1384"/>
      <c r="I24" s="1384"/>
      <c r="J24" s="3410"/>
      <c r="K24" s="3411"/>
      <c r="L24" s="3417"/>
      <c r="M24" s="3410"/>
      <c r="N24" s="1386" t="s">
        <v>1682</v>
      </c>
      <c r="O24" s="3410"/>
      <c r="P24" s="3411"/>
      <c r="Q24" s="1387">
        <f>+V24/R21</f>
        <v>0.23143521297068356</v>
      </c>
      <c r="R24" s="3419"/>
      <c r="S24" s="3403"/>
      <c r="T24" s="3403" t="s">
        <v>303</v>
      </c>
      <c r="U24" s="3403"/>
      <c r="V24" s="1388">
        <v>97227642</v>
      </c>
      <c r="W24" s="1389">
        <v>7</v>
      </c>
      <c r="X24" s="1390" t="s">
        <v>1683</v>
      </c>
      <c r="Y24" s="3418"/>
      <c r="Z24" s="3418"/>
      <c r="AA24" s="3418"/>
      <c r="AB24" s="3418"/>
      <c r="AC24" s="3418"/>
      <c r="AD24" s="3418"/>
      <c r="AE24" s="3418"/>
      <c r="AF24" s="3418"/>
      <c r="AG24" s="3418"/>
      <c r="AH24" s="3418"/>
      <c r="AI24" s="3418"/>
      <c r="AJ24" s="3418"/>
      <c r="AK24" s="3418"/>
      <c r="AL24" s="3418"/>
      <c r="AM24" s="3418"/>
      <c r="AN24" s="3418"/>
      <c r="AO24" s="3420"/>
      <c r="AP24" s="3420"/>
      <c r="AQ24" s="3421"/>
    </row>
    <row r="25" spans="1:43" s="888" customFormat="1" ht="23.25" customHeight="1" x14ac:dyDescent="0.2">
      <c r="A25" s="1368"/>
      <c r="B25" s="1369"/>
      <c r="C25" s="1370"/>
      <c r="D25" s="1383"/>
      <c r="E25" s="1384"/>
      <c r="F25" s="1384"/>
      <c r="G25" s="1373">
        <v>71</v>
      </c>
      <c r="H25" s="1374" t="s">
        <v>1684</v>
      </c>
      <c r="I25" s="1374"/>
      <c r="J25" s="1374"/>
      <c r="K25" s="1375"/>
      <c r="L25" s="1374"/>
      <c r="M25" s="1374"/>
      <c r="N25" s="1374"/>
      <c r="O25" s="1376"/>
      <c r="P25" s="1375"/>
      <c r="Q25" s="1377"/>
      <c r="R25" s="1378"/>
      <c r="S25" s="1375" t="s">
        <v>303</v>
      </c>
      <c r="T25" s="1375" t="s">
        <v>303</v>
      </c>
      <c r="U25" s="1375"/>
      <c r="V25" s="1379"/>
      <c r="W25" s="1380"/>
      <c r="X25" s="1376"/>
      <c r="Y25" s="1395"/>
      <c r="Z25" s="1395"/>
      <c r="AA25" s="1395"/>
      <c r="AB25" s="1395"/>
      <c r="AC25" s="1395"/>
      <c r="AD25" s="1395"/>
      <c r="AE25" s="1395"/>
      <c r="AF25" s="1395"/>
      <c r="AG25" s="1395"/>
      <c r="AH25" s="1395"/>
      <c r="AI25" s="1395"/>
      <c r="AJ25" s="1395"/>
      <c r="AK25" s="1395"/>
      <c r="AL25" s="1395"/>
      <c r="AM25" s="1395"/>
      <c r="AN25" s="1395"/>
      <c r="AO25" s="1381"/>
      <c r="AP25" s="1381"/>
      <c r="AQ25" s="1396"/>
    </row>
    <row r="26" spans="1:43" s="888" customFormat="1" ht="48.75" customHeight="1" x14ac:dyDescent="0.2">
      <c r="A26" s="1368"/>
      <c r="B26" s="1369"/>
      <c r="C26" s="1370"/>
      <c r="D26" s="1383"/>
      <c r="E26" s="1384"/>
      <c r="F26" s="1384"/>
      <c r="G26" s="1383"/>
      <c r="H26" s="1384"/>
      <c r="I26" s="1384"/>
      <c r="J26" s="3408">
        <v>206</v>
      </c>
      <c r="K26" s="3422" t="s">
        <v>1685</v>
      </c>
      <c r="L26" s="3424" t="s">
        <v>1686</v>
      </c>
      <c r="M26" s="3408">
        <v>12</v>
      </c>
      <c r="N26" s="1386" t="s">
        <v>1687</v>
      </c>
      <c r="O26" s="3408" t="s">
        <v>1688</v>
      </c>
      <c r="P26" s="3402" t="s">
        <v>1689</v>
      </c>
      <c r="Q26" s="1387">
        <f>+V26/R26</f>
        <v>7.0093907331032046E-2</v>
      </c>
      <c r="R26" s="3419">
        <f>SUM(V26:V34)</f>
        <v>855994512</v>
      </c>
      <c r="S26" s="3402" t="s">
        <v>1690</v>
      </c>
      <c r="T26" s="3402" t="s">
        <v>1691</v>
      </c>
      <c r="U26" s="3402" t="s">
        <v>1692</v>
      </c>
      <c r="V26" s="1391">
        <v>60000000</v>
      </c>
      <c r="W26" s="1397">
        <v>12</v>
      </c>
      <c r="X26" s="1386" t="s">
        <v>1652</v>
      </c>
      <c r="Y26" s="3395">
        <v>3153</v>
      </c>
      <c r="Z26" s="3395">
        <v>4014</v>
      </c>
      <c r="AA26" s="3395">
        <v>594</v>
      </c>
      <c r="AB26" s="3395">
        <v>4607</v>
      </c>
      <c r="AC26" s="3395"/>
      <c r="AD26" s="3395"/>
      <c r="AE26" s="3395"/>
      <c r="AF26" s="3395"/>
      <c r="AG26" s="3395"/>
      <c r="AH26" s="3395"/>
      <c r="AI26" s="3395"/>
      <c r="AJ26" s="3395"/>
      <c r="AK26" s="3395"/>
      <c r="AL26" s="3395"/>
      <c r="AM26" s="3395"/>
      <c r="AN26" s="3395">
        <v>1483</v>
      </c>
      <c r="AO26" s="3413">
        <v>43101</v>
      </c>
      <c r="AP26" s="3413">
        <v>43465</v>
      </c>
      <c r="AQ26" s="3426" t="s">
        <v>1653</v>
      </c>
    </row>
    <row r="27" spans="1:43" s="888" customFormat="1" ht="48.75" customHeight="1" x14ac:dyDescent="0.2">
      <c r="A27" s="1368"/>
      <c r="B27" s="1369"/>
      <c r="C27" s="1370"/>
      <c r="D27" s="1383"/>
      <c r="E27" s="1384"/>
      <c r="F27" s="1384"/>
      <c r="G27" s="1383"/>
      <c r="H27" s="1384"/>
      <c r="I27" s="1384"/>
      <c r="J27" s="3409"/>
      <c r="K27" s="3423"/>
      <c r="L27" s="3425"/>
      <c r="M27" s="3409"/>
      <c r="N27" s="1386" t="s">
        <v>1693</v>
      </c>
      <c r="O27" s="3416"/>
      <c r="P27" s="3407"/>
      <c r="Q27" s="1387">
        <f>+V27/R26</f>
        <v>1.7523476832758011E-2</v>
      </c>
      <c r="R27" s="3419"/>
      <c r="S27" s="3407"/>
      <c r="T27" s="3407"/>
      <c r="U27" s="3403"/>
      <c r="V27" s="1391">
        <v>15000000</v>
      </c>
      <c r="W27" s="1397">
        <v>6</v>
      </c>
      <c r="X27" s="1386" t="s">
        <v>1694</v>
      </c>
      <c r="Y27" s="3396"/>
      <c r="Z27" s="3396"/>
      <c r="AA27" s="3396"/>
      <c r="AB27" s="3396"/>
      <c r="AC27" s="3396"/>
      <c r="AD27" s="3396"/>
      <c r="AE27" s="3396"/>
      <c r="AF27" s="3396"/>
      <c r="AG27" s="3396"/>
      <c r="AH27" s="3396"/>
      <c r="AI27" s="3396"/>
      <c r="AJ27" s="3396"/>
      <c r="AK27" s="3396"/>
      <c r="AL27" s="3396"/>
      <c r="AM27" s="3396"/>
      <c r="AN27" s="3396"/>
      <c r="AO27" s="3414"/>
      <c r="AP27" s="3414"/>
      <c r="AQ27" s="3427"/>
    </row>
    <row r="28" spans="1:43" s="888" customFormat="1" ht="64.5" customHeight="1" x14ac:dyDescent="0.2">
      <c r="A28" s="1368"/>
      <c r="B28" s="1369"/>
      <c r="C28" s="1370"/>
      <c r="D28" s="1383"/>
      <c r="E28" s="1384"/>
      <c r="F28" s="1384"/>
      <c r="G28" s="1383"/>
      <c r="H28" s="1384"/>
      <c r="I28" s="1384"/>
      <c r="J28" s="3408">
        <v>207</v>
      </c>
      <c r="K28" s="3422" t="s">
        <v>1695</v>
      </c>
      <c r="L28" s="3424" t="s">
        <v>1696</v>
      </c>
      <c r="M28" s="3408">
        <v>1</v>
      </c>
      <c r="N28" s="1386" t="s">
        <v>1697</v>
      </c>
      <c r="O28" s="3416"/>
      <c r="P28" s="3407"/>
      <c r="Q28" s="1387">
        <f>+V28/R26</f>
        <v>0.11682317888505342</v>
      </c>
      <c r="R28" s="3419"/>
      <c r="S28" s="3407"/>
      <c r="T28" s="3407" t="s">
        <v>303</v>
      </c>
      <c r="U28" s="3402" t="s">
        <v>1698</v>
      </c>
      <c r="V28" s="1391">
        <v>100000000</v>
      </c>
      <c r="W28" s="1397">
        <v>12</v>
      </c>
      <c r="X28" s="1386" t="s">
        <v>1652</v>
      </c>
      <c r="Y28" s="3396"/>
      <c r="Z28" s="3396"/>
      <c r="AA28" s="3396"/>
      <c r="AB28" s="3396"/>
      <c r="AC28" s="3396"/>
      <c r="AD28" s="3396"/>
      <c r="AE28" s="3396"/>
      <c r="AF28" s="3396"/>
      <c r="AG28" s="3396"/>
      <c r="AH28" s="3396"/>
      <c r="AI28" s="3396"/>
      <c r="AJ28" s="3396"/>
      <c r="AK28" s="3396"/>
      <c r="AL28" s="3396"/>
      <c r="AM28" s="3396"/>
      <c r="AN28" s="3396"/>
      <c r="AO28" s="3414"/>
      <c r="AP28" s="3414"/>
      <c r="AQ28" s="3427"/>
    </row>
    <row r="29" spans="1:43" s="888" customFormat="1" ht="49.5" customHeight="1" x14ac:dyDescent="0.2">
      <c r="A29" s="1368"/>
      <c r="B29" s="1369"/>
      <c r="C29" s="1370"/>
      <c r="D29" s="1383"/>
      <c r="E29" s="1384"/>
      <c r="F29" s="1384"/>
      <c r="G29" s="1383"/>
      <c r="H29" s="1384"/>
      <c r="I29" s="1384"/>
      <c r="J29" s="3416"/>
      <c r="K29" s="3429"/>
      <c r="L29" s="3430"/>
      <c r="M29" s="3416"/>
      <c r="N29" s="1386" t="s">
        <v>1699</v>
      </c>
      <c r="O29" s="3416"/>
      <c r="P29" s="3407"/>
      <c r="Q29" s="1387">
        <f>+V29/R26</f>
        <v>3.7649961008161231E-2</v>
      </c>
      <c r="R29" s="3419"/>
      <c r="S29" s="3407"/>
      <c r="T29" s="3407"/>
      <c r="U29" s="3407"/>
      <c r="V29" s="1391">
        <v>32228160</v>
      </c>
      <c r="W29" s="1397">
        <v>11</v>
      </c>
      <c r="X29" s="1386" t="s">
        <v>1700</v>
      </c>
      <c r="Y29" s="3396"/>
      <c r="Z29" s="3396"/>
      <c r="AA29" s="3396"/>
      <c r="AB29" s="3396"/>
      <c r="AC29" s="3396"/>
      <c r="AD29" s="3396"/>
      <c r="AE29" s="3396"/>
      <c r="AF29" s="3396"/>
      <c r="AG29" s="3396"/>
      <c r="AH29" s="3396"/>
      <c r="AI29" s="3396"/>
      <c r="AJ29" s="3396"/>
      <c r="AK29" s="3396"/>
      <c r="AL29" s="3396"/>
      <c r="AM29" s="3396"/>
      <c r="AN29" s="3396"/>
      <c r="AO29" s="3414"/>
      <c r="AP29" s="3414"/>
      <c r="AQ29" s="3427"/>
    </row>
    <row r="30" spans="1:43" s="888" customFormat="1" ht="49.5" customHeight="1" x14ac:dyDescent="0.2">
      <c r="A30" s="1368"/>
      <c r="B30" s="1369"/>
      <c r="C30" s="1370"/>
      <c r="D30" s="1383"/>
      <c r="E30" s="1384"/>
      <c r="F30" s="1384"/>
      <c r="G30" s="1383"/>
      <c r="H30" s="1384"/>
      <c r="I30" s="1384"/>
      <c r="J30" s="3416"/>
      <c r="K30" s="3429"/>
      <c r="L30" s="3430"/>
      <c r="M30" s="3416"/>
      <c r="N30" s="1398" t="s">
        <v>1701</v>
      </c>
      <c r="O30" s="3416"/>
      <c r="P30" s="3407"/>
      <c r="Q30" s="1387">
        <f>+V30/R26</f>
        <v>0.37239298562231904</v>
      </c>
      <c r="R30" s="3419"/>
      <c r="S30" s="3407"/>
      <c r="T30" s="3407"/>
      <c r="U30" s="3407"/>
      <c r="V30" s="1391">
        <v>318766352</v>
      </c>
      <c r="W30" s="1397">
        <v>13</v>
      </c>
      <c r="X30" s="1386" t="s">
        <v>1702</v>
      </c>
      <c r="Y30" s="3396"/>
      <c r="Z30" s="3396"/>
      <c r="AA30" s="3396"/>
      <c r="AB30" s="3396"/>
      <c r="AC30" s="3396"/>
      <c r="AD30" s="3396"/>
      <c r="AE30" s="3396"/>
      <c r="AF30" s="3396"/>
      <c r="AG30" s="3396"/>
      <c r="AH30" s="3396"/>
      <c r="AI30" s="3396"/>
      <c r="AJ30" s="3396"/>
      <c r="AK30" s="3396"/>
      <c r="AL30" s="3396"/>
      <c r="AM30" s="3396"/>
      <c r="AN30" s="3396"/>
      <c r="AO30" s="3414"/>
      <c r="AP30" s="3414"/>
      <c r="AQ30" s="3427"/>
    </row>
    <row r="31" spans="1:43" s="888" customFormat="1" ht="48" customHeight="1" x14ac:dyDescent="0.2">
      <c r="A31" s="1368"/>
      <c r="B31" s="1369"/>
      <c r="C31" s="1370"/>
      <c r="D31" s="1383"/>
      <c r="E31" s="1384"/>
      <c r="F31" s="1384"/>
      <c r="G31" s="1383"/>
      <c r="H31" s="1384"/>
      <c r="I31" s="1384"/>
      <c r="J31" s="3409"/>
      <c r="K31" s="3423"/>
      <c r="L31" s="3425"/>
      <c r="M31" s="3409"/>
      <c r="N31" s="1386" t="s">
        <v>1703</v>
      </c>
      <c r="O31" s="3416"/>
      <c r="P31" s="3407"/>
      <c r="Q31" s="1387">
        <f>+V31/R26</f>
        <v>0.25116983460286485</v>
      </c>
      <c r="R31" s="3419"/>
      <c r="S31" s="3407"/>
      <c r="T31" s="3407"/>
      <c r="U31" s="3403"/>
      <c r="V31" s="1391">
        <v>215000000</v>
      </c>
      <c r="W31" s="1397">
        <v>6</v>
      </c>
      <c r="X31" s="1386" t="s">
        <v>1704</v>
      </c>
      <c r="Y31" s="3396"/>
      <c r="Z31" s="3396"/>
      <c r="AA31" s="3396"/>
      <c r="AB31" s="3396"/>
      <c r="AC31" s="3396"/>
      <c r="AD31" s="3396"/>
      <c r="AE31" s="3396"/>
      <c r="AF31" s="3396"/>
      <c r="AG31" s="3396"/>
      <c r="AH31" s="3396"/>
      <c r="AI31" s="3396"/>
      <c r="AJ31" s="3396"/>
      <c r="AK31" s="3396"/>
      <c r="AL31" s="3396"/>
      <c r="AM31" s="3396"/>
      <c r="AN31" s="3396"/>
      <c r="AO31" s="3414"/>
      <c r="AP31" s="3414"/>
      <c r="AQ31" s="3427"/>
    </row>
    <row r="32" spans="1:43" s="888" customFormat="1" ht="51.75" customHeight="1" x14ac:dyDescent="0.2">
      <c r="A32" s="1368"/>
      <c r="B32" s="1369"/>
      <c r="C32" s="1370"/>
      <c r="D32" s="1383"/>
      <c r="E32" s="1384"/>
      <c r="F32" s="1384"/>
      <c r="G32" s="1383"/>
      <c r="H32" s="1384"/>
      <c r="I32" s="1384"/>
      <c r="J32" s="3410">
        <v>208</v>
      </c>
      <c r="K32" s="3412" t="s">
        <v>1705</v>
      </c>
      <c r="L32" s="3412" t="s">
        <v>1706</v>
      </c>
      <c r="M32" s="3410">
        <v>1</v>
      </c>
      <c r="N32" s="1386" t="s">
        <v>1707</v>
      </c>
      <c r="O32" s="3416"/>
      <c r="P32" s="3407"/>
      <c r="Q32" s="1387">
        <f>+V32/R26</f>
        <v>2.3364635777010683E-2</v>
      </c>
      <c r="R32" s="3419"/>
      <c r="S32" s="3407"/>
      <c r="T32" s="3407" t="s">
        <v>303</v>
      </c>
      <c r="U32" s="3411" t="s">
        <v>1708</v>
      </c>
      <c r="V32" s="1391">
        <v>20000000</v>
      </c>
      <c r="W32" s="1397">
        <v>4</v>
      </c>
      <c r="X32" s="1386" t="s">
        <v>1660</v>
      </c>
      <c r="Y32" s="3396"/>
      <c r="Z32" s="3396"/>
      <c r="AA32" s="3396"/>
      <c r="AB32" s="3396"/>
      <c r="AC32" s="3396"/>
      <c r="AD32" s="3396"/>
      <c r="AE32" s="3396"/>
      <c r="AF32" s="3396"/>
      <c r="AG32" s="3396"/>
      <c r="AH32" s="3396"/>
      <c r="AI32" s="3396"/>
      <c r="AJ32" s="3396"/>
      <c r="AK32" s="3396"/>
      <c r="AL32" s="3396"/>
      <c r="AM32" s="3396"/>
      <c r="AN32" s="3396"/>
      <c r="AO32" s="3414"/>
      <c r="AP32" s="3414"/>
      <c r="AQ32" s="3427"/>
    </row>
    <row r="33" spans="1:43" s="888" customFormat="1" ht="51.75" customHeight="1" x14ac:dyDescent="0.2">
      <c r="A33" s="1368"/>
      <c r="B33" s="1369"/>
      <c r="C33" s="1370"/>
      <c r="D33" s="1383"/>
      <c r="E33" s="1384"/>
      <c r="F33" s="1384"/>
      <c r="G33" s="1383"/>
      <c r="H33" s="1384"/>
      <c r="I33" s="1384"/>
      <c r="J33" s="3410"/>
      <c r="K33" s="3412"/>
      <c r="L33" s="3412"/>
      <c r="M33" s="3410"/>
      <c r="N33" s="1386" t="s">
        <v>1709</v>
      </c>
      <c r="O33" s="3416"/>
      <c r="P33" s="3407"/>
      <c r="Q33" s="1387">
        <f>+V33/R26</f>
        <v>8.1776225219537382E-2</v>
      </c>
      <c r="R33" s="3419"/>
      <c r="S33" s="3407"/>
      <c r="T33" s="3407"/>
      <c r="U33" s="3411"/>
      <c r="V33" s="1391">
        <v>70000000</v>
      </c>
      <c r="W33" s="1397">
        <v>6</v>
      </c>
      <c r="X33" s="1386" t="s">
        <v>1704</v>
      </c>
      <c r="Y33" s="3396"/>
      <c r="Z33" s="3396"/>
      <c r="AA33" s="3396"/>
      <c r="AB33" s="3396"/>
      <c r="AC33" s="3396"/>
      <c r="AD33" s="3396"/>
      <c r="AE33" s="3396"/>
      <c r="AF33" s="3396"/>
      <c r="AG33" s="3396"/>
      <c r="AH33" s="3396"/>
      <c r="AI33" s="3396"/>
      <c r="AJ33" s="3396"/>
      <c r="AK33" s="3396"/>
      <c r="AL33" s="3396"/>
      <c r="AM33" s="3396"/>
      <c r="AN33" s="3396"/>
      <c r="AO33" s="3414"/>
      <c r="AP33" s="3414"/>
      <c r="AQ33" s="3427"/>
    </row>
    <row r="34" spans="1:43" s="888" customFormat="1" ht="48.75" customHeight="1" x14ac:dyDescent="0.2">
      <c r="A34" s="1368"/>
      <c r="B34" s="1369"/>
      <c r="C34" s="1370"/>
      <c r="D34" s="1383"/>
      <c r="E34" s="1384"/>
      <c r="F34" s="1384"/>
      <c r="G34" s="1383"/>
      <c r="H34" s="1384"/>
      <c r="I34" s="1384"/>
      <c r="J34" s="3410"/>
      <c r="K34" s="3412"/>
      <c r="L34" s="3412"/>
      <c r="M34" s="3410"/>
      <c r="N34" s="1386" t="s">
        <v>1710</v>
      </c>
      <c r="O34" s="3409"/>
      <c r="P34" s="3403"/>
      <c r="Q34" s="1387">
        <f>+V34/R26</f>
        <v>2.9205794721263355E-2</v>
      </c>
      <c r="R34" s="3419"/>
      <c r="S34" s="3403"/>
      <c r="T34" s="3403" t="s">
        <v>303</v>
      </c>
      <c r="U34" s="3411"/>
      <c r="V34" s="1391">
        <v>25000000</v>
      </c>
      <c r="W34" s="1397">
        <v>12</v>
      </c>
      <c r="X34" s="1386" t="s">
        <v>1652</v>
      </c>
      <c r="Y34" s="3397"/>
      <c r="Z34" s="3397"/>
      <c r="AA34" s="3397"/>
      <c r="AB34" s="3397"/>
      <c r="AC34" s="3397"/>
      <c r="AD34" s="3397"/>
      <c r="AE34" s="3397"/>
      <c r="AF34" s="3397"/>
      <c r="AG34" s="3397"/>
      <c r="AH34" s="3397"/>
      <c r="AI34" s="3397"/>
      <c r="AJ34" s="3397"/>
      <c r="AK34" s="3397"/>
      <c r="AL34" s="3397"/>
      <c r="AM34" s="3397"/>
      <c r="AN34" s="3397"/>
      <c r="AO34" s="3415"/>
      <c r="AP34" s="3415"/>
      <c r="AQ34" s="3428"/>
    </row>
    <row r="35" spans="1:43" s="888" customFormat="1" ht="20.25" customHeight="1" x14ac:dyDescent="0.2">
      <c r="A35" s="1355"/>
      <c r="B35" s="1356"/>
      <c r="C35" s="1357"/>
      <c r="D35" s="1358">
        <v>21</v>
      </c>
      <c r="E35" s="1359" t="s">
        <v>1711</v>
      </c>
      <c r="F35" s="1359"/>
      <c r="G35" s="1359"/>
      <c r="H35" s="1359"/>
      <c r="I35" s="1359"/>
      <c r="J35" s="1359"/>
      <c r="K35" s="1360"/>
      <c r="L35" s="1359"/>
      <c r="M35" s="1359"/>
      <c r="N35" s="1359"/>
      <c r="O35" s="1361"/>
      <c r="P35" s="1360"/>
      <c r="Q35" s="1362"/>
      <c r="R35" s="1363"/>
      <c r="S35" s="1360" t="s">
        <v>303</v>
      </c>
      <c r="T35" s="1360" t="s">
        <v>303</v>
      </c>
      <c r="U35" s="1360"/>
      <c r="V35" s="1364"/>
      <c r="W35" s="1365"/>
      <c r="X35" s="1361"/>
      <c r="Y35" s="1359"/>
      <c r="Z35" s="1359"/>
      <c r="AA35" s="1359"/>
      <c r="AB35" s="1359"/>
      <c r="AC35" s="1359"/>
      <c r="AD35" s="1359"/>
      <c r="AE35" s="1359"/>
      <c r="AF35" s="1359"/>
      <c r="AG35" s="1359"/>
      <c r="AH35" s="1359"/>
      <c r="AI35" s="1359"/>
      <c r="AJ35" s="1359"/>
      <c r="AK35" s="1359"/>
      <c r="AL35" s="1359"/>
      <c r="AM35" s="1359"/>
      <c r="AN35" s="1359"/>
      <c r="AO35" s="1366"/>
      <c r="AP35" s="1366"/>
      <c r="AQ35" s="1367"/>
    </row>
    <row r="36" spans="1:43" s="888" customFormat="1" ht="23.25" customHeight="1" x14ac:dyDescent="0.2">
      <c r="A36" s="1368"/>
      <c r="B36" s="1369"/>
      <c r="C36" s="1370"/>
      <c r="D36" s="1383"/>
      <c r="E36" s="1384"/>
      <c r="F36" s="1384"/>
      <c r="G36" s="1373">
        <v>72</v>
      </c>
      <c r="H36" s="1374" t="s">
        <v>1712</v>
      </c>
      <c r="I36" s="1374"/>
      <c r="J36" s="1374"/>
      <c r="K36" s="1375"/>
      <c r="L36" s="1374"/>
      <c r="M36" s="1374"/>
      <c r="N36" s="1374"/>
      <c r="O36" s="1376"/>
      <c r="P36" s="1375"/>
      <c r="Q36" s="1377"/>
      <c r="R36" s="1378"/>
      <c r="S36" s="1375" t="s">
        <v>303</v>
      </c>
      <c r="T36" s="1375" t="s">
        <v>303</v>
      </c>
      <c r="U36" s="1375"/>
      <c r="V36" s="1379"/>
      <c r="W36" s="1380"/>
      <c r="X36" s="1376"/>
      <c r="Y36" s="1395"/>
      <c r="Z36" s="1395"/>
      <c r="AA36" s="1395"/>
      <c r="AB36" s="1395"/>
      <c r="AC36" s="1395"/>
      <c r="AD36" s="1395"/>
      <c r="AE36" s="1395"/>
      <c r="AF36" s="1395"/>
      <c r="AG36" s="1395"/>
      <c r="AH36" s="1395"/>
      <c r="AI36" s="1395"/>
      <c r="AJ36" s="1395"/>
      <c r="AK36" s="1395"/>
      <c r="AL36" s="1395"/>
      <c r="AM36" s="1395"/>
      <c r="AN36" s="1395"/>
      <c r="AO36" s="1381"/>
      <c r="AP36" s="1381"/>
      <c r="AQ36" s="1396"/>
    </row>
    <row r="37" spans="1:43" s="888" customFormat="1" ht="45" customHeight="1" x14ac:dyDescent="0.2">
      <c r="A37" s="1368"/>
      <c r="B37" s="1369"/>
      <c r="C37" s="1370"/>
      <c r="D37" s="1383"/>
      <c r="E37" s="1384"/>
      <c r="F37" s="1384"/>
      <c r="G37" s="1383"/>
      <c r="H37" s="1384"/>
      <c r="I37" s="1384"/>
      <c r="J37" s="3410">
        <v>209</v>
      </c>
      <c r="K37" s="3422" t="s">
        <v>1713</v>
      </c>
      <c r="L37" s="3422" t="s">
        <v>1714</v>
      </c>
      <c r="M37" s="3408">
        <v>1</v>
      </c>
      <c r="N37" s="1386" t="s">
        <v>1715</v>
      </c>
      <c r="O37" s="3408" t="s">
        <v>1716</v>
      </c>
      <c r="P37" s="3402" t="s">
        <v>1717</v>
      </c>
      <c r="Q37" s="1387">
        <f>+V37/R37</f>
        <v>0.12178163621060695</v>
      </c>
      <c r="R37" s="3404">
        <v>238952283</v>
      </c>
      <c r="S37" s="3402" t="s">
        <v>1718</v>
      </c>
      <c r="T37" s="3402" t="s">
        <v>1719</v>
      </c>
      <c r="U37" s="3402" t="s">
        <v>1720</v>
      </c>
      <c r="V37" s="1388">
        <v>29100000</v>
      </c>
      <c r="W37" s="1389">
        <v>3</v>
      </c>
      <c r="X37" s="1390" t="s">
        <v>1721</v>
      </c>
      <c r="Y37" s="3395">
        <v>3153</v>
      </c>
      <c r="Z37" s="3395">
        <v>4014</v>
      </c>
      <c r="AA37" s="3395">
        <v>594</v>
      </c>
      <c r="AB37" s="3395">
        <v>4607</v>
      </c>
      <c r="AC37" s="3395">
        <v>1966</v>
      </c>
      <c r="AD37" s="3395"/>
      <c r="AE37" s="3395"/>
      <c r="AF37" s="3395"/>
      <c r="AG37" s="3395"/>
      <c r="AH37" s="3395"/>
      <c r="AI37" s="3395"/>
      <c r="AJ37" s="3395"/>
      <c r="AK37" s="3395"/>
      <c r="AL37" s="3395"/>
      <c r="AM37" s="3395"/>
      <c r="AN37" s="3395" t="e">
        <f>+#REF!+#REF!+#REF!+#REF!+#REF!</f>
        <v>#REF!</v>
      </c>
      <c r="AO37" s="3413">
        <v>43101</v>
      </c>
      <c r="AP37" s="3413">
        <v>43465</v>
      </c>
      <c r="AQ37" s="3426" t="s">
        <v>1653</v>
      </c>
    </row>
    <row r="38" spans="1:43" s="888" customFormat="1" ht="45" customHeight="1" x14ac:dyDescent="0.2">
      <c r="A38" s="1368"/>
      <c r="B38" s="1369"/>
      <c r="C38" s="1370"/>
      <c r="D38" s="1383"/>
      <c r="E38" s="1384"/>
      <c r="F38" s="1384"/>
      <c r="G38" s="1383"/>
      <c r="H38" s="1384"/>
      <c r="I38" s="1384"/>
      <c r="J38" s="3410"/>
      <c r="K38" s="3429"/>
      <c r="L38" s="3429"/>
      <c r="M38" s="3416"/>
      <c r="N38" s="1386" t="s">
        <v>1722</v>
      </c>
      <c r="O38" s="3416"/>
      <c r="P38" s="3407"/>
      <c r="Q38" s="1387">
        <f>+V38/R37</f>
        <v>0.12554807856763603</v>
      </c>
      <c r="R38" s="3405"/>
      <c r="S38" s="3407"/>
      <c r="T38" s="3407"/>
      <c r="U38" s="3407"/>
      <c r="V38" s="1388">
        <v>30000000</v>
      </c>
      <c r="W38" s="1389">
        <v>4</v>
      </c>
      <c r="X38" s="1390" t="s">
        <v>72</v>
      </c>
      <c r="Y38" s="3396"/>
      <c r="Z38" s="3396"/>
      <c r="AA38" s="3396"/>
      <c r="AB38" s="3396"/>
      <c r="AC38" s="3396"/>
      <c r="AD38" s="3396"/>
      <c r="AE38" s="3396"/>
      <c r="AF38" s="3396"/>
      <c r="AG38" s="3396"/>
      <c r="AH38" s="3396"/>
      <c r="AI38" s="3396"/>
      <c r="AJ38" s="3396"/>
      <c r="AK38" s="3396"/>
      <c r="AL38" s="3396"/>
      <c r="AM38" s="3396"/>
      <c r="AN38" s="3396"/>
      <c r="AO38" s="3414"/>
      <c r="AP38" s="3414"/>
      <c r="AQ38" s="3427"/>
    </row>
    <row r="39" spans="1:43" s="888" customFormat="1" ht="45" customHeight="1" x14ac:dyDescent="0.2">
      <c r="A39" s="1368"/>
      <c r="B39" s="1369"/>
      <c r="C39" s="1370"/>
      <c r="D39" s="1383"/>
      <c r="E39" s="1384"/>
      <c r="F39" s="1384"/>
      <c r="G39" s="1383"/>
      <c r="H39" s="1384"/>
      <c r="I39" s="1384"/>
      <c r="J39" s="3410"/>
      <c r="K39" s="3423"/>
      <c r="L39" s="3423"/>
      <c r="M39" s="3409"/>
      <c r="N39" s="1386" t="s">
        <v>1723</v>
      </c>
      <c r="O39" s="3416"/>
      <c r="P39" s="3407"/>
      <c r="Q39" s="1387">
        <f>+V39/R37</f>
        <v>0.12878034732984744</v>
      </c>
      <c r="R39" s="3405"/>
      <c r="S39" s="3407"/>
      <c r="T39" s="3407"/>
      <c r="U39" s="3403"/>
      <c r="V39" s="1388">
        <v>30772358</v>
      </c>
      <c r="W39" s="1389">
        <v>7</v>
      </c>
      <c r="X39" s="1390" t="s">
        <v>1683</v>
      </c>
      <c r="Y39" s="3396"/>
      <c r="Z39" s="3396"/>
      <c r="AA39" s="3396"/>
      <c r="AB39" s="3396"/>
      <c r="AC39" s="3396"/>
      <c r="AD39" s="3396"/>
      <c r="AE39" s="3396"/>
      <c r="AF39" s="3396"/>
      <c r="AG39" s="3396"/>
      <c r="AH39" s="3396"/>
      <c r="AI39" s="3396"/>
      <c r="AJ39" s="3396"/>
      <c r="AK39" s="3396"/>
      <c r="AL39" s="3396"/>
      <c r="AM39" s="3396"/>
      <c r="AN39" s="3396"/>
      <c r="AO39" s="3414"/>
      <c r="AP39" s="3414"/>
      <c r="AQ39" s="3427"/>
    </row>
    <row r="40" spans="1:43" s="888" customFormat="1" ht="39" customHeight="1" x14ac:dyDescent="0.2">
      <c r="A40" s="1368"/>
      <c r="B40" s="1369"/>
      <c r="C40" s="1370"/>
      <c r="D40" s="1383"/>
      <c r="E40" s="1384"/>
      <c r="F40" s="1384"/>
      <c r="G40" s="1383"/>
      <c r="H40" s="1384"/>
      <c r="I40" s="1384"/>
      <c r="J40" s="3408">
        <v>210</v>
      </c>
      <c r="K40" s="3422" t="s">
        <v>1724</v>
      </c>
      <c r="L40" s="3422" t="s">
        <v>1725</v>
      </c>
      <c r="M40" s="3408">
        <v>1</v>
      </c>
      <c r="N40" s="1386" t="s">
        <v>1726</v>
      </c>
      <c r="O40" s="3416"/>
      <c r="P40" s="3407"/>
      <c r="Q40" s="1387">
        <f>+V40/R37</f>
        <v>3.766442357029081E-2</v>
      </c>
      <c r="R40" s="3405"/>
      <c r="S40" s="3407"/>
      <c r="T40" s="3407"/>
      <c r="U40" s="3402" t="s">
        <v>1727</v>
      </c>
      <c r="V40" s="1388">
        <v>9000000</v>
      </c>
      <c r="W40" s="1389">
        <v>4</v>
      </c>
      <c r="X40" s="1390" t="s">
        <v>72</v>
      </c>
      <c r="Y40" s="3396"/>
      <c r="Z40" s="3396"/>
      <c r="AA40" s="3396"/>
      <c r="AB40" s="3396"/>
      <c r="AC40" s="3396"/>
      <c r="AD40" s="3396"/>
      <c r="AE40" s="3396"/>
      <c r="AF40" s="3396"/>
      <c r="AG40" s="3396"/>
      <c r="AH40" s="3396"/>
      <c r="AI40" s="3396"/>
      <c r="AJ40" s="3396"/>
      <c r="AK40" s="3396"/>
      <c r="AL40" s="3396"/>
      <c r="AM40" s="3396"/>
      <c r="AN40" s="3396"/>
      <c r="AO40" s="3414"/>
      <c r="AP40" s="3414"/>
      <c r="AQ40" s="3427"/>
    </row>
    <row r="41" spans="1:43" s="888" customFormat="1" ht="31.5" customHeight="1" x14ac:dyDescent="0.2">
      <c r="A41" s="1368"/>
      <c r="B41" s="1369"/>
      <c r="C41" s="1370"/>
      <c r="D41" s="1383"/>
      <c r="E41" s="1384"/>
      <c r="F41" s="1384"/>
      <c r="G41" s="1383"/>
      <c r="H41" s="1384"/>
      <c r="I41" s="1384"/>
      <c r="J41" s="3416"/>
      <c r="K41" s="3429"/>
      <c r="L41" s="3429"/>
      <c r="M41" s="3416"/>
      <c r="N41" s="1386" t="s">
        <v>1728</v>
      </c>
      <c r="O41" s="3416"/>
      <c r="P41" s="3407"/>
      <c r="Q41" s="1387">
        <f>+V41/R37</f>
        <v>0.13232208373585616</v>
      </c>
      <c r="R41" s="3405"/>
      <c r="S41" s="3407"/>
      <c r="T41" s="3407"/>
      <c r="U41" s="3407"/>
      <c r="V41" s="1388">
        <v>31618664</v>
      </c>
      <c r="W41" s="1389">
        <v>4</v>
      </c>
      <c r="X41" s="1390" t="s">
        <v>1729</v>
      </c>
      <c r="Y41" s="3396"/>
      <c r="Z41" s="3396"/>
      <c r="AA41" s="3396"/>
      <c r="AB41" s="3396"/>
      <c r="AC41" s="3396"/>
      <c r="AD41" s="3396"/>
      <c r="AE41" s="3396"/>
      <c r="AF41" s="3396"/>
      <c r="AG41" s="3396"/>
      <c r="AH41" s="3396"/>
      <c r="AI41" s="3396"/>
      <c r="AJ41" s="3396"/>
      <c r="AK41" s="3396"/>
      <c r="AL41" s="3396"/>
      <c r="AM41" s="3396"/>
      <c r="AN41" s="3396"/>
      <c r="AO41" s="3414"/>
      <c r="AP41" s="3414"/>
      <c r="AQ41" s="3427"/>
    </row>
    <row r="42" spans="1:43" s="888" customFormat="1" ht="31.5" customHeight="1" x14ac:dyDescent="0.2">
      <c r="A42" s="1368"/>
      <c r="B42" s="1369"/>
      <c r="C42" s="1370"/>
      <c r="D42" s="1383"/>
      <c r="E42" s="1384"/>
      <c r="F42" s="1384"/>
      <c r="G42" s="1383"/>
      <c r="H42" s="1384"/>
      <c r="I42" s="1384"/>
      <c r="J42" s="3416"/>
      <c r="K42" s="3429"/>
      <c r="L42" s="3429"/>
      <c r="M42" s="3416"/>
      <c r="N42" s="1386" t="s">
        <v>1730</v>
      </c>
      <c r="O42" s="3416"/>
      <c r="P42" s="3407"/>
      <c r="Q42" s="1387">
        <f>+V42/R37</f>
        <v>0.10462339880636336</v>
      </c>
      <c r="R42" s="3405"/>
      <c r="S42" s="3407"/>
      <c r="T42" s="3407"/>
      <c r="U42" s="3407"/>
      <c r="V42" s="1388">
        <v>25000000</v>
      </c>
      <c r="W42" s="1389">
        <v>3</v>
      </c>
      <c r="X42" s="1390" t="s">
        <v>1721</v>
      </c>
      <c r="Y42" s="3396"/>
      <c r="Z42" s="3396"/>
      <c r="AA42" s="3396"/>
      <c r="AB42" s="3396"/>
      <c r="AC42" s="3396"/>
      <c r="AD42" s="3396"/>
      <c r="AE42" s="3396"/>
      <c r="AF42" s="3396"/>
      <c r="AG42" s="3396"/>
      <c r="AH42" s="3396"/>
      <c r="AI42" s="3396"/>
      <c r="AJ42" s="3396"/>
      <c r="AK42" s="3396"/>
      <c r="AL42" s="3396"/>
      <c r="AM42" s="3396"/>
      <c r="AN42" s="3396"/>
      <c r="AO42" s="3414"/>
      <c r="AP42" s="3414"/>
      <c r="AQ42" s="3427"/>
    </row>
    <row r="43" spans="1:43" s="888" customFormat="1" ht="26.25" customHeight="1" x14ac:dyDescent="0.2">
      <c r="A43" s="1368"/>
      <c r="B43" s="1369"/>
      <c r="C43" s="1370"/>
      <c r="D43" s="1383"/>
      <c r="E43" s="1384"/>
      <c r="F43" s="1384"/>
      <c r="G43" s="1383"/>
      <c r="H43" s="1384"/>
      <c r="I43" s="1384"/>
      <c r="J43" s="3409"/>
      <c r="K43" s="3423"/>
      <c r="L43" s="3423"/>
      <c r="M43" s="3409"/>
      <c r="N43" s="1386" t="s">
        <v>1731</v>
      </c>
      <c r="O43" s="3416"/>
      <c r="P43" s="3407"/>
      <c r="Q43" s="1387">
        <f>+V43/R37</f>
        <v>6.6958975236072554E-2</v>
      </c>
      <c r="R43" s="3405"/>
      <c r="S43" s="3407"/>
      <c r="T43" s="3407"/>
      <c r="U43" s="3403"/>
      <c r="V43" s="1388">
        <v>16000000</v>
      </c>
      <c r="W43" s="1389">
        <v>7</v>
      </c>
      <c r="X43" s="1390" t="s">
        <v>1732</v>
      </c>
      <c r="Y43" s="3396"/>
      <c r="Z43" s="3396"/>
      <c r="AA43" s="3396"/>
      <c r="AB43" s="3396"/>
      <c r="AC43" s="3396"/>
      <c r="AD43" s="3396"/>
      <c r="AE43" s="3396"/>
      <c r="AF43" s="3396"/>
      <c r="AG43" s="3396"/>
      <c r="AH43" s="3396"/>
      <c r="AI43" s="3396"/>
      <c r="AJ43" s="3396"/>
      <c r="AK43" s="3396"/>
      <c r="AL43" s="3396"/>
      <c r="AM43" s="3396"/>
      <c r="AN43" s="3396"/>
      <c r="AO43" s="3414"/>
      <c r="AP43" s="3414"/>
      <c r="AQ43" s="3427"/>
    </row>
    <row r="44" spans="1:43" s="888" customFormat="1" ht="27" customHeight="1" x14ac:dyDescent="0.2">
      <c r="A44" s="1368"/>
      <c r="B44" s="1369"/>
      <c r="C44" s="1370"/>
      <c r="D44" s="1383"/>
      <c r="E44" s="1384"/>
      <c r="F44" s="1384"/>
      <c r="G44" s="1383"/>
      <c r="H44" s="1384"/>
      <c r="I44" s="1384"/>
      <c r="J44" s="3408">
        <v>211</v>
      </c>
      <c r="K44" s="3431" t="s">
        <v>1733</v>
      </c>
      <c r="L44" s="3433" t="s">
        <v>1734</v>
      </c>
      <c r="M44" s="3408">
        <v>1</v>
      </c>
      <c r="N44" s="1386" t="s">
        <v>1735</v>
      </c>
      <c r="O44" s="3416"/>
      <c r="P44" s="3407"/>
      <c r="Q44" s="1387">
        <f>+V44/R37</f>
        <v>9.2068590949599752E-2</v>
      </c>
      <c r="R44" s="3405"/>
      <c r="S44" s="3407"/>
      <c r="T44" s="3407"/>
      <c r="U44" s="3402" t="s">
        <v>1736</v>
      </c>
      <c r="V44" s="1388">
        <v>22000000</v>
      </c>
      <c r="W44" s="1389">
        <v>3</v>
      </c>
      <c r="X44" s="1390" t="s">
        <v>1721</v>
      </c>
      <c r="Y44" s="3396"/>
      <c r="Z44" s="3396"/>
      <c r="AA44" s="3396"/>
      <c r="AB44" s="3396"/>
      <c r="AC44" s="3396"/>
      <c r="AD44" s="3396"/>
      <c r="AE44" s="3396"/>
      <c r="AF44" s="3396"/>
      <c r="AG44" s="3396"/>
      <c r="AH44" s="3396"/>
      <c r="AI44" s="3396"/>
      <c r="AJ44" s="3396"/>
      <c r="AK44" s="3396"/>
      <c r="AL44" s="3396"/>
      <c r="AM44" s="3396"/>
      <c r="AN44" s="3396"/>
      <c r="AO44" s="3414"/>
      <c r="AP44" s="3414"/>
      <c r="AQ44" s="3427"/>
    </row>
    <row r="45" spans="1:43" s="888" customFormat="1" ht="27" customHeight="1" x14ac:dyDescent="0.2">
      <c r="A45" s="1368"/>
      <c r="B45" s="1369"/>
      <c r="C45" s="1370"/>
      <c r="D45" s="1383"/>
      <c r="E45" s="1384"/>
      <c r="F45" s="1384"/>
      <c r="G45" s="1383"/>
      <c r="H45" s="1384"/>
      <c r="I45" s="1384"/>
      <c r="J45" s="3416"/>
      <c r="K45" s="3432"/>
      <c r="L45" s="3434"/>
      <c r="M45" s="3416"/>
      <c r="N45" s="1386" t="s">
        <v>1737</v>
      </c>
      <c r="O45" s="3416"/>
      <c r="P45" s="3407"/>
      <c r="Q45" s="1387">
        <f>+V45/R37</f>
        <v>0.12329349035765438</v>
      </c>
      <c r="R45" s="3405"/>
      <c r="S45" s="3407"/>
      <c r="T45" s="3407"/>
      <c r="U45" s="3407"/>
      <c r="V45" s="1388">
        <v>29461261</v>
      </c>
      <c r="W45" s="1389">
        <v>3</v>
      </c>
      <c r="X45" s="1390" t="s">
        <v>1738</v>
      </c>
      <c r="Y45" s="3396"/>
      <c r="Z45" s="3396"/>
      <c r="AA45" s="3396"/>
      <c r="AB45" s="3396"/>
      <c r="AC45" s="3396"/>
      <c r="AD45" s="3396"/>
      <c r="AE45" s="3396"/>
      <c r="AF45" s="3396"/>
      <c r="AG45" s="3396"/>
      <c r="AH45" s="3396"/>
      <c r="AI45" s="3396"/>
      <c r="AJ45" s="3396"/>
      <c r="AK45" s="3396"/>
      <c r="AL45" s="3396"/>
      <c r="AM45" s="3396"/>
      <c r="AN45" s="3396"/>
      <c r="AO45" s="3414"/>
      <c r="AP45" s="3414"/>
      <c r="AQ45" s="3427"/>
    </row>
    <row r="46" spans="1:43" s="888" customFormat="1" ht="26.25" customHeight="1" x14ac:dyDescent="0.2">
      <c r="A46" s="1368"/>
      <c r="B46" s="1369"/>
      <c r="C46" s="1370"/>
      <c r="D46" s="1383"/>
      <c r="E46" s="1384"/>
      <c r="F46" s="1384"/>
      <c r="G46" s="1383"/>
      <c r="H46" s="1384"/>
      <c r="I46" s="1384"/>
      <c r="J46" s="3409"/>
      <c r="K46" s="3432"/>
      <c r="L46" s="3434"/>
      <c r="M46" s="3416"/>
      <c r="N46" s="1386" t="s">
        <v>1739</v>
      </c>
      <c r="O46" s="3409"/>
      <c r="P46" s="3403"/>
      <c r="Q46" s="1387">
        <f>+V46/R37</f>
        <v>6.6958975236072554E-2</v>
      </c>
      <c r="R46" s="3406"/>
      <c r="S46" s="3403"/>
      <c r="T46" s="3403"/>
      <c r="U46" s="3403"/>
      <c r="V46" s="1388">
        <v>16000000</v>
      </c>
      <c r="W46" s="1389">
        <v>7</v>
      </c>
      <c r="X46" s="1390" t="s">
        <v>1732</v>
      </c>
      <c r="Y46" s="3397"/>
      <c r="Z46" s="3397"/>
      <c r="AA46" s="3397"/>
      <c r="AB46" s="3397"/>
      <c r="AC46" s="3397"/>
      <c r="AD46" s="3397"/>
      <c r="AE46" s="3397"/>
      <c r="AF46" s="3397"/>
      <c r="AG46" s="3397"/>
      <c r="AH46" s="3397"/>
      <c r="AI46" s="3397"/>
      <c r="AJ46" s="3397"/>
      <c r="AK46" s="3397"/>
      <c r="AL46" s="3397"/>
      <c r="AM46" s="3397"/>
      <c r="AN46" s="3397"/>
      <c r="AO46" s="3415"/>
      <c r="AP46" s="3415"/>
      <c r="AQ46" s="3428"/>
    </row>
    <row r="47" spans="1:43" s="888" customFormat="1" ht="23.25" customHeight="1" x14ac:dyDescent="0.2">
      <c r="A47" s="1368"/>
      <c r="B47" s="1369"/>
      <c r="C47" s="1370"/>
      <c r="D47" s="1383"/>
      <c r="E47" s="1384"/>
      <c r="F47" s="1384"/>
      <c r="G47" s="1373">
        <v>73</v>
      </c>
      <c r="H47" s="1374" t="s">
        <v>1740</v>
      </c>
      <c r="I47" s="1374"/>
      <c r="J47" s="1374"/>
      <c r="K47" s="1375"/>
      <c r="L47" s="1374"/>
      <c r="M47" s="1374"/>
      <c r="N47" s="1374"/>
      <c r="O47" s="1376"/>
      <c r="P47" s="1375"/>
      <c r="Q47" s="1377"/>
      <c r="R47" s="1378"/>
      <c r="S47" s="1375" t="s">
        <v>303</v>
      </c>
      <c r="T47" s="1375" t="s">
        <v>303</v>
      </c>
      <c r="U47" s="1375"/>
      <c r="V47" s="1379"/>
      <c r="W47" s="1380"/>
      <c r="X47" s="1376"/>
      <c r="Y47" s="1395"/>
      <c r="Z47" s="1395"/>
      <c r="AA47" s="1395"/>
      <c r="AB47" s="1395"/>
      <c r="AC47" s="1395"/>
      <c r="AD47" s="1395"/>
      <c r="AE47" s="1395"/>
      <c r="AF47" s="1395"/>
      <c r="AG47" s="1395"/>
      <c r="AH47" s="1395"/>
      <c r="AI47" s="1395"/>
      <c r="AJ47" s="1395"/>
      <c r="AK47" s="1395"/>
      <c r="AL47" s="1395"/>
      <c r="AM47" s="1395"/>
      <c r="AN47" s="1395"/>
      <c r="AO47" s="1381"/>
      <c r="AP47" s="1381"/>
      <c r="AQ47" s="1396"/>
    </row>
    <row r="48" spans="1:43" s="888" customFormat="1" ht="68.25" customHeight="1" x14ac:dyDescent="0.2">
      <c r="A48" s="1368"/>
      <c r="B48" s="1369"/>
      <c r="C48" s="1370"/>
      <c r="D48" s="1383"/>
      <c r="E48" s="1384"/>
      <c r="F48" s="1384"/>
      <c r="G48" s="1383"/>
      <c r="H48" s="1384"/>
      <c r="I48" s="1384"/>
      <c r="J48" s="3410">
        <v>212</v>
      </c>
      <c r="K48" s="3411" t="s">
        <v>1741</v>
      </c>
      <c r="L48" s="3412" t="s">
        <v>1742</v>
      </c>
      <c r="M48" s="3410">
        <v>1</v>
      </c>
      <c r="N48" s="1386" t="s">
        <v>1743</v>
      </c>
      <c r="O48" s="3410" t="s">
        <v>1744</v>
      </c>
      <c r="P48" s="3411" t="s">
        <v>1745</v>
      </c>
      <c r="Q48" s="1387">
        <f>+V48/R48</f>
        <v>0.24502602978896607</v>
      </c>
      <c r="R48" s="3419">
        <f>SUM(V48:V51)</f>
        <v>163247962</v>
      </c>
      <c r="S48" s="3402" t="s">
        <v>1746</v>
      </c>
      <c r="T48" s="3402" t="s">
        <v>1747</v>
      </c>
      <c r="U48" s="3411" t="s">
        <v>1748</v>
      </c>
      <c r="V48" s="1391">
        <v>40000000</v>
      </c>
      <c r="W48" s="1397">
        <v>3</v>
      </c>
      <c r="X48" s="1386" t="s">
        <v>1721</v>
      </c>
      <c r="Y48" s="3395">
        <v>3292</v>
      </c>
      <c r="Z48" s="3395">
        <v>2586</v>
      </c>
      <c r="AA48" s="3395"/>
      <c r="AB48" s="3395">
        <v>833</v>
      </c>
      <c r="AC48" s="3395">
        <v>5045</v>
      </c>
      <c r="AD48" s="3395"/>
      <c r="AE48" s="3395"/>
      <c r="AF48" s="3395"/>
      <c r="AG48" s="3395"/>
      <c r="AH48" s="3395"/>
      <c r="AI48" s="3395"/>
      <c r="AJ48" s="3395"/>
      <c r="AK48" s="3395"/>
      <c r="AL48" s="3395"/>
      <c r="AM48" s="3395"/>
      <c r="AN48" s="3395">
        <f>+Y48+Z48</f>
        <v>5878</v>
      </c>
      <c r="AO48" s="3413">
        <v>43101</v>
      </c>
      <c r="AP48" s="3413">
        <v>43465</v>
      </c>
      <c r="AQ48" s="3398" t="s">
        <v>1653</v>
      </c>
    </row>
    <row r="49" spans="1:43" s="888" customFormat="1" ht="68.25" customHeight="1" x14ac:dyDescent="0.2">
      <c r="A49" s="1368"/>
      <c r="B49" s="1369"/>
      <c r="C49" s="1370"/>
      <c r="D49" s="1383"/>
      <c r="E49" s="1384"/>
      <c r="F49" s="1384"/>
      <c r="G49" s="1383"/>
      <c r="H49" s="1384"/>
      <c r="I49" s="1384"/>
      <c r="J49" s="3410"/>
      <c r="K49" s="3411"/>
      <c r="L49" s="3412"/>
      <c r="M49" s="3410"/>
      <c r="N49" s="1386" t="s">
        <v>1749</v>
      </c>
      <c r="O49" s="3410"/>
      <c r="P49" s="3411"/>
      <c r="Q49" s="1387">
        <f>+V49/R48</f>
        <v>0.18376952234172456</v>
      </c>
      <c r="R49" s="3419"/>
      <c r="S49" s="3407"/>
      <c r="T49" s="3407"/>
      <c r="U49" s="3411"/>
      <c r="V49" s="1391">
        <v>30000000</v>
      </c>
      <c r="W49" s="1397">
        <v>4</v>
      </c>
      <c r="X49" s="1386" t="s">
        <v>1729</v>
      </c>
      <c r="Y49" s="3396"/>
      <c r="Z49" s="3396"/>
      <c r="AA49" s="3396"/>
      <c r="AB49" s="3396"/>
      <c r="AC49" s="3396"/>
      <c r="AD49" s="3396"/>
      <c r="AE49" s="3396"/>
      <c r="AF49" s="3396"/>
      <c r="AG49" s="3396"/>
      <c r="AH49" s="3396"/>
      <c r="AI49" s="3396"/>
      <c r="AJ49" s="3396"/>
      <c r="AK49" s="3396"/>
      <c r="AL49" s="3396"/>
      <c r="AM49" s="3396"/>
      <c r="AN49" s="3396"/>
      <c r="AO49" s="3414"/>
      <c r="AP49" s="3414"/>
      <c r="AQ49" s="3399"/>
    </row>
    <row r="50" spans="1:43" s="888" customFormat="1" ht="68.25" customHeight="1" x14ac:dyDescent="0.2">
      <c r="A50" s="1368"/>
      <c r="B50" s="1369"/>
      <c r="C50" s="1370"/>
      <c r="D50" s="1383"/>
      <c r="E50" s="1384"/>
      <c r="F50" s="1384"/>
      <c r="G50" s="1383"/>
      <c r="H50" s="1384"/>
      <c r="I50" s="1384"/>
      <c r="J50" s="3410"/>
      <c r="K50" s="3411"/>
      <c r="L50" s="3412"/>
      <c r="M50" s="3410"/>
      <c r="N50" s="1386" t="s">
        <v>1743</v>
      </c>
      <c r="O50" s="3410"/>
      <c r="P50" s="3411"/>
      <c r="Q50" s="1387">
        <f>+V50/R48</f>
        <v>8.2696285053776047E-2</v>
      </c>
      <c r="R50" s="3419"/>
      <c r="S50" s="3407"/>
      <c r="T50" s="3407"/>
      <c r="U50" s="3411"/>
      <c r="V50" s="1391">
        <v>13500000</v>
      </c>
      <c r="W50" s="1397">
        <v>3</v>
      </c>
      <c r="X50" s="1390" t="s">
        <v>1738</v>
      </c>
      <c r="Y50" s="3396"/>
      <c r="Z50" s="3396"/>
      <c r="AA50" s="3396"/>
      <c r="AB50" s="3396"/>
      <c r="AC50" s="3396"/>
      <c r="AD50" s="3396"/>
      <c r="AE50" s="3396"/>
      <c r="AF50" s="3396"/>
      <c r="AG50" s="3396"/>
      <c r="AH50" s="3396"/>
      <c r="AI50" s="3396"/>
      <c r="AJ50" s="3396"/>
      <c r="AK50" s="3396"/>
      <c r="AL50" s="3396"/>
      <c r="AM50" s="3396"/>
      <c r="AN50" s="3396"/>
      <c r="AO50" s="3414"/>
      <c r="AP50" s="3414"/>
      <c r="AQ50" s="3399"/>
    </row>
    <row r="51" spans="1:43" s="888" customFormat="1" ht="72" customHeight="1" x14ac:dyDescent="0.2">
      <c r="A51" s="1368"/>
      <c r="B51" s="1369"/>
      <c r="C51" s="1370"/>
      <c r="D51" s="1383"/>
      <c r="E51" s="1384"/>
      <c r="F51" s="1384"/>
      <c r="G51" s="1383"/>
      <c r="H51" s="1384"/>
      <c r="I51" s="1384"/>
      <c r="J51" s="3410"/>
      <c r="K51" s="3411"/>
      <c r="L51" s="3412"/>
      <c r="M51" s="3410"/>
      <c r="N51" s="1386" t="s">
        <v>1750</v>
      </c>
      <c r="O51" s="3410"/>
      <c r="P51" s="3411"/>
      <c r="Q51" s="1387">
        <f>+V51/R48</f>
        <v>0.48850816281553333</v>
      </c>
      <c r="R51" s="3419"/>
      <c r="S51" s="3403"/>
      <c r="T51" s="3403"/>
      <c r="U51" s="3411"/>
      <c r="V51" s="1391">
        <v>79747962</v>
      </c>
      <c r="W51" s="1397">
        <v>7</v>
      </c>
      <c r="X51" s="1386" t="s">
        <v>1732</v>
      </c>
      <c r="Y51" s="3397"/>
      <c r="Z51" s="3397"/>
      <c r="AA51" s="3397"/>
      <c r="AB51" s="3397"/>
      <c r="AC51" s="3397"/>
      <c r="AD51" s="3397"/>
      <c r="AE51" s="3397"/>
      <c r="AF51" s="3397"/>
      <c r="AG51" s="3397"/>
      <c r="AH51" s="3397"/>
      <c r="AI51" s="3397"/>
      <c r="AJ51" s="3397"/>
      <c r="AK51" s="3397"/>
      <c r="AL51" s="3397"/>
      <c r="AM51" s="3397"/>
      <c r="AN51" s="3397"/>
      <c r="AO51" s="3415"/>
      <c r="AP51" s="3415"/>
      <c r="AQ51" s="3400"/>
    </row>
    <row r="52" spans="1:43" s="888" customFormat="1" ht="20.25" customHeight="1" x14ac:dyDescent="0.2">
      <c r="A52" s="1355"/>
      <c r="B52" s="1356"/>
      <c r="C52" s="1357"/>
      <c r="D52" s="1358">
        <v>22</v>
      </c>
      <c r="E52" s="1359" t="s">
        <v>1751</v>
      </c>
      <c r="F52" s="1359"/>
      <c r="G52" s="1359"/>
      <c r="H52" s="1359"/>
      <c r="I52" s="1359"/>
      <c r="J52" s="1359"/>
      <c r="K52" s="1360"/>
      <c r="L52" s="1359"/>
      <c r="M52" s="1359"/>
      <c r="N52" s="1359"/>
      <c r="O52" s="1361"/>
      <c r="P52" s="1360"/>
      <c r="Q52" s="1362"/>
      <c r="R52" s="1363"/>
      <c r="S52" s="1360" t="s">
        <v>303</v>
      </c>
      <c r="T52" s="1360" t="s">
        <v>303</v>
      </c>
      <c r="U52" s="1360"/>
      <c r="V52" s="1364"/>
      <c r="W52" s="1365"/>
      <c r="X52" s="1361"/>
      <c r="Y52" s="1359"/>
      <c r="Z52" s="1359"/>
      <c r="AA52" s="1359"/>
      <c r="AB52" s="1359"/>
      <c r="AC52" s="1359"/>
      <c r="AD52" s="1359"/>
      <c r="AE52" s="1359"/>
      <c r="AF52" s="1359"/>
      <c r="AG52" s="1359"/>
      <c r="AH52" s="1359"/>
      <c r="AI52" s="1359"/>
      <c r="AJ52" s="1359"/>
      <c r="AK52" s="1359"/>
      <c r="AL52" s="1359"/>
      <c r="AM52" s="1359"/>
      <c r="AN52" s="1359"/>
      <c r="AO52" s="1366"/>
      <c r="AP52" s="1366"/>
      <c r="AQ52" s="1367"/>
    </row>
    <row r="53" spans="1:43" s="888" customFormat="1" ht="23.25" customHeight="1" x14ac:dyDescent="0.2">
      <c r="A53" s="1368"/>
      <c r="B53" s="1369"/>
      <c r="C53" s="1370"/>
      <c r="D53" s="1383"/>
      <c r="E53" s="1384"/>
      <c r="F53" s="1384"/>
      <c r="G53" s="1373">
        <v>74</v>
      </c>
      <c r="H53" s="1374" t="s">
        <v>1740</v>
      </c>
      <c r="I53" s="1374"/>
      <c r="J53" s="1374"/>
      <c r="K53" s="1375"/>
      <c r="L53" s="1374"/>
      <c r="M53" s="1374"/>
      <c r="N53" s="1374"/>
      <c r="O53" s="1376"/>
      <c r="P53" s="1375"/>
      <c r="Q53" s="1377"/>
      <c r="R53" s="1378"/>
      <c r="S53" s="1375" t="s">
        <v>303</v>
      </c>
      <c r="T53" s="1375" t="s">
        <v>303</v>
      </c>
      <c r="U53" s="1375"/>
      <c r="V53" s="1379"/>
      <c r="W53" s="1380"/>
      <c r="X53" s="1376"/>
      <c r="Y53" s="1395"/>
      <c r="Z53" s="1395"/>
      <c r="AA53" s="1395"/>
      <c r="AB53" s="1395"/>
      <c r="AC53" s="1395"/>
      <c r="AD53" s="1395"/>
      <c r="AE53" s="1395"/>
      <c r="AF53" s="1395"/>
      <c r="AG53" s="1395"/>
      <c r="AH53" s="1395"/>
      <c r="AI53" s="1395"/>
      <c r="AJ53" s="1395"/>
      <c r="AK53" s="1395"/>
      <c r="AL53" s="1395"/>
      <c r="AM53" s="1395"/>
      <c r="AN53" s="1395"/>
      <c r="AO53" s="1381"/>
      <c r="AP53" s="1381"/>
      <c r="AQ53" s="1396"/>
    </row>
    <row r="54" spans="1:43" s="888" customFormat="1" ht="58.5" customHeight="1" x14ac:dyDescent="0.2">
      <c r="A54" s="1368"/>
      <c r="B54" s="1369"/>
      <c r="C54" s="1370"/>
      <c r="D54" s="1383"/>
      <c r="E54" s="1384"/>
      <c r="F54" s="1384"/>
      <c r="G54" s="1383"/>
      <c r="H54" s="1384"/>
      <c r="I54" s="1384"/>
      <c r="J54" s="3408">
        <v>213</v>
      </c>
      <c r="K54" s="3402" t="s">
        <v>1752</v>
      </c>
      <c r="L54" s="3422" t="s">
        <v>1753</v>
      </c>
      <c r="M54" s="3408">
        <v>12</v>
      </c>
      <c r="N54" s="3408" t="s">
        <v>1754</v>
      </c>
      <c r="O54" s="3408" t="s">
        <v>1755</v>
      </c>
      <c r="P54" s="3439" t="s">
        <v>1756</v>
      </c>
      <c r="Q54" s="3435">
        <f>+V54/R54</f>
        <v>1</v>
      </c>
      <c r="R54" s="3404">
        <v>244500000</v>
      </c>
      <c r="S54" s="3402" t="s">
        <v>1757</v>
      </c>
      <c r="T54" s="3402" t="s">
        <v>1758</v>
      </c>
      <c r="U54" s="3402" t="s">
        <v>1759</v>
      </c>
      <c r="V54" s="3404">
        <v>244500000</v>
      </c>
      <c r="W54" s="3395">
        <v>2</v>
      </c>
      <c r="X54" s="3408" t="s">
        <v>1760</v>
      </c>
      <c r="Y54" s="3395">
        <v>279394</v>
      </c>
      <c r="Z54" s="3395">
        <v>289394</v>
      </c>
      <c r="AA54" s="3395">
        <v>56459</v>
      </c>
      <c r="AB54" s="3395">
        <v>64535</v>
      </c>
      <c r="AC54" s="3395">
        <f>336006+15489</f>
        <v>351495</v>
      </c>
      <c r="AD54" s="3395">
        <v>81384</v>
      </c>
      <c r="AE54" s="3395">
        <v>1187</v>
      </c>
      <c r="AF54" s="3395">
        <v>13208</v>
      </c>
      <c r="AG54" s="3395"/>
      <c r="AH54" s="3395"/>
      <c r="AI54" s="3395"/>
      <c r="AJ54" s="3395"/>
      <c r="AK54" s="3395">
        <v>520</v>
      </c>
      <c r="AL54" s="3395"/>
      <c r="AM54" s="3395"/>
      <c r="AN54" s="3395">
        <f>+Y54+Z54</f>
        <v>568788</v>
      </c>
      <c r="AO54" s="3413">
        <v>43101</v>
      </c>
      <c r="AP54" s="3413">
        <v>43465</v>
      </c>
      <c r="AQ54" s="3398" t="s">
        <v>1761</v>
      </c>
    </row>
    <row r="55" spans="1:43" ht="52.5" customHeight="1" x14ac:dyDescent="0.2">
      <c r="A55" s="1399"/>
      <c r="B55" s="1400"/>
      <c r="C55" s="1401"/>
      <c r="D55" s="1402"/>
      <c r="E55" s="3437"/>
      <c r="F55" s="3438"/>
      <c r="G55" s="1402"/>
      <c r="H55" s="3437"/>
      <c r="I55" s="3438"/>
      <c r="J55" s="3409"/>
      <c r="K55" s="3403"/>
      <c r="L55" s="3423"/>
      <c r="M55" s="3409"/>
      <c r="N55" s="3409"/>
      <c r="O55" s="3409"/>
      <c r="P55" s="3440"/>
      <c r="Q55" s="3436"/>
      <c r="R55" s="3406"/>
      <c r="S55" s="3403"/>
      <c r="T55" s="3403" t="s">
        <v>303</v>
      </c>
      <c r="U55" s="3403"/>
      <c r="V55" s="3406"/>
      <c r="W55" s="3397"/>
      <c r="X55" s="3409"/>
      <c r="Y55" s="3397"/>
      <c r="Z55" s="3397"/>
      <c r="AA55" s="3397"/>
      <c r="AB55" s="3397"/>
      <c r="AC55" s="3397"/>
      <c r="AD55" s="3397"/>
      <c r="AE55" s="3397"/>
      <c r="AF55" s="3397"/>
      <c r="AG55" s="3397"/>
      <c r="AH55" s="3397"/>
      <c r="AI55" s="3397"/>
      <c r="AJ55" s="3397"/>
      <c r="AK55" s="3397"/>
      <c r="AL55" s="3397"/>
      <c r="AM55" s="3397"/>
      <c r="AN55" s="3397"/>
      <c r="AO55" s="3415"/>
      <c r="AP55" s="3415"/>
      <c r="AQ55" s="3400"/>
    </row>
    <row r="56" spans="1:43" x14ac:dyDescent="0.2">
      <c r="V56" s="1407">
        <f>+V54+V51+V49+V48+V46+V45+V44+V43+V42+V40+V41+V39+V38+V37+V34+V33+V32+V31+V29+V28+V27+V26+V24+V23+V22+V21+V19+V18+V16+V15+V14+V13+V12+V50+V30</f>
        <v>3435176818.4899998</v>
      </c>
    </row>
    <row r="63" spans="1:43" ht="20.25" x14ac:dyDescent="0.2">
      <c r="R63" s="1412"/>
      <c r="S63" s="1412"/>
      <c r="T63" s="1412"/>
      <c r="U63" s="1412"/>
      <c r="V63" s="1413"/>
    </row>
  </sheetData>
  <sheetProtection password="CBEB" sheet="1" objects="1" scenarios="1"/>
  <mergeCells count="266">
    <mergeCell ref="AO54:AO55"/>
    <mergeCell ref="AP54:AP55"/>
    <mergeCell ref="AQ54:AQ55"/>
    <mergeCell ref="E55:F55"/>
    <mergeCell ref="H55:I55"/>
    <mergeCell ref="AG54:AG55"/>
    <mergeCell ref="AH54:AH55"/>
    <mergeCell ref="AI54:AI55"/>
    <mergeCell ref="AJ54:AJ55"/>
    <mergeCell ref="AK54:AK55"/>
    <mergeCell ref="AL54:AL55"/>
    <mergeCell ref="AA54:AA55"/>
    <mergeCell ref="AB54:AB55"/>
    <mergeCell ref="AC54:AC55"/>
    <mergeCell ref="AD54:AD55"/>
    <mergeCell ref="AE54:AE55"/>
    <mergeCell ref="AF54:AF55"/>
    <mergeCell ref="U54:U55"/>
    <mergeCell ref="V54:V55"/>
    <mergeCell ref="W54:W55"/>
    <mergeCell ref="X54:X55"/>
    <mergeCell ref="Y54:Y55"/>
    <mergeCell ref="O54:O55"/>
    <mergeCell ref="P54:P55"/>
    <mergeCell ref="Q54:Q55"/>
    <mergeCell ref="R54:R55"/>
    <mergeCell ref="S54:S55"/>
    <mergeCell ref="T54:T55"/>
    <mergeCell ref="AM48:AM51"/>
    <mergeCell ref="AN48:AN51"/>
    <mergeCell ref="Y48:Y51"/>
    <mergeCell ref="Z48:Z51"/>
    <mergeCell ref="AM54:AM55"/>
    <mergeCell ref="AN54:AN55"/>
    <mergeCell ref="AP48:AP51"/>
    <mergeCell ref="AQ48:AQ51"/>
    <mergeCell ref="J54:J55"/>
    <mergeCell ref="K54:K55"/>
    <mergeCell ref="L54:L55"/>
    <mergeCell ref="M54:M55"/>
    <mergeCell ref="N54:N55"/>
    <mergeCell ref="AG48:AG51"/>
    <mergeCell ref="AH48:AH51"/>
    <mergeCell ref="AI48:AI51"/>
    <mergeCell ref="AJ48:AJ51"/>
    <mergeCell ref="AK48:AK51"/>
    <mergeCell ref="AL48:AL51"/>
    <mergeCell ref="AA48:AA51"/>
    <mergeCell ref="AB48:AB51"/>
    <mergeCell ref="AC48:AC51"/>
    <mergeCell ref="AD48:AD51"/>
    <mergeCell ref="AE48:AE51"/>
    <mergeCell ref="AF48:AF51"/>
    <mergeCell ref="R48:R51"/>
    <mergeCell ref="S48:S51"/>
    <mergeCell ref="T48:T51"/>
    <mergeCell ref="U48:U51"/>
    <mergeCell ref="Z54:Z55"/>
    <mergeCell ref="J48:J51"/>
    <mergeCell ref="K48:K51"/>
    <mergeCell ref="L48:L51"/>
    <mergeCell ref="M48:M51"/>
    <mergeCell ref="O48:O51"/>
    <mergeCell ref="P48:P51"/>
    <mergeCell ref="AM37:AM46"/>
    <mergeCell ref="AN37:AN46"/>
    <mergeCell ref="AO37:AO46"/>
    <mergeCell ref="Z37:Z46"/>
    <mergeCell ref="U44:U46"/>
    <mergeCell ref="J37:J39"/>
    <mergeCell ref="K37:K39"/>
    <mergeCell ref="L37:L39"/>
    <mergeCell ref="M37:M39"/>
    <mergeCell ref="O37:O46"/>
    <mergeCell ref="P37:P46"/>
    <mergeCell ref="J44:J46"/>
    <mergeCell ref="K44:K46"/>
    <mergeCell ref="L44:L46"/>
    <mergeCell ref="M44:M46"/>
    <mergeCell ref="AO48:AO51"/>
    <mergeCell ref="AP37:AP46"/>
    <mergeCell ref="AQ37:AQ46"/>
    <mergeCell ref="J40:J43"/>
    <mergeCell ref="K40:K43"/>
    <mergeCell ref="L40:L43"/>
    <mergeCell ref="M40:M43"/>
    <mergeCell ref="U40:U43"/>
    <mergeCell ref="AG37:AG46"/>
    <mergeCell ref="AH37:AH46"/>
    <mergeCell ref="AI37:AI46"/>
    <mergeCell ref="AJ37:AJ46"/>
    <mergeCell ref="AK37:AK46"/>
    <mergeCell ref="AL37:AL46"/>
    <mergeCell ref="AA37:AA46"/>
    <mergeCell ref="AB37:AB46"/>
    <mergeCell ref="AC37:AC46"/>
    <mergeCell ref="AD37:AD46"/>
    <mergeCell ref="AE37:AE46"/>
    <mergeCell ref="AF37:AF46"/>
    <mergeCell ref="R37:R46"/>
    <mergeCell ref="S37:S46"/>
    <mergeCell ref="T37:T46"/>
    <mergeCell ref="U37:U39"/>
    <mergeCell ref="Y37:Y46"/>
    <mergeCell ref="AM26:AM34"/>
    <mergeCell ref="AN26:AN34"/>
    <mergeCell ref="AO26:AO34"/>
    <mergeCell ref="AP26:AP34"/>
    <mergeCell ref="AQ26:AQ34"/>
    <mergeCell ref="J28:J31"/>
    <mergeCell ref="K28:K31"/>
    <mergeCell ref="L28:L31"/>
    <mergeCell ref="M28:M31"/>
    <mergeCell ref="U28:U31"/>
    <mergeCell ref="AG26:AG34"/>
    <mergeCell ref="AH26:AH34"/>
    <mergeCell ref="AI26:AI34"/>
    <mergeCell ref="AJ26:AJ34"/>
    <mergeCell ref="AK26:AK34"/>
    <mergeCell ref="AL26:AL34"/>
    <mergeCell ref="AA26:AA34"/>
    <mergeCell ref="AB26:AB34"/>
    <mergeCell ref="AC26:AC34"/>
    <mergeCell ref="AD26:AD34"/>
    <mergeCell ref="AE26:AE34"/>
    <mergeCell ref="AF26:AF34"/>
    <mergeCell ref="R26:R34"/>
    <mergeCell ref="S26:S34"/>
    <mergeCell ref="T26:T34"/>
    <mergeCell ref="U26:U27"/>
    <mergeCell ref="Y26:Y34"/>
    <mergeCell ref="Z26:Z34"/>
    <mergeCell ref="U32:U34"/>
    <mergeCell ref="J26:J27"/>
    <mergeCell ref="K26:K27"/>
    <mergeCell ref="L26:L27"/>
    <mergeCell ref="M26:M27"/>
    <mergeCell ref="O26:O34"/>
    <mergeCell ref="P26:P34"/>
    <mergeCell ref="J32:J34"/>
    <mergeCell ref="K32:K34"/>
    <mergeCell ref="L32:L34"/>
    <mergeCell ref="M32:M34"/>
    <mergeCell ref="AM21:AM24"/>
    <mergeCell ref="AN21:AN24"/>
    <mergeCell ref="AO21:AO24"/>
    <mergeCell ref="AP21:AP24"/>
    <mergeCell ref="AQ21:AQ24"/>
    <mergeCell ref="AF21:AF24"/>
    <mergeCell ref="AG21:AG24"/>
    <mergeCell ref="AH21:AH24"/>
    <mergeCell ref="AI21:AI24"/>
    <mergeCell ref="AJ21:AJ24"/>
    <mergeCell ref="AK21:AK24"/>
    <mergeCell ref="AD21:AD24"/>
    <mergeCell ref="AE21:AE24"/>
    <mergeCell ref="P21:P24"/>
    <mergeCell ref="R21:R24"/>
    <mergeCell ref="S21:S24"/>
    <mergeCell ref="T21:T24"/>
    <mergeCell ref="U21:U24"/>
    <mergeCell ref="Y21:Y24"/>
    <mergeCell ref="AL21:AL24"/>
    <mergeCell ref="AQ18:AQ19"/>
    <mergeCell ref="J21:J24"/>
    <mergeCell ref="K21:K24"/>
    <mergeCell ref="L21:L24"/>
    <mergeCell ref="M21:M24"/>
    <mergeCell ref="O21:O24"/>
    <mergeCell ref="AG18:AG19"/>
    <mergeCell ref="AH18:AH19"/>
    <mergeCell ref="AI18:AI19"/>
    <mergeCell ref="AJ18:AJ19"/>
    <mergeCell ref="AK18:AK19"/>
    <mergeCell ref="AL18:AL19"/>
    <mergeCell ref="AA18:AA19"/>
    <mergeCell ref="AB18:AB19"/>
    <mergeCell ref="AC18:AC19"/>
    <mergeCell ref="AD18:AD19"/>
    <mergeCell ref="AE18:AE19"/>
    <mergeCell ref="AF18:AF19"/>
    <mergeCell ref="R18:R19"/>
    <mergeCell ref="S18:S19"/>
    <mergeCell ref="Z21:Z24"/>
    <mergeCell ref="AA21:AA24"/>
    <mergeCell ref="AB21:AB24"/>
    <mergeCell ref="AC21:AC24"/>
    <mergeCell ref="J18:J19"/>
    <mergeCell ref="K18:K19"/>
    <mergeCell ref="L18:L19"/>
    <mergeCell ref="M18:M19"/>
    <mergeCell ref="O18:O19"/>
    <mergeCell ref="P18:P19"/>
    <mergeCell ref="AN12:AN16"/>
    <mergeCell ref="AO12:AO16"/>
    <mergeCell ref="AP12:AP16"/>
    <mergeCell ref="K12:K15"/>
    <mergeCell ref="L12:L15"/>
    <mergeCell ref="M12:M15"/>
    <mergeCell ref="O12:O16"/>
    <mergeCell ref="P12:P16"/>
    <mergeCell ref="AM18:AM19"/>
    <mergeCell ref="AN18:AN19"/>
    <mergeCell ref="AO18:AO19"/>
    <mergeCell ref="AP18:AP19"/>
    <mergeCell ref="T18:T19"/>
    <mergeCell ref="U18:U19"/>
    <mergeCell ref="Y18:Y19"/>
    <mergeCell ref="Z18:Z19"/>
    <mergeCell ref="AQ12:AQ16"/>
    <mergeCell ref="E14:F14"/>
    <mergeCell ref="U14:U15"/>
    <mergeCell ref="AG12:AG16"/>
    <mergeCell ref="AH12:AH16"/>
    <mergeCell ref="AI12:AI16"/>
    <mergeCell ref="AJ12:AJ16"/>
    <mergeCell ref="AK12:AK16"/>
    <mergeCell ref="AL12:AL16"/>
    <mergeCell ref="AA12:AA16"/>
    <mergeCell ref="AB12:AB16"/>
    <mergeCell ref="AC12:AC16"/>
    <mergeCell ref="AD12:AD16"/>
    <mergeCell ref="AE12:AE16"/>
    <mergeCell ref="AF12:AF16"/>
    <mergeCell ref="R12:R16"/>
    <mergeCell ref="S12:S16"/>
    <mergeCell ref="T12:T16"/>
    <mergeCell ref="U12:U13"/>
    <mergeCell ref="Y12:Y16"/>
    <mergeCell ref="J12:J15"/>
    <mergeCell ref="W7:W8"/>
    <mergeCell ref="X7:X8"/>
    <mergeCell ref="AE7:AJ7"/>
    <mergeCell ref="AK7:AM7"/>
    <mergeCell ref="Q7:Q8"/>
    <mergeCell ref="R7:R8"/>
    <mergeCell ref="S7:S8"/>
    <mergeCell ref="T7:T8"/>
    <mergeCell ref="AM12:AM16"/>
    <mergeCell ref="Y7:Z7"/>
    <mergeCell ref="AA7:AD7"/>
    <mergeCell ref="Z12:Z16"/>
    <mergeCell ref="H7:I8"/>
    <mergeCell ref="J7:J8"/>
    <mergeCell ref="K7:K8"/>
    <mergeCell ref="L7:L8"/>
    <mergeCell ref="M7:M8"/>
    <mergeCell ref="N7:N8"/>
    <mergeCell ref="O7:O8"/>
    <mergeCell ref="P7:P8"/>
    <mergeCell ref="A1:AO4"/>
    <mergeCell ref="A5:M6"/>
    <mergeCell ref="N5:AQ5"/>
    <mergeCell ref="N6:X6"/>
    <mergeCell ref="AO6:AQ6"/>
    <mergeCell ref="A7:A8"/>
    <mergeCell ref="B7:C8"/>
    <mergeCell ref="D7:D8"/>
    <mergeCell ref="E7:F8"/>
    <mergeCell ref="G7:G8"/>
    <mergeCell ref="AN7:AN8"/>
    <mergeCell ref="AO7:AO8"/>
    <mergeCell ref="AP7:AP8"/>
    <mergeCell ref="AQ7:AQ8"/>
    <mergeCell ref="U7:U8"/>
    <mergeCell ref="V7:V8"/>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Q33"/>
  <sheetViews>
    <sheetView showGridLines="0" zoomScale="50" zoomScaleNormal="50" workbookViewId="0">
      <selection activeCell="F14" sqref="F14"/>
    </sheetView>
  </sheetViews>
  <sheetFormatPr baseColWidth="10" defaultColWidth="11.42578125" defaultRowHeight="21" customHeight="1" x14ac:dyDescent="0.25"/>
  <cols>
    <col min="1" max="1" width="16.85546875" style="409" customWidth="1"/>
    <col min="2" max="2" width="4.7109375" style="409" customWidth="1"/>
    <col min="3" max="3" width="15.85546875" style="409" customWidth="1"/>
    <col min="4" max="4" width="16.28515625" style="409" customWidth="1"/>
    <col min="5" max="5" width="6.42578125" style="409" customWidth="1"/>
    <col min="6" max="6" width="13.5703125" style="409" customWidth="1"/>
    <col min="7" max="7" width="17.140625" style="409" customWidth="1"/>
    <col min="8" max="8" width="4.85546875" style="409" customWidth="1"/>
    <col min="9" max="9" width="22.140625" style="409" customWidth="1"/>
    <col min="10" max="10" width="16.85546875" style="409" customWidth="1"/>
    <col min="11" max="11" width="37.42578125" style="409" customWidth="1"/>
    <col min="12" max="12" width="24.5703125" style="409" customWidth="1"/>
    <col min="13" max="13" width="26" style="409" customWidth="1"/>
    <col min="14" max="14" width="23.5703125" style="409" customWidth="1"/>
    <col min="15" max="15" width="25.140625" style="409" customWidth="1"/>
    <col min="16" max="16" width="23.7109375" style="409" customWidth="1"/>
    <col min="17" max="17" width="22.85546875" style="409" customWidth="1"/>
    <col min="18" max="18" width="28.28515625" style="409" customWidth="1"/>
    <col min="19" max="19" width="32.5703125" style="409" customWidth="1"/>
    <col min="20" max="20" width="28.42578125" style="409" customWidth="1"/>
    <col min="21" max="21" width="34.7109375" style="409" customWidth="1"/>
    <col min="22" max="22" width="28.5703125" style="409" customWidth="1"/>
    <col min="23" max="23" width="17.140625" style="409" customWidth="1"/>
    <col min="24" max="24" width="18.85546875" style="409" customWidth="1"/>
    <col min="25" max="28" width="12.28515625" style="1041" customWidth="1"/>
    <col min="29" max="29" width="14.5703125" style="1041" customWidth="1"/>
    <col min="30" max="30" width="12.140625" style="1041" customWidth="1"/>
    <col min="31" max="36" width="7.140625" style="1041" customWidth="1"/>
    <col min="37" max="39" width="10.7109375" style="1041" customWidth="1"/>
    <col min="40" max="40" width="12" style="409" customWidth="1"/>
    <col min="41" max="41" width="15" style="409" customWidth="1"/>
    <col min="42" max="42" width="21.7109375" style="409" customWidth="1"/>
    <col min="43" max="43" width="29.85546875" style="409" customWidth="1"/>
    <col min="44" max="16384" width="11.42578125" style="409"/>
  </cols>
  <sheetData>
    <row r="1" spans="1:43" customFormat="1" ht="21" customHeight="1" x14ac:dyDescent="0.25">
      <c r="A1" s="3473" t="s">
        <v>2506</v>
      </c>
      <c r="B1" s="3473"/>
      <c r="C1" s="3473"/>
      <c r="D1" s="3473"/>
      <c r="E1" s="3473"/>
      <c r="F1" s="3473"/>
      <c r="G1" s="3473"/>
      <c r="H1" s="3473"/>
      <c r="I1" s="3473"/>
      <c r="J1" s="3473"/>
      <c r="K1" s="3473"/>
      <c r="L1" s="3473"/>
      <c r="M1" s="3473"/>
      <c r="N1" s="3473"/>
      <c r="O1" s="3473"/>
      <c r="P1" s="3473"/>
      <c r="Q1" s="3473"/>
      <c r="R1" s="3473"/>
      <c r="S1" s="3473"/>
      <c r="T1" s="3473"/>
      <c r="U1" s="3473"/>
      <c r="V1" s="3473"/>
      <c r="W1" s="3473"/>
      <c r="X1" s="3473"/>
      <c r="Y1" s="3473"/>
      <c r="Z1" s="3473"/>
      <c r="AA1" s="3473"/>
      <c r="AB1" s="3473"/>
      <c r="AC1" s="3473"/>
      <c r="AD1" s="3473"/>
      <c r="AE1" s="3473"/>
      <c r="AF1" s="3473"/>
      <c r="AG1" s="3473"/>
      <c r="AH1" s="3473"/>
      <c r="AI1" s="3473"/>
      <c r="AJ1" s="3473"/>
      <c r="AK1" s="3473"/>
      <c r="AL1" s="3473"/>
      <c r="AM1" s="3473"/>
      <c r="AN1" s="3473"/>
      <c r="AO1" s="3474"/>
      <c r="AP1" s="1422" t="s">
        <v>231</v>
      </c>
      <c r="AQ1" s="1422" t="s">
        <v>131</v>
      </c>
    </row>
    <row r="2" spans="1:43" customFormat="1" ht="21" customHeight="1" x14ac:dyDescent="0.25">
      <c r="A2" s="3473"/>
      <c r="B2" s="3473"/>
      <c r="C2" s="3473"/>
      <c r="D2" s="3473"/>
      <c r="E2" s="3473"/>
      <c r="F2" s="3473"/>
      <c r="G2" s="3473"/>
      <c r="H2" s="3473"/>
      <c r="I2" s="3473"/>
      <c r="J2" s="3473"/>
      <c r="K2" s="3473"/>
      <c r="L2" s="3473"/>
      <c r="M2" s="3473"/>
      <c r="N2" s="3473"/>
      <c r="O2" s="3473"/>
      <c r="P2" s="3473"/>
      <c r="Q2" s="3473"/>
      <c r="R2" s="3473"/>
      <c r="S2" s="3473"/>
      <c r="T2" s="3473"/>
      <c r="U2" s="3473"/>
      <c r="V2" s="3473"/>
      <c r="W2" s="3473"/>
      <c r="X2" s="3473"/>
      <c r="Y2" s="3473"/>
      <c r="Z2" s="3473"/>
      <c r="AA2" s="3473"/>
      <c r="AB2" s="3473"/>
      <c r="AC2" s="3473"/>
      <c r="AD2" s="3473"/>
      <c r="AE2" s="3473"/>
      <c r="AF2" s="3473"/>
      <c r="AG2" s="3473"/>
      <c r="AH2" s="3473"/>
      <c r="AI2" s="3473"/>
      <c r="AJ2" s="3473"/>
      <c r="AK2" s="3473"/>
      <c r="AL2" s="3473"/>
      <c r="AM2" s="3473"/>
      <c r="AN2" s="3473"/>
      <c r="AO2" s="3474"/>
      <c r="AP2" s="1423" t="s">
        <v>232</v>
      </c>
      <c r="AQ2" s="1422" t="s">
        <v>135</v>
      </c>
    </row>
    <row r="3" spans="1:43" customFormat="1" ht="21" customHeight="1" x14ac:dyDescent="0.25">
      <c r="A3" s="3473"/>
      <c r="B3" s="3473"/>
      <c r="C3" s="3473"/>
      <c r="D3" s="3473"/>
      <c r="E3" s="3473"/>
      <c r="F3" s="3473"/>
      <c r="G3" s="3473"/>
      <c r="H3" s="3473"/>
      <c r="I3" s="3473"/>
      <c r="J3" s="3473"/>
      <c r="K3" s="3473"/>
      <c r="L3" s="3473"/>
      <c r="M3" s="3473"/>
      <c r="N3" s="3473"/>
      <c r="O3" s="3473"/>
      <c r="P3" s="3473"/>
      <c r="Q3" s="3473"/>
      <c r="R3" s="3473"/>
      <c r="S3" s="3473"/>
      <c r="T3" s="3473"/>
      <c r="U3" s="3473"/>
      <c r="V3" s="3473"/>
      <c r="W3" s="3473"/>
      <c r="X3" s="3473"/>
      <c r="Y3" s="3473"/>
      <c r="Z3" s="3473"/>
      <c r="AA3" s="3473"/>
      <c r="AB3" s="3473"/>
      <c r="AC3" s="3473"/>
      <c r="AD3" s="3473"/>
      <c r="AE3" s="3473"/>
      <c r="AF3" s="3473"/>
      <c r="AG3" s="3473"/>
      <c r="AH3" s="3473"/>
      <c r="AI3" s="3473"/>
      <c r="AJ3" s="3473"/>
      <c r="AK3" s="3473"/>
      <c r="AL3" s="3473"/>
      <c r="AM3" s="3473"/>
      <c r="AN3" s="3473"/>
      <c r="AO3" s="3474"/>
      <c r="AP3" s="1422" t="s">
        <v>233</v>
      </c>
      <c r="AQ3" s="1424" t="s">
        <v>136</v>
      </c>
    </row>
    <row r="4" spans="1:43" customFormat="1" ht="21" customHeight="1" x14ac:dyDescent="0.25">
      <c r="A4" s="3473"/>
      <c r="B4" s="3473"/>
      <c r="C4" s="3473"/>
      <c r="D4" s="3473"/>
      <c r="E4" s="3473"/>
      <c r="F4" s="3473"/>
      <c r="G4" s="3473"/>
      <c r="H4" s="3473"/>
      <c r="I4" s="3473"/>
      <c r="J4" s="3473"/>
      <c r="K4" s="3473"/>
      <c r="L4" s="3473"/>
      <c r="M4" s="3473"/>
      <c r="N4" s="3473"/>
      <c r="O4" s="3473"/>
      <c r="P4" s="3473"/>
      <c r="Q4" s="3473"/>
      <c r="R4" s="3473"/>
      <c r="S4" s="3473"/>
      <c r="T4" s="3473"/>
      <c r="U4" s="3473"/>
      <c r="V4" s="3473"/>
      <c r="W4" s="3473"/>
      <c r="X4" s="3473"/>
      <c r="Y4" s="3473"/>
      <c r="Z4" s="3473"/>
      <c r="AA4" s="3473"/>
      <c r="AB4" s="3473"/>
      <c r="AC4" s="3473"/>
      <c r="AD4" s="3473"/>
      <c r="AE4" s="3473"/>
      <c r="AF4" s="3473"/>
      <c r="AG4" s="3473"/>
      <c r="AH4" s="3473"/>
      <c r="AI4" s="3473"/>
      <c r="AJ4" s="3473"/>
      <c r="AK4" s="3473"/>
      <c r="AL4" s="3473"/>
      <c r="AM4" s="3473"/>
      <c r="AN4" s="3473"/>
      <c r="AO4" s="3474"/>
      <c r="AP4" s="1425" t="s">
        <v>234</v>
      </c>
      <c r="AQ4" s="1426" t="s">
        <v>1</v>
      </c>
    </row>
    <row r="5" spans="1:43" customFormat="1" ht="21" customHeight="1" x14ac:dyDescent="0.25">
      <c r="A5" s="2527" t="s">
        <v>2</v>
      </c>
      <c r="B5" s="2527"/>
      <c r="C5" s="2527"/>
      <c r="D5" s="2527"/>
      <c r="E5" s="2527"/>
      <c r="F5" s="2527"/>
      <c r="G5" s="2527"/>
      <c r="H5" s="2527"/>
      <c r="I5" s="2527"/>
      <c r="J5" s="2527"/>
      <c r="K5" s="3475" t="s">
        <v>3</v>
      </c>
      <c r="L5" s="3476"/>
      <c r="M5" s="3476"/>
      <c r="N5" s="3476"/>
      <c r="O5" s="3476"/>
      <c r="P5" s="3476"/>
      <c r="Q5" s="3476"/>
      <c r="R5" s="3476"/>
      <c r="S5" s="3476"/>
      <c r="T5" s="3476"/>
      <c r="U5" s="3476"/>
      <c r="V5" s="3476"/>
      <c r="W5" s="3476"/>
      <c r="X5" s="3476"/>
      <c r="Y5" s="3476"/>
      <c r="Z5" s="3476"/>
      <c r="AA5" s="3476"/>
      <c r="AB5" s="3476"/>
      <c r="AC5" s="3476"/>
      <c r="AD5" s="3476"/>
      <c r="AE5" s="3476"/>
      <c r="AF5" s="3476"/>
      <c r="AG5" s="3476"/>
      <c r="AH5" s="3476"/>
      <c r="AI5" s="3476"/>
      <c r="AJ5" s="3476"/>
      <c r="AK5" s="3476"/>
      <c r="AL5" s="3476"/>
      <c r="AM5" s="3476"/>
      <c r="AN5" s="3476"/>
      <c r="AO5" s="3476"/>
      <c r="AP5" s="3476"/>
      <c r="AQ5" s="3477"/>
    </row>
    <row r="6" spans="1:43" customFormat="1" ht="21" customHeight="1" x14ac:dyDescent="0.25">
      <c r="A6" s="2527"/>
      <c r="B6" s="2527"/>
      <c r="C6" s="2527"/>
      <c r="D6" s="2527"/>
      <c r="E6" s="2527"/>
      <c r="F6" s="2527"/>
      <c r="G6" s="2527"/>
      <c r="H6" s="2527"/>
      <c r="I6" s="2527"/>
      <c r="J6" s="2527"/>
      <c r="K6" s="3478"/>
      <c r="L6" s="3478"/>
      <c r="M6" s="3478"/>
      <c r="N6" s="3478"/>
      <c r="O6" s="3478"/>
      <c r="P6" s="3478"/>
      <c r="Q6" s="3478"/>
      <c r="R6" s="3478"/>
      <c r="S6" s="3478"/>
      <c r="T6" s="3478"/>
      <c r="U6" s="3478"/>
      <c r="V6" s="3475" t="s">
        <v>1762</v>
      </c>
      <c r="W6" s="3476"/>
      <c r="X6" s="3476"/>
      <c r="Y6" s="3476"/>
      <c r="Z6" s="3476"/>
      <c r="AA6" s="3476"/>
      <c r="AB6" s="3476"/>
      <c r="AC6" s="3476"/>
      <c r="AD6" s="3476"/>
      <c r="AE6" s="3476"/>
      <c r="AF6" s="3476"/>
      <c r="AG6" s="3476"/>
      <c r="AH6" s="3476"/>
      <c r="AI6" s="3476"/>
      <c r="AJ6" s="3476"/>
      <c r="AK6" s="3476"/>
      <c r="AL6" s="3476"/>
      <c r="AM6" s="3476"/>
      <c r="AN6" s="3477"/>
      <c r="AO6" s="3479" t="s">
        <v>25</v>
      </c>
      <c r="AP6" s="3479" t="s">
        <v>26</v>
      </c>
      <c r="AQ6" s="3479" t="s">
        <v>27</v>
      </c>
    </row>
    <row r="7" spans="1:43" customFormat="1" ht="21" customHeight="1" x14ac:dyDescent="0.25">
      <c r="A7" s="3482" t="s">
        <v>5</v>
      </c>
      <c r="B7" s="3484" t="s">
        <v>1763</v>
      </c>
      <c r="C7" s="3485"/>
      <c r="D7" s="3482" t="s">
        <v>5</v>
      </c>
      <c r="E7" s="3484" t="s">
        <v>1764</v>
      </c>
      <c r="F7" s="3485"/>
      <c r="G7" s="3482" t="s">
        <v>5</v>
      </c>
      <c r="H7" s="3484" t="s">
        <v>1765</v>
      </c>
      <c r="I7" s="3485"/>
      <c r="J7" s="3482" t="s">
        <v>5</v>
      </c>
      <c r="K7" s="3462" t="s">
        <v>1766</v>
      </c>
      <c r="L7" s="3462" t="s">
        <v>10</v>
      </c>
      <c r="M7" s="3471" t="s">
        <v>11</v>
      </c>
      <c r="N7" s="3462" t="s">
        <v>12</v>
      </c>
      <c r="O7" s="3462" t="s">
        <v>1767</v>
      </c>
      <c r="P7" s="3458" t="s">
        <v>3</v>
      </c>
      <c r="Q7" s="3462" t="s">
        <v>14</v>
      </c>
      <c r="R7" s="3458" t="s">
        <v>1768</v>
      </c>
      <c r="S7" s="3462" t="s">
        <v>16</v>
      </c>
      <c r="T7" s="3462" t="s">
        <v>17</v>
      </c>
      <c r="U7" s="3462" t="s">
        <v>18</v>
      </c>
      <c r="V7" s="3464" t="s">
        <v>15</v>
      </c>
      <c r="W7" s="3462" t="s">
        <v>5</v>
      </c>
      <c r="X7" s="3462" t="s">
        <v>19</v>
      </c>
      <c r="Y7" s="3466" t="s">
        <v>20</v>
      </c>
      <c r="Z7" s="3466"/>
      <c r="AA7" s="3467" t="s">
        <v>21</v>
      </c>
      <c r="AB7" s="3467"/>
      <c r="AC7" s="3467"/>
      <c r="AD7" s="3467"/>
      <c r="AE7" s="3468" t="s">
        <v>22</v>
      </c>
      <c r="AF7" s="3469"/>
      <c r="AG7" s="3469"/>
      <c r="AH7" s="3469"/>
      <c r="AI7" s="3469"/>
      <c r="AJ7" s="3470"/>
      <c r="AK7" s="3467" t="s">
        <v>23</v>
      </c>
      <c r="AL7" s="3467"/>
      <c r="AM7" s="3467"/>
      <c r="AN7" s="3460" t="s">
        <v>24</v>
      </c>
      <c r="AO7" s="3480"/>
      <c r="AP7" s="3480"/>
      <c r="AQ7" s="3480"/>
    </row>
    <row r="8" spans="1:43" customFormat="1" ht="117.75" customHeight="1" x14ac:dyDescent="0.25">
      <c r="A8" s="3483"/>
      <c r="B8" s="3486"/>
      <c r="C8" s="3487"/>
      <c r="D8" s="3488"/>
      <c r="E8" s="3486"/>
      <c r="F8" s="3487"/>
      <c r="G8" s="3488"/>
      <c r="H8" s="3486"/>
      <c r="I8" s="3487"/>
      <c r="J8" s="3488"/>
      <c r="K8" s="3463"/>
      <c r="L8" s="3463"/>
      <c r="M8" s="3472"/>
      <c r="N8" s="3463"/>
      <c r="O8" s="3463"/>
      <c r="P8" s="3459"/>
      <c r="Q8" s="3463"/>
      <c r="R8" s="3459"/>
      <c r="S8" s="3463"/>
      <c r="T8" s="3463"/>
      <c r="U8" s="3463"/>
      <c r="V8" s="3465"/>
      <c r="W8" s="3463"/>
      <c r="X8" s="3463"/>
      <c r="Y8" s="2031" t="s">
        <v>28</v>
      </c>
      <c r="Z8" s="2032" t="s">
        <v>29</v>
      </c>
      <c r="AA8" s="2033" t="s">
        <v>30</v>
      </c>
      <c r="AB8" s="2033" t="s">
        <v>31</v>
      </c>
      <c r="AC8" s="2033" t="s">
        <v>138</v>
      </c>
      <c r="AD8" s="2033" t="s">
        <v>2507</v>
      </c>
      <c r="AE8" s="2033" t="s">
        <v>33</v>
      </c>
      <c r="AF8" s="2033" t="s">
        <v>34</v>
      </c>
      <c r="AG8" s="2033" t="s">
        <v>35</v>
      </c>
      <c r="AH8" s="2033" t="s">
        <v>36</v>
      </c>
      <c r="AI8" s="2033" t="s">
        <v>37</v>
      </c>
      <c r="AJ8" s="2033" t="s">
        <v>38</v>
      </c>
      <c r="AK8" s="2033" t="s">
        <v>39</v>
      </c>
      <c r="AL8" s="2033" t="s">
        <v>40</v>
      </c>
      <c r="AM8" s="2033" t="s">
        <v>41</v>
      </c>
      <c r="AN8" s="3461"/>
      <c r="AO8" s="3481"/>
      <c r="AP8" s="3481"/>
      <c r="AQ8" s="3481"/>
    </row>
    <row r="9" spans="1:43" ht="21" customHeight="1" x14ac:dyDescent="0.25">
      <c r="A9" s="1427">
        <v>2</v>
      </c>
      <c r="B9" s="3450" t="s">
        <v>602</v>
      </c>
      <c r="C9" s="3451"/>
      <c r="D9" s="3452"/>
      <c r="E9" s="3452"/>
      <c r="F9" s="3452"/>
      <c r="G9" s="1428"/>
      <c r="H9" s="1428"/>
      <c r="I9" s="1428"/>
      <c r="J9" s="1428"/>
      <c r="K9" s="1428"/>
      <c r="L9" s="1428"/>
      <c r="M9" s="1428"/>
      <c r="N9" s="1428"/>
      <c r="O9" s="1429"/>
      <c r="P9" s="1428"/>
      <c r="Q9" s="1428"/>
      <c r="R9" s="1428"/>
      <c r="S9" s="1428"/>
      <c r="T9" s="1428"/>
      <c r="U9" s="1428"/>
      <c r="V9" s="1428"/>
      <c r="W9" s="1428"/>
      <c r="X9" s="1428"/>
      <c r="Y9" s="2034"/>
      <c r="Z9" s="2034"/>
      <c r="AA9" s="2034"/>
      <c r="AB9" s="2034"/>
      <c r="AC9" s="2034"/>
      <c r="AD9" s="2034"/>
      <c r="AE9" s="2034"/>
      <c r="AF9" s="2034"/>
      <c r="AG9" s="2034"/>
      <c r="AH9" s="2034"/>
      <c r="AI9" s="2034"/>
      <c r="AJ9" s="2034"/>
      <c r="AK9" s="2034"/>
      <c r="AL9" s="2034"/>
      <c r="AM9" s="2035"/>
      <c r="AN9" s="1430"/>
      <c r="AO9" s="1428"/>
      <c r="AP9" s="1428"/>
      <c r="AQ9" s="1431"/>
    </row>
    <row r="10" spans="1:43" ht="21" customHeight="1" x14ac:dyDescent="0.25">
      <c r="A10" s="1432"/>
      <c r="B10" s="1433"/>
      <c r="C10" s="1434"/>
      <c r="D10" s="1435">
        <v>4</v>
      </c>
      <c r="E10" s="3453" t="s">
        <v>1769</v>
      </c>
      <c r="F10" s="3453"/>
      <c r="G10" s="3453"/>
      <c r="H10" s="3454"/>
      <c r="I10" s="3454"/>
      <c r="J10" s="1436"/>
      <c r="K10" s="1436"/>
      <c r="L10" s="1436"/>
      <c r="M10" s="1436"/>
      <c r="N10" s="1436"/>
      <c r="O10" s="1436"/>
      <c r="P10" s="1436"/>
      <c r="Q10" s="1436"/>
      <c r="R10" s="1436"/>
      <c r="S10" s="1436"/>
      <c r="T10" s="1436"/>
      <c r="U10" s="1436"/>
      <c r="V10" s="1436"/>
      <c r="W10" s="1436"/>
      <c r="X10" s="1436"/>
      <c r="Y10" s="2036"/>
      <c r="Z10" s="2036"/>
      <c r="AA10" s="2036"/>
      <c r="AB10" s="2036"/>
      <c r="AC10" s="2036"/>
      <c r="AD10" s="2036"/>
      <c r="AE10" s="2036"/>
      <c r="AF10" s="2036"/>
      <c r="AG10" s="2036"/>
      <c r="AH10" s="2036"/>
      <c r="AI10" s="2036"/>
      <c r="AJ10" s="2036"/>
      <c r="AK10" s="2036"/>
      <c r="AL10" s="2036"/>
      <c r="AM10" s="2036"/>
      <c r="AN10" s="1436"/>
      <c r="AO10" s="1436"/>
      <c r="AP10" s="1436"/>
      <c r="AQ10" s="1437"/>
    </row>
    <row r="11" spans="1:43" ht="33.75" customHeight="1" x14ac:dyDescent="0.25">
      <c r="A11" s="1438"/>
      <c r="B11" s="1439"/>
      <c r="C11" s="1439"/>
      <c r="D11" s="1439"/>
      <c r="E11" s="1438"/>
      <c r="F11" s="1438"/>
      <c r="G11" s="1440">
        <v>14</v>
      </c>
      <c r="H11" s="1441" t="s">
        <v>1770</v>
      </c>
      <c r="I11" s="1442"/>
      <c r="J11" s="1442"/>
      <c r="K11" s="1442"/>
      <c r="L11" s="1443"/>
      <c r="M11" s="1443"/>
      <c r="N11" s="1443"/>
      <c r="O11" s="1443"/>
      <c r="P11" s="1443"/>
      <c r="Q11" s="1443"/>
      <c r="R11" s="1443"/>
      <c r="S11" s="1443"/>
      <c r="T11" s="1443"/>
      <c r="U11" s="1443"/>
      <c r="V11" s="1443"/>
      <c r="W11" s="1443"/>
      <c r="X11" s="1443"/>
      <c r="Y11" s="2037"/>
      <c r="Z11" s="2037"/>
      <c r="AA11" s="2037"/>
      <c r="AB11" s="2037"/>
      <c r="AC11" s="2037"/>
      <c r="AD11" s="2037"/>
      <c r="AE11" s="2037"/>
      <c r="AF11" s="2037"/>
      <c r="AG11" s="2037"/>
      <c r="AH11" s="2037"/>
      <c r="AI11" s="2037"/>
      <c r="AJ11" s="2037"/>
      <c r="AK11" s="2037"/>
      <c r="AL11" s="2037"/>
      <c r="AM11" s="2037"/>
      <c r="AN11" s="1443"/>
      <c r="AO11" s="1443"/>
      <c r="AP11" s="1443"/>
      <c r="AQ11" s="1444"/>
    </row>
    <row r="12" spans="1:43" ht="169.5" customHeight="1" x14ac:dyDescent="0.25">
      <c r="A12" s="1445"/>
      <c r="B12" s="1446"/>
      <c r="C12" s="1446"/>
      <c r="D12" s="1445"/>
      <c r="E12" s="1446"/>
      <c r="F12" s="1446"/>
      <c r="G12" s="1447"/>
      <c r="H12" s="3455"/>
      <c r="I12" s="3456"/>
      <c r="J12" s="1448">
        <v>54</v>
      </c>
      <c r="K12" s="1187" t="s">
        <v>1771</v>
      </c>
      <c r="L12" s="674" t="s">
        <v>1772</v>
      </c>
      <c r="M12" s="674">
        <v>130</v>
      </c>
      <c r="N12" s="674" t="s">
        <v>1773</v>
      </c>
      <c r="O12" s="674" t="s">
        <v>1774</v>
      </c>
      <c r="P12" s="1187" t="s">
        <v>1775</v>
      </c>
      <c r="Q12" s="1449">
        <f>+R12/$R$19</f>
        <v>9.6583660157951765E-2</v>
      </c>
      <c r="R12" s="1450">
        <f>+V12</f>
        <v>240000000</v>
      </c>
      <c r="S12" s="1187" t="s">
        <v>1776</v>
      </c>
      <c r="T12" s="1187" t="s">
        <v>1777</v>
      </c>
      <c r="U12" s="1187" t="s">
        <v>1778</v>
      </c>
      <c r="V12" s="1450">
        <v>240000000</v>
      </c>
      <c r="W12" s="1451" t="s">
        <v>1779</v>
      </c>
      <c r="X12" s="1452" t="s">
        <v>1780</v>
      </c>
      <c r="Y12" s="1453">
        <v>1382.4</v>
      </c>
      <c r="Z12" s="1453">
        <v>1317.6</v>
      </c>
      <c r="AA12" s="1453">
        <v>459</v>
      </c>
      <c r="AB12" s="1453">
        <v>248</v>
      </c>
      <c r="AC12" s="1453">
        <v>1615</v>
      </c>
      <c r="AD12" s="1453">
        <v>378</v>
      </c>
      <c r="AE12" s="1453"/>
      <c r="AF12" s="1453"/>
      <c r="AG12" s="1453"/>
      <c r="AH12" s="1453"/>
      <c r="AI12" s="1453"/>
      <c r="AJ12" s="1453"/>
      <c r="AK12" s="1453"/>
      <c r="AL12" s="1453"/>
      <c r="AM12" s="1453"/>
      <c r="AN12" s="1453">
        <f>+AA12+AB12+AC12+AD12</f>
        <v>2700</v>
      </c>
      <c r="AO12" s="1454">
        <v>43101</v>
      </c>
      <c r="AP12" s="1454">
        <v>43464</v>
      </c>
      <c r="AQ12" s="674" t="s">
        <v>1781</v>
      </c>
    </row>
    <row r="13" spans="1:43" ht="28.5" customHeight="1" x14ac:dyDescent="0.25">
      <c r="A13" s="1438"/>
      <c r="B13" s="1439"/>
      <c r="C13" s="1439"/>
      <c r="D13" s="1439"/>
      <c r="E13" s="1438"/>
      <c r="F13" s="1438"/>
      <c r="G13" s="1455">
        <v>15</v>
      </c>
      <c r="H13" s="1441" t="s">
        <v>1782</v>
      </c>
      <c r="I13" s="1442"/>
      <c r="J13" s="1442"/>
      <c r="K13" s="1442"/>
      <c r="L13" s="1443"/>
      <c r="M13" s="1444"/>
      <c r="N13" s="1456"/>
      <c r="O13" s="1456"/>
      <c r="P13" s="1456"/>
      <c r="Q13" s="1456"/>
      <c r="R13" s="1457"/>
      <c r="S13" s="1456"/>
      <c r="T13" s="1456"/>
      <c r="U13" s="1456"/>
      <c r="V13" s="1457"/>
      <c r="W13" s="1456"/>
      <c r="X13" s="1456"/>
      <c r="Y13" s="1455"/>
      <c r="Z13" s="1455"/>
      <c r="AA13" s="1455"/>
      <c r="AB13" s="1455"/>
      <c r="AC13" s="1455"/>
      <c r="AD13" s="1455"/>
      <c r="AE13" s="1455"/>
      <c r="AF13" s="1455"/>
      <c r="AG13" s="1455"/>
      <c r="AH13" s="1455"/>
      <c r="AI13" s="1455"/>
      <c r="AJ13" s="1455"/>
      <c r="AK13" s="1455"/>
      <c r="AL13" s="1455"/>
      <c r="AM13" s="1455"/>
      <c r="AN13" s="1456"/>
      <c r="AO13" s="1458"/>
      <c r="AP13" s="1458"/>
      <c r="AQ13" s="1456"/>
    </row>
    <row r="14" spans="1:43" ht="105" customHeight="1" x14ac:dyDescent="0.25">
      <c r="A14" s="1459"/>
      <c r="B14" s="1446"/>
      <c r="C14" s="1446"/>
      <c r="D14" s="1445"/>
      <c r="E14" s="1446"/>
      <c r="F14" s="1446"/>
      <c r="G14" s="3009"/>
      <c r="H14" s="2373"/>
      <c r="I14" s="2367"/>
      <c r="J14" s="1188">
        <v>59</v>
      </c>
      <c r="K14" s="1190" t="s">
        <v>1783</v>
      </c>
      <c r="L14" s="1728" t="s">
        <v>1784</v>
      </c>
      <c r="M14" s="1188">
        <v>12</v>
      </c>
      <c r="N14" s="1188" t="s">
        <v>1773</v>
      </c>
      <c r="O14" s="2408" t="s">
        <v>1774</v>
      </c>
      <c r="P14" s="2390" t="s">
        <v>1775</v>
      </c>
      <c r="Q14" s="1449">
        <f>+R14/$R$19</f>
        <v>0.22827950510249223</v>
      </c>
      <c r="R14" s="1460">
        <f>+V14</f>
        <v>567250000</v>
      </c>
      <c r="S14" s="2390" t="s">
        <v>1776</v>
      </c>
      <c r="T14" s="2390" t="s">
        <v>1785</v>
      </c>
      <c r="U14" s="1190" t="s">
        <v>1786</v>
      </c>
      <c r="V14" s="368">
        <f>550000000+17250000</f>
        <v>567250000</v>
      </c>
      <c r="W14" s="1461" t="s">
        <v>1787</v>
      </c>
      <c r="X14" s="1462" t="s">
        <v>1788</v>
      </c>
      <c r="Y14" s="3443">
        <f>+[1]Hoja1!$E$12</f>
        <v>284400.12800000003</v>
      </c>
      <c r="Z14" s="3443">
        <f>+[1]Hoja1!$D$12</f>
        <v>271068.87199999997</v>
      </c>
      <c r="AA14" s="3443">
        <f>+AA12</f>
        <v>459</v>
      </c>
      <c r="AB14" s="3443">
        <f>+AB12</f>
        <v>248</v>
      </c>
      <c r="AC14" s="3443">
        <f>+AC12</f>
        <v>1615</v>
      </c>
      <c r="AD14" s="3443">
        <f>+AD12</f>
        <v>378</v>
      </c>
      <c r="AE14" s="3443"/>
      <c r="AF14" s="3443"/>
      <c r="AG14" s="3443"/>
      <c r="AH14" s="3443"/>
      <c r="AI14" s="3443"/>
      <c r="AJ14" s="3443"/>
      <c r="AK14" s="3443"/>
      <c r="AL14" s="3443"/>
      <c r="AM14" s="3443"/>
      <c r="AN14" s="3443">
        <f>+AA14+AB14+AC14+AD14</f>
        <v>2700</v>
      </c>
      <c r="AO14" s="3445">
        <v>43101</v>
      </c>
      <c r="AP14" s="3445">
        <v>43464</v>
      </c>
      <c r="AQ14" s="2974" t="s">
        <v>1781</v>
      </c>
    </row>
    <row r="15" spans="1:43" ht="101.25" customHeight="1" x14ac:dyDescent="0.25">
      <c r="A15" s="1459"/>
      <c r="B15" s="1446"/>
      <c r="C15" s="1446"/>
      <c r="D15" s="1445"/>
      <c r="E15" s="1446"/>
      <c r="F15" s="1446"/>
      <c r="G15" s="3457"/>
      <c r="H15" s="2374"/>
      <c r="I15" s="2370"/>
      <c r="J15" s="1188">
        <v>57</v>
      </c>
      <c r="K15" s="1190" t="s">
        <v>1789</v>
      </c>
      <c r="L15" s="1728" t="s">
        <v>1790</v>
      </c>
      <c r="M15" s="1188">
        <v>12</v>
      </c>
      <c r="N15" s="1188" t="s">
        <v>1773</v>
      </c>
      <c r="O15" s="2408"/>
      <c r="P15" s="2391"/>
      <c r="Q15" s="1449">
        <f>+R15/$R$19</f>
        <v>0.22133755452863946</v>
      </c>
      <c r="R15" s="1460">
        <f>+V15</f>
        <v>550000000</v>
      </c>
      <c r="S15" s="2391"/>
      <c r="T15" s="2391"/>
      <c r="U15" s="1190" t="s">
        <v>1791</v>
      </c>
      <c r="V15" s="368">
        <v>550000000</v>
      </c>
      <c r="W15" s="1461" t="s">
        <v>1787</v>
      </c>
      <c r="X15" s="1462" t="s">
        <v>1788</v>
      </c>
      <c r="Y15" s="3444"/>
      <c r="Z15" s="3444"/>
      <c r="AA15" s="3444"/>
      <c r="AB15" s="3444"/>
      <c r="AC15" s="3444"/>
      <c r="AD15" s="3444"/>
      <c r="AE15" s="3444"/>
      <c r="AF15" s="3444"/>
      <c r="AG15" s="3444"/>
      <c r="AH15" s="3444"/>
      <c r="AI15" s="3444"/>
      <c r="AJ15" s="3444"/>
      <c r="AK15" s="3444"/>
      <c r="AL15" s="3444"/>
      <c r="AM15" s="3444"/>
      <c r="AN15" s="3444"/>
      <c r="AO15" s="3446"/>
      <c r="AP15" s="3446">
        <v>43464</v>
      </c>
      <c r="AQ15" s="3447"/>
    </row>
    <row r="16" spans="1:43" ht="118.5" customHeight="1" x14ac:dyDescent="0.25">
      <c r="A16" s="1459"/>
      <c r="B16" s="1189"/>
      <c r="C16" s="1189"/>
      <c r="D16" s="1459"/>
      <c r="E16" s="1191"/>
      <c r="F16" s="1191"/>
      <c r="G16" s="3457"/>
      <c r="H16" s="2374"/>
      <c r="I16" s="2370"/>
      <c r="J16" s="1188">
        <v>60</v>
      </c>
      <c r="K16" s="1190" t="s">
        <v>1792</v>
      </c>
      <c r="L16" s="1728" t="s">
        <v>1793</v>
      </c>
      <c r="M16" s="1188">
        <v>12</v>
      </c>
      <c r="N16" s="1188" t="s">
        <v>1773</v>
      </c>
      <c r="O16" s="2408"/>
      <c r="P16" s="2391"/>
      <c r="Q16" s="1449">
        <f>+R16/$R$19</f>
        <v>0.17612125725680525</v>
      </c>
      <c r="R16" s="1460">
        <f>+V16</f>
        <v>437642368</v>
      </c>
      <c r="S16" s="2391"/>
      <c r="T16" s="2391"/>
      <c r="U16" s="1190" t="s">
        <v>1794</v>
      </c>
      <c r="V16" s="1463">
        <f>388000000+49642368</f>
        <v>437642368</v>
      </c>
      <c r="W16" s="1451" t="s">
        <v>1779</v>
      </c>
      <c r="X16" s="1464" t="s">
        <v>1780</v>
      </c>
      <c r="Y16" s="3444"/>
      <c r="Z16" s="3444"/>
      <c r="AA16" s="3444"/>
      <c r="AB16" s="3444"/>
      <c r="AC16" s="3444"/>
      <c r="AD16" s="3444"/>
      <c r="AE16" s="3444"/>
      <c r="AF16" s="3444"/>
      <c r="AG16" s="3444"/>
      <c r="AH16" s="3444"/>
      <c r="AI16" s="3444"/>
      <c r="AJ16" s="3444"/>
      <c r="AK16" s="3444"/>
      <c r="AL16" s="3444"/>
      <c r="AM16" s="3444"/>
      <c r="AN16" s="3444"/>
      <c r="AO16" s="3446"/>
      <c r="AP16" s="3446">
        <v>43464</v>
      </c>
      <c r="AQ16" s="3447"/>
    </row>
    <row r="17" spans="1:43" ht="48.75" customHeight="1" x14ac:dyDescent="0.25">
      <c r="A17" s="1459"/>
      <c r="B17" s="1189"/>
      <c r="C17" s="1189"/>
      <c r="D17" s="1459"/>
      <c r="E17" s="1191"/>
      <c r="F17" s="1191"/>
      <c r="G17" s="3457"/>
      <c r="H17" s="2374"/>
      <c r="I17" s="2370"/>
      <c r="J17" s="2398">
        <v>63</v>
      </c>
      <c r="K17" s="2390" t="s">
        <v>1795</v>
      </c>
      <c r="L17" s="2390" t="s">
        <v>1796</v>
      </c>
      <c r="M17" s="2398">
        <v>250</v>
      </c>
      <c r="N17" s="2398" t="s">
        <v>1773</v>
      </c>
      <c r="O17" s="2408"/>
      <c r="P17" s="2391"/>
      <c r="Q17" s="3448">
        <f>+R17/$R$19</f>
        <v>0.27767802295411131</v>
      </c>
      <c r="R17" s="2404">
        <f>+V17+V18</f>
        <v>690000000</v>
      </c>
      <c r="S17" s="2391"/>
      <c r="T17" s="2391"/>
      <c r="U17" s="2390" t="s">
        <v>1797</v>
      </c>
      <c r="V17" s="368">
        <v>550000000</v>
      </c>
      <c r="W17" s="1461" t="s">
        <v>1787</v>
      </c>
      <c r="X17" s="1462" t="s">
        <v>1788</v>
      </c>
      <c r="Y17" s="3444"/>
      <c r="Z17" s="3444"/>
      <c r="AA17" s="3444"/>
      <c r="AB17" s="3444"/>
      <c r="AC17" s="3444"/>
      <c r="AD17" s="3444"/>
      <c r="AE17" s="3444"/>
      <c r="AF17" s="3444"/>
      <c r="AG17" s="3444"/>
      <c r="AH17" s="3444"/>
      <c r="AI17" s="3444"/>
      <c r="AJ17" s="3444"/>
      <c r="AK17" s="3444"/>
      <c r="AL17" s="3444"/>
      <c r="AM17" s="3444"/>
      <c r="AN17" s="3444"/>
      <c r="AO17" s="3446"/>
      <c r="AP17" s="3446">
        <v>43464</v>
      </c>
      <c r="AQ17" s="3447"/>
    </row>
    <row r="18" spans="1:43" ht="48.75" customHeight="1" thickBot="1" x14ac:dyDescent="0.3">
      <c r="A18" s="1459"/>
      <c r="B18" s="1189"/>
      <c r="C18" s="1189"/>
      <c r="D18" s="1459"/>
      <c r="E18" s="1191"/>
      <c r="F18" s="1191"/>
      <c r="G18" s="3457"/>
      <c r="H18" s="2374"/>
      <c r="I18" s="2370"/>
      <c r="J18" s="2399"/>
      <c r="K18" s="2391"/>
      <c r="L18" s="2391"/>
      <c r="M18" s="2399"/>
      <c r="N18" s="2399"/>
      <c r="O18" s="2398"/>
      <c r="P18" s="2391"/>
      <c r="Q18" s="3449"/>
      <c r="R18" s="2405"/>
      <c r="S18" s="2391"/>
      <c r="T18" s="2391"/>
      <c r="U18" s="2391"/>
      <c r="V18" s="1460">
        <v>140000000</v>
      </c>
      <c r="W18" s="1451" t="s">
        <v>1779</v>
      </c>
      <c r="X18" s="1464" t="s">
        <v>1780</v>
      </c>
      <c r="Y18" s="3444"/>
      <c r="Z18" s="3444"/>
      <c r="AA18" s="3444"/>
      <c r="AB18" s="3444"/>
      <c r="AC18" s="3444"/>
      <c r="AD18" s="3444"/>
      <c r="AE18" s="3444"/>
      <c r="AF18" s="3444"/>
      <c r="AG18" s="3444"/>
      <c r="AH18" s="3444"/>
      <c r="AI18" s="3444"/>
      <c r="AJ18" s="3444"/>
      <c r="AK18" s="3444"/>
      <c r="AL18" s="3444"/>
      <c r="AM18" s="3444"/>
      <c r="AN18" s="3444"/>
      <c r="AO18" s="3446"/>
      <c r="AP18" s="3446">
        <v>43464</v>
      </c>
      <c r="AQ18" s="3447"/>
    </row>
    <row r="19" spans="1:43" ht="21" customHeight="1" thickBot="1" x14ac:dyDescent="0.3">
      <c r="A19" s="3441"/>
      <c r="B19" s="3442"/>
      <c r="C19" s="3442"/>
      <c r="D19" s="3442"/>
      <c r="E19" s="3442"/>
      <c r="F19" s="3442"/>
      <c r="G19" s="3442"/>
      <c r="H19" s="3442"/>
      <c r="I19" s="3442"/>
      <c r="J19" s="3442"/>
      <c r="K19" s="3442"/>
      <c r="L19" s="3442"/>
      <c r="M19" s="3442"/>
      <c r="N19" s="3442"/>
      <c r="O19" s="1465"/>
      <c r="P19" s="1466" t="s">
        <v>24</v>
      </c>
      <c r="Q19" s="1467"/>
      <c r="R19" s="1468">
        <f>SUM(R12:R18)</f>
        <v>2484892368</v>
      </c>
      <c r="S19" s="1469"/>
      <c r="T19" s="1470"/>
      <c r="U19" s="1471"/>
      <c r="V19" s="1472">
        <f>SUM(V12:V18)</f>
        <v>2484892368</v>
      </c>
      <c r="W19" s="1473"/>
      <c r="X19" s="1474"/>
      <c r="Y19" s="2030"/>
      <c r="Z19" s="2030"/>
      <c r="AA19" s="2030"/>
      <c r="AB19" s="2030"/>
      <c r="AC19" s="2030"/>
      <c r="AD19" s="2030"/>
      <c r="AE19" s="2030"/>
      <c r="AF19" s="2030"/>
      <c r="AG19" s="2030"/>
      <c r="AH19" s="2030"/>
      <c r="AI19" s="2030"/>
      <c r="AJ19" s="2030"/>
      <c r="AK19" s="2030"/>
      <c r="AL19" s="2030"/>
      <c r="AM19" s="2038"/>
      <c r="AN19" s="1475"/>
      <c r="AO19" s="1476"/>
      <c r="AP19" s="1476"/>
      <c r="AQ19" s="1477"/>
    </row>
    <row r="20" spans="1:43" ht="21" customHeight="1" x14ac:dyDescent="0.25">
      <c r="A20" s="1478"/>
      <c r="B20" s="1478"/>
      <c r="C20" s="1478"/>
      <c r="D20" s="1478"/>
      <c r="E20" s="1479"/>
      <c r="F20" s="1478"/>
      <c r="G20" s="1479"/>
      <c r="H20" s="1478"/>
      <c r="I20" s="1478"/>
      <c r="J20" s="1478"/>
      <c r="K20" s="1478"/>
      <c r="L20" s="1478"/>
      <c r="M20" s="1478"/>
      <c r="N20" s="1480"/>
      <c r="O20" s="1478"/>
      <c r="P20" s="1478"/>
      <c r="Q20" s="1478"/>
      <c r="R20" s="1481"/>
      <c r="S20" s="1481"/>
      <c r="T20" s="1481"/>
      <c r="U20" s="1481"/>
      <c r="V20" s="1481"/>
      <c r="W20" s="1478"/>
      <c r="X20" s="1478"/>
      <c r="Y20" s="1479"/>
      <c r="Z20" s="1479"/>
      <c r="AA20" s="1479"/>
      <c r="AB20" s="1479"/>
      <c r="AC20" s="1479"/>
      <c r="AD20" s="1479"/>
      <c r="AE20" s="1479"/>
      <c r="AF20" s="1479"/>
      <c r="AG20" s="1479"/>
      <c r="AH20" s="1479"/>
      <c r="AI20" s="1479"/>
      <c r="AJ20" s="1479"/>
      <c r="AK20" s="1479"/>
      <c r="AL20" s="1479"/>
      <c r="AM20" s="2039"/>
      <c r="AN20" s="1482"/>
    </row>
    <row r="21" spans="1:43" ht="21" customHeight="1" x14ac:dyDescent="0.25">
      <c r="A21" s="1478"/>
      <c r="B21" s="1478"/>
      <c r="C21" s="1478"/>
      <c r="D21" s="1478"/>
      <c r="E21" s="1479"/>
      <c r="F21" s="1478"/>
      <c r="G21" s="1479"/>
      <c r="H21" s="1478"/>
      <c r="I21" s="1478"/>
      <c r="J21" s="1478"/>
      <c r="K21" s="1478"/>
      <c r="L21" s="1478"/>
      <c r="M21" s="1478"/>
      <c r="N21" s="1480"/>
      <c r="O21" s="1478"/>
      <c r="P21" s="1478"/>
      <c r="Q21" s="1478"/>
      <c r="R21" s="1481"/>
      <c r="S21" s="1481"/>
      <c r="T21" s="1481"/>
      <c r="U21" s="1481"/>
      <c r="V21" s="1481"/>
      <c r="W21" s="1478"/>
      <c r="X21" s="1478"/>
      <c r="Y21" s="1479"/>
      <c r="Z21" s="1479"/>
      <c r="AA21" s="1479"/>
      <c r="AB21" s="1479"/>
      <c r="AC21" s="1479"/>
      <c r="AD21" s="1479"/>
      <c r="AE21" s="1479"/>
      <c r="AF21" s="1479"/>
      <c r="AG21" s="1479"/>
      <c r="AH21" s="1479"/>
      <c r="AI21" s="1479"/>
      <c r="AJ21" s="1479"/>
      <c r="AK21" s="1479"/>
      <c r="AL21" s="1479"/>
      <c r="AM21" s="2039"/>
      <c r="AN21" s="1482"/>
    </row>
    <row r="22" spans="1:43" ht="21" customHeight="1" x14ac:dyDescent="0.25">
      <c r="A22" s="1478"/>
      <c r="B22" s="1478"/>
      <c r="C22" s="1478"/>
      <c r="D22" s="1478"/>
      <c r="E22" s="1479"/>
      <c r="F22" s="1478"/>
      <c r="G22" s="1479"/>
      <c r="H22" s="1478"/>
      <c r="I22" s="1478"/>
      <c r="J22" s="1478"/>
      <c r="K22" s="1478"/>
      <c r="L22" s="1478"/>
      <c r="M22" s="1478"/>
      <c r="N22" s="1480"/>
      <c r="O22" s="1478"/>
      <c r="P22" s="1478"/>
      <c r="Q22" s="1478"/>
      <c r="R22" s="1481"/>
      <c r="S22" s="1481"/>
      <c r="T22" s="1481"/>
      <c r="U22" s="1481"/>
      <c r="V22" s="1481"/>
      <c r="W22" s="1478"/>
      <c r="X22" s="1478"/>
      <c r="Y22" s="1479"/>
      <c r="Z22" s="1479"/>
      <c r="AA22" s="1479"/>
      <c r="AB22" s="1479"/>
      <c r="AC22" s="1479"/>
      <c r="AD22" s="1479"/>
      <c r="AE22" s="1479"/>
      <c r="AF22" s="1479"/>
      <c r="AG22" s="1479"/>
      <c r="AH22" s="1479"/>
      <c r="AI22" s="1479"/>
      <c r="AJ22" s="1479"/>
      <c r="AK22" s="1479"/>
      <c r="AL22" s="1479"/>
      <c r="AM22" s="2039"/>
      <c r="AN22" s="1482"/>
    </row>
    <row r="23" spans="1:43" ht="21" customHeight="1" x14ac:dyDescent="0.25">
      <c r="A23" s="1478"/>
      <c r="B23" s="1478"/>
      <c r="C23" s="1478"/>
      <c r="D23" s="1478"/>
      <c r="E23" s="1479"/>
      <c r="F23" s="1478"/>
      <c r="G23" s="1479"/>
      <c r="H23" s="1478"/>
      <c r="I23" s="1478"/>
      <c r="J23" s="1478"/>
      <c r="K23" s="1478"/>
      <c r="L23" s="1478"/>
      <c r="M23" s="1478"/>
      <c r="N23" s="1480"/>
      <c r="O23" s="1478"/>
      <c r="P23" s="1478"/>
      <c r="Q23" s="1478"/>
      <c r="R23" s="1481"/>
      <c r="S23" s="1481"/>
      <c r="T23" s="1481"/>
      <c r="U23" s="1481"/>
      <c r="V23" s="1481"/>
      <c r="W23" s="1478"/>
      <c r="X23" s="1478"/>
      <c r="Y23" s="1479"/>
      <c r="Z23" s="1479"/>
      <c r="AA23" s="1479"/>
      <c r="AB23" s="1479"/>
      <c r="AC23" s="1479"/>
      <c r="AD23" s="1479"/>
      <c r="AE23" s="1479"/>
      <c r="AF23" s="1479"/>
      <c r="AG23" s="1479"/>
      <c r="AH23" s="1479"/>
      <c r="AI23" s="1479"/>
      <c r="AJ23" s="1479"/>
      <c r="AK23" s="1479"/>
      <c r="AL23" s="1479"/>
      <c r="AM23" s="2039"/>
      <c r="AN23" s="1482"/>
    </row>
    <row r="24" spans="1:43" ht="21" customHeight="1" x14ac:dyDescent="0.25">
      <c r="A24" s="1478"/>
      <c r="B24" s="1478"/>
      <c r="C24" s="1478"/>
      <c r="D24" s="1478"/>
      <c r="E24" s="1479"/>
      <c r="F24" s="1478"/>
      <c r="G24" s="1479"/>
      <c r="H24" s="1478"/>
      <c r="I24" s="1478"/>
      <c r="J24" s="1478"/>
      <c r="K24" s="1478"/>
      <c r="L24" s="1478"/>
      <c r="M24" s="1478"/>
      <c r="N24" s="1480"/>
      <c r="O24" s="1478"/>
      <c r="P24" s="1478"/>
      <c r="Q24" s="1478"/>
      <c r="R24" s="1481"/>
      <c r="S24" s="1481"/>
      <c r="T24" s="1481"/>
      <c r="U24" s="1481"/>
      <c r="V24" s="1481"/>
      <c r="W24" s="1478"/>
      <c r="X24" s="1478"/>
      <c r="Y24" s="1479"/>
      <c r="Z24" s="1479"/>
      <c r="AA24" s="1479"/>
      <c r="AB24" s="1479"/>
      <c r="AC24" s="1479"/>
      <c r="AD24" s="1479"/>
      <c r="AE24" s="1479"/>
      <c r="AF24" s="1479"/>
      <c r="AG24" s="1479"/>
      <c r="AH24" s="1479"/>
      <c r="AI24" s="1479"/>
      <c r="AJ24" s="1479"/>
      <c r="AK24" s="1479"/>
      <c r="AL24" s="1479"/>
      <c r="AM24" s="2039"/>
      <c r="AN24" s="1482"/>
    </row>
    <row r="25" spans="1:43" ht="21" customHeight="1" x14ac:dyDescent="0.25">
      <c r="A25" s="1478"/>
      <c r="B25" s="1478"/>
      <c r="C25" s="1478"/>
      <c r="D25" s="1478"/>
      <c r="E25" s="1479"/>
      <c r="F25" s="1478"/>
      <c r="G25" s="1479"/>
      <c r="H25" s="1478"/>
      <c r="I25" s="1478"/>
      <c r="J25" s="1478"/>
      <c r="K25" s="1478"/>
      <c r="L25" s="1478"/>
      <c r="M25" s="1478"/>
      <c r="N25" s="1480"/>
      <c r="O25" s="1478"/>
      <c r="P25" s="1478"/>
      <c r="Q25" s="1478"/>
      <c r="R25" s="1481"/>
      <c r="S25" s="1481"/>
      <c r="T25" s="1481"/>
      <c r="U25" s="1481"/>
      <c r="V25" s="1481"/>
      <c r="W25" s="1478"/>
      <c r="X25" s="1478"/>
      <c r="Y25" s="1479"/>
      <c r="Z25" s="1479"/>
      <c r="AA25" s="1479"/>
      <c r="AB25" s="1479"/>
      <c r="AC25" s="1479"/>
      <c r="AD25" s="1479"/>
      <c r="AE25" s="1479"/>
      <c r="AF25" s="1479"/>
      <c r="AG25" s="1479"/>
      <c r="AH25" s="1479"/>
      <c r="AI25" s="1479"/>
      <c r="AJ25" s="1479"/>
      <c r="AK25" s="1479"/>
      <c r="AL25" s="1479"/>
      <c r="AM25" s="2039"/>
      <c r="AN25" s="1482"/>
    </row>
    <row r="26" spans="1:43" ht="21" customHeight="1" x14ac:dyDescent="0.25">
      <c r="A26" s="1478"/>
      <c r="B26" s="1478"/>
      <c r="C26" s="1478"/>
      <c r="D26" s="1478"/>
      <c r="E26" s="1479"/>
      <c r="F26" s="1478"/>
      <c r="G26" s="1479"/>
      <c r="H26" s="1478"/>
      <c r="I26" s="1478"/>
      <c r="J26" s="1478"/>
      <c r="K26" s="1478"/>
      <c r="L26" s="1478"/>
      <c r="M26" s="1478"/>
      <c r="N26" s="1480"/>
      <c r="O26" s="1478"/>
      <c r="P26" s="1478"/>
      <c r="Q26" s="1478"/>
      <c r="R26" s="1481"/>
      <c r="S26" s="1481"/>
      <c r="T26" s="1481"/>
      <c r="U26" s="1481"/>
      <c r="V26" s="1481"/>
      <c r="W26" s="1478"/>
      <c r="X26" s="1478"/>
      <c r="Y26" s="1479"/>
      <c r="Z26" s="1479"/>
      <c r="AA26" s="1479"/>
      <c r="AB26" s="1479"/>
      <c r="AC26" s="1479"/>
      <c r="AD26" s="1479"/>
      <c r="AE26" s="1479"/>
      <c r="AF26" s="1479"/>
      <c r="AG26" s="1479"/>
      <c r="AH26" s="1479"/>
      <c r="AI26" s="1479"/>
      <c r="AJ26" s="1479"/>
      <c r="AK26" s="1479"/>
      <c r="AL26" s="1479"/>
      <c r="AM26" s="2039"/>
      <c r="AN26" s="1482"/>
    </row>
    <row r="27" spans="1:43" ht="21" customHeight="1" x14ac:dyDescent="0.25">
      <c r="A27" s="1483" t="s">
        <v>1798</v>
      </c>
      <c r="B27" s="1484"/>
      <c r="C27" s="1478"/>
      <c r="D27" s="1478"/>
      <c r="E27" s="1479"/>
      <c r="F27" s="1478"/>
      <c r="G27" s="1479"/>
      <c r="H27" s="1478"/>
      <c r="I27" s="1478"/>
      <c r="J27" s="1478"/>
      <c r="K27" s="1478"/>
      <c r="L27" s="1478"/>
      <c r="M27" s="1478"/>
      <c r="N27" s="1480"/>
      <c r="O27" s="1478"/>
      <c r="P27" s="1478"/>
      <c r="Q27" s="1478"/>
      <c r="R27" s="1481"/>
      <c r="S27" s="1481"/>
      <c r="T27" s="1481"/>
      <c r="U27" s="1481"/>
      <c r="V27" s="1481"/>
      <c r="W27" s="1478"/>
      <c r="X27" s="1478"/>
      <c r="Y27" s="1479"/>
      <c r="Z27" s="1479"/>
      <c r="AA27" s="1479"/>
      <c r="AB27" s="1479"/>
      <c r="AC27" s="1479"/>
      <c r="AD27" s="1479"/>
      <c r="AE27" s="1479"/>
      <c r="AF27" s="1479"/>
      <c r="AG27" s="1479"/>
      <c r="AH27" s="1479"/>
      <c r="AI27" s="1479"/>
      <c r="AJ27" s="1479"/>
      <c r="AK27" s="1479"/>
      <c r="AL27" s="1479"/>
      <c r="AM27" s="2039"/>
      <c r="AN27" s="1482"/>
    </row>
    <row r="28" spans="1:43" ht="21" customHeight="1" x14ac:dyDescent="0.25">
      <c r="A28" s="1483" t="s">
        <v>1799</v>
      </c>
      <c r="B28" s="1484"/>
      <c r="C28" s="1478"/>
      <c r="D28" s="1478"/>
      <c r="E28" s="1479"/>
      <c r="F28" s="1478"/>
      <c r="G28" s="1479"/>
      <c r="H28" s="1478"/>
      <c r="I28" s="1478"/>
      <c r="J28" s="1478"/>
      <c r="K28" s="1478"/>
      <c r="L28" s="1478"/>
      <c r="M28" s="1478"/>
      <c r="N28" s="1480"/>
      <c r="O28" s="1478"/>
      <c r="P28" s="1478"/>
      <c r="Q28" s="1478"/>
      <c r="R28" s="1481"/>
      <c r="S28" s="1481"/>
      <c r="T28" s="1481"/>
      <c r="U28" s="1481"/>
      <c r="V28" s="1481"/>
      <c r="W28" s="1478"/>
      <c r="X28" s="1478"/>
      <c r="Y28" s="1479"/>
      <c r="Z28" s="1479"/>
      <c r="AA28" s="1479"/>
      <c r="AB28" s="1479"/>
      <c r="AC28" s="1479"/>
      <c r="AD28" s="1479"/>
      <c r="AE28" s="1479"/>
      <c r="AF28" s="1479"/>
      <c r="AG28" s="1479"/>
      <c r="AH28" s="1479"/>
      <c r="AI28" s="1479"/>
      <c r="AJ28" s="1479"/>
      <c r="AK28" s="1479"/>
      <c r="AL28" s="1479"/>
      <c r="AM28" s="2039"/>
      <c r="AN28" s="1482"/>
    </row>
    <row r="29" spans="1:43" ht="21" customHeight="1" x14ac:dyDescent="0.25">
      <c r="A29" s="1484"/>
      <c r="B29" s="1484"/>
      <c r="C29" s="1478"/>
      <c r="D29" s="1478"/>
      <c r="E29" s="1479"/>
      <c r="F29" s="1478"/>
      <c r="G29" s="1479"/>
      <c r="H29" s="1478"/>
      <c r="I29" s="1478"/>
      <c r="J29" s="1478"/>
      <c r="K29" s="1478"/>
      <c r="L29" s="1478"/>
      <c r="M29" s="1478"/>
      <c r="N29" s="1480"/>
      <c r="O29" s="1478"/>
      <c r="P29" s="1478"/>
      <c r="Q29" s="1478"/>
      <c r="R29" s="1481"/>
      <c r="S29" s="1481"/>
      <c r="T29" s="1481"/>
      <c r="U29" s="1481"/>
      <c r="V29" s="1481"/>
      <c r="W29" s="1478"/>
      <c r="X29" s="1478"/>
      <c r="Y29" s="1479"/>
      <c r="Z29" s="1479"/>
      <c r="AA29" s="1479"/>
      <c r="AB29" s="1479"/>
      <c r="AC29" s="1479"/>
      <c r="AD29" s="1479"/>
      <c r="AE29" s="1479"/>
      <c r="AF29" s="1479"/>
      <c r="AG29" s="1479"/>
      <c r="AH29" s="1479"/>
      <c r="AI29" s="1479"/>
      <c r="AJ29" s="1479"/>
      <c r="AK29" s="1479"/>
      <c r="AL29" s="1479"/>
      <c r="AM29" s="2039"/>
      <c r="AN29" s="1482"/>
    </row>
    <row r="30" spans="1:43" ht="21" customHeight="1" x14ac:dyDescent="0.25">
      <c r="A30" s="1484"/>
      <c r="B30" s="1484"/>
      <c r="C30" s="1478"/>
      <c r="D30" s="1478"/>
      <c r="E30" s="1479"/>
      <c r="F30" s="1478"/>
      <c r="G30" s="1479"/>
      <c r="H30" s="1478"/>
      <c r="I30" s="1478"/>
      <c r="J30" s="1478"/>
      <c r="K30" s="1478"/>
      <c r="L30" s="1478"/>
      <c r="M30" s="1478"/>
      <c r="N30" s="1480"/>
      <c r="O30" s="1478"/>
      <c r="P30" s="1478"/>
      <c r="Q30" s="1478"/>
      <c r="R30" s="1481"/>
      <c r="S30" s="1481"/>
      <c r="T30" s="1481"/>
      <c r="U30" s="1481"/>
      <c r="V30" s="1481"/>
      <c r="W30" s="1478"/>
      <c r="X30" s="1478"/>
      <c r="Y30" s="1479"/>
      <c r="Z30" s="1479"/>
      <c r="AA30" s="1479"/>
      <c r="AB30" s="1479"/>
      <c r="AC30" s="1479"/>
      <c r="AD30" s="1479"/>
      <c r="AE30" s="1479"/>
      <c r="AF30" s="1479"/>
      <c r="AG30" s="1479"/>
      <c r="AH30" s="1479"/>
      <c r="AI30" s="1479"/>
      <c r="AJ30" s="1479"/>
      <c r="AK30" s="1479"/>
      <c r="AL30" s="1479"/>
      <c r="AM30" s="2039"/>
      <c r="AN30" s="1482"/>
    </row>
    <row r="31" spans="1:43" ht="21" customHeight="1" x14ac:dyDescent="0.25">
      <c r="A31" s="1485" t="s">
        <v>1800</v>
      </c>
      <c r="B31" s="1484"/>
      <c r="C31" s="1478"/>
      <c r="D31" s="1478"/>
      <c r="E31" s="1479"/>
      <c r="F31" s="1478"/>
      <c r="G31" s="1479"/>
      <c r="H31" s="1478"/>
      <c r="I31" s="1478"/>
      <c r="J31" s="1478"/>
      <c r="K31" s="1478"/>
      <c r="L31" s="1478"/>
      <c r="M31" s="1478"/>
      <c r="N31" s="1480"/>
      <c r="O31" s="1478"/>
      <c r="P31" s="1478"/>
      <c r="Q31" s="1478"/>
      <c r="R31" s="1481"/>
      <c r="S31" s="1481"/>
      <c r="T31" s="1481"/>
      <c r="U31" s="1481"/>
      <c r="V31" s="1481"/>
      <c r="W31" s="1478"/>
      <c r="X31" s="1478"/>
      <c r="Y31" s="1479"/>
      <c r="Z31" s="1479"/>
      <c r="AA31" s="1479"/>
      <c r="AB31" s="1479"/>
      <c r="AC31" s="1479"/>
      <c r="AD31" s="1479"/>
      <c r="AE31" s="1479"/>
      <c r="AF31" s="1479"/>
      <c r="AG31" s="1479"/>
      <c r="AH31" s="1479"/>
      <c r="AI31" s="1479"/>
      <c r="AJ31" s="1479"/>
      <c r="AK31" s="1479"/>
      <c r="AL31" s="1479"/>
      <c r="AM31" s="2039"/>
      <c r="AN31" s="1482"/>
    </row>
    <row r="32" spans="1:43" ht="21" customHeight="1" x14ac:dyDescent="0.25">
      <c r="A32" s="1485" t="s">
        <v>1801</v>
      </c>
      <c r="B32" s="1484"/>
      <c r="C32" s="1478"/>
      <c r="D32" s="1478"/>
      <c r="E32" s="1479"/>
      <c r="F32" s="1478"/>
      <c r="G32" s="1479"/>
      <c r="H32" s="1478"/>
      <c r="I32" s="1478"/>
      <c r="J32" s="1478"/>
      <c r="K32" s="1478"/>
      <c r="L32" s="1478"/>
      <c r="M32" s="1478"/>
      <c r="N32" s="1480"/>
      <c r="O32" s="1478"/>
      <c r="P32" s="1478"/>
      <c r="Q32" s="1478"/>
      <c r="R32" s="1481"/>
      <c r="S32" s="1481"/>
      <c r="T32" s="1481"/>
      <c r="U32" s="1481"/>
      <c r="V32" s="1481"/>
      <c r="W32" s="1478"/>
      <c r="X32" s="1478"/>
      <c r="Y32" s="1479"/>
      <c r="Z32" s="1479"/>
      <c r="AA32" s="1479"/>
      <c r="AB32" s="1479"/>
      <c r="AC32" s="1479"/>
      <c r="AD32" s="1479"/>
      <c r="AE32" s="1479"/>
      <c r="AF32" s="1479"/>
      <c r="AG32" s="1479"/>
      <c r="AH32" s="1479"/>
      <c r="AI32" s="1479"/>
      <c r="AJ32" s="1479"/>
      <c r="AK32" s="1479"/>
      <c r="AL32" s="1479"/>
      <c r="AM32" s="2039"/>
      <c r="AN32" s="1482"/>
    </row>
    <row r="33" spans="1:40" ht="21" customHeight="1" x14ac:dyDescent="0.25">
      <c r="A33" s="1478"/>
      <c r="B33" s="1478"/>
      <c r="C33" s="1478"/>
      <c r="D33" s="1478"/>
      <c r="E33" s="1479"/>
      <c r="F33" s="1478"/>
      <c r="G33" s="1479"/>
      <c r="H33" s="1478"/>
      <c r="I33" s="1478"/>
      <c r="J33" s="1478"/>
      <c r="K33" s="1478"/>
      <c r="L33" s="1478"/>
      <c r="M33" s="1478"/>
      <c r="N33" s="1480"/>
      <c r="O33" s="1478"/>
      <c r="P33" s="1478"/>
      <c r="Q33" s="1478"/>
      <c r="R33" s="1481"/>
      <c r="S33" s="1481"/>
      <c r="T33" s="1481"/>
      <c r="U33" s="1481"/>
      <c r="V33" s="1481"/>
      <c r="W33" s="1478"/>
      <c r="X33" s="1478"/>
      <c r="Y33" s="1479"/>
      <c r="Z33" s="1479"/>
      <c r="AA33" s="1479"/>
      <c r="AB33" s="1479"/>
      <c r="AC33" s="1479"/>
      <c r="AD33" s="1479"/>
      <c r="AE33" s="1479"/>
      <c r="AF33" s="1479"/>
      <c r="AG33" s="1479"/>
      <c r="AH33" s="1479"/>
      <c r="AI33" s="1479"/>
      <c r="AJ33" s="1479"/>
      <c r="AK33" s="1479"/>
      <c r="AL33" s="1479"/>
      <c r="AM33" s="2039"/>
      <c r="AN33" s="1482"/>
    </row>
  </sheetData>
  <sheetProtection password="CBEB" sheet="1" objects="1" scenarios="1"/>
  <mergeCells count="71">
    <mergeCell ref="A1:AO4"/>
    <mergeCell ref="A5:J6"/>
    <mergeCell ref="K5:AQ5"/>
    <mergeCell ref="K6:U6"/>
    <mergeCell ref="V6:AN6"/>
    <mergeCell ref="AO6:AO8"/>
    <mergeCell ref="AP6:AP8"/>
    <mergeCell ref="AQ6:AQ8"/>
    <mergeCell ref="A7:A8"/>
    <mergeCell ref="B7:C8"/>
    <mergeCell ref="Q7:Q8"/>
    <mergeCell ref="D7:D8"/>
    <mergeCell ref="E7:F8"/>
    <mergeCell ref="G7:G8"/>
    <mergeCell ref="H7:I8"/>
    <mergeCell ref="J7:J8"/>
    <mergeCell ref="K7:K8"/>
    <mergeCell ref="L7:L8"/>
    <mergeCell ref="M7:M8"/>
    <mergeCell ref="N7:N8"/>
    <mergeCell ref="O7:O8"/>
    <mergeCell ref="P7:P8"/>
    <mergeCell ref="AN7:AN8"/>
    <mergeCell ref="R7:R8"/>
    <mergeCell ref="S7:S8"/>
    <mergeCell ref="T7:T8"/>
    <mergeCell ref="U7:U8"/>
    <mergeCell ref="V7:V8"/>
    <mergeCell ref="W7:W8"/>
    <mergeCell ref="X7:X8"/>
    <mergeCell ref="Y7:Z7"/>
    <mergeCell ref="AA7:AD7"/>
    <mergeCell ref="AE7:AJ7"/>
    <mergeCell ref="AK7:AM7"/>
    <mergeCell ref="AA14:AA18"/>
    <mergeCell ref="R17:R18"/>
    <mergeCell ref="U17:U18"/>
    <mergeCell ref="B9:F9"/>
    <mergeCell ref="E10:I10"/>
    <mergeCell ref="H12:I12"/>
    <mergeCell ref="G14:G18"/>
    <mergeCell ref="H14:I18"/>
    <mergeCell ref="O14:O18"/>
    <mergeCell ref="P14:P18"/>
    <mergeCell ref="S14:S18"/>
    <mergeCell ref="T14:T18"/>
    <mergeCell ref="Y14:Y18"/>
    <mergeCell ref="Z14:Z18"/>
    <mergeCell ref="AM14:AM18"/>
    <mergeCell ref="AB14:AB18"/>
    <mergeCell ref="AC14:AC18"/>
    <mergeCell ref="AD14:AD18"/>
    <mergeCell ref="AE14:AE18"/>
    <mergeCell ref="AF14:AF18"/>
    <mergeCell ref="AG14:AG18"/>
    <mergeCell ref="A19:N19"/>
    <mergeCell ref="AN14:AN18"/>
    <mergeCell ref="AO14:AO18"/>
    <mergeCell ref="AP14:AP18"/>
    <mergeCell ref="AQ14:AQ18"/>
    <mergeCell ref="J17:J18"/>
    <mergeCell ref="K17:K18"/>
    <mergeCell ref="L17:L18"/>
    <mergeCell ref="M17:M18"/>
    <mergeCell ref="N17:N18"/>
    <mergeCell ref="Q17:Q18"/>
    <mergeCell ref="AH14:AH18"/>
    <mergeCell ref="AI14:AI18"/>
    <mergeCell ref="AJ14:AJ18"/>
    <mergeCell ref="AK14:AK18"/>
    <mergeCell ref="AL14:AL1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AS20"/>
  <sheetViews>
    <sheetView showGridLines="0" tabSelected="1" zoomScale="50" zoomScaleNormal="50" workbookViewId="0">
      <selection activeCell="G14" sqref="G14"/>
    </sheetView>
  </sheetViews>
  <sheetFormatPr baseColWidth="10" defaultColWidth="11.42578125" defaultRowHeight="15" x14ac:dyDescent="0.2"/>
  <cols>
    <col min="1" max="1" width="18.5703125" style="110" customWidth="1"/>
    <col min="2" max="2" width="9.5703125" style="110" customWidth="1"/>
    <col min="3" max="3" width="13" style="110" customWidth="1"/>
    <col min="4" max="4" width="16" style="110" customWidth="1"/>
    <col min="5" max="5" width="11.42578125" style="110"/>
    <col min="6" max="6" width="10.140625" style="110" customWidth="1"/>
    <col min="7" max="7" width="16.5703125" style="110" customWidth="1"/>
    <col min="8" max="8" width="11.42578125" style="110"/>
    <col min="9" max="9" width="12.5703125" style="110" customWidth="1"/>
    <col min="10" max="10" width="14.85546875" style="110" customWidth="1"/>
    <col min="11" max="11" width="28.5703125" style="110" customWidth="1"/>
    <col min="12" max="12" width="19" style="110" customWidth="1"/>
    <col min="13" max="13" width="18" style="110" customWidth="1"/>
    <col min="14" max="14" width="21.28515625" style="110" customWidth="1"/>
    <col min="15" max="15" width="23.5703125" style="110" customWidth="1"/>
    <col min="16" max="16" width="26" style="110" customWidth="1"/>
    <col min="17" max="17" width="20.7109375" style="110" customWidth="1"/>
    <col min="18" max="18" width="26.5703125" style="110" customWidth="1"/>
    <col min="19" max="19" width="28.140625" style="110" customWidth="1"/>
    <col min="20" max="20" width="33.85546875" style="110" customWidth="1"/>
    <col min="21" max="21" width="34.140625" style="110" customWidth="1"/>
    <col min="22" max="22" width="27" style="110" customWidth="1"/>
    <col min="23" max="23" width="14.5703125" style="110" customWidth="1"/>
    <col min="24" max="24" width="19.7109375" style="110" customWidth="1"/>
    <col min="25" max="42" width="11.42578125" style="110"/>
    <col min="43" max="43" width="14.85546875" style="110" customWidth="1"/>
    <col min="44" max="44" width="14.28515625" style="110" customWidth="1"/>
    <col min="45" max="45" width="23.42578125" style="110" customWidth="1"/>
    <col min="46" max="16384" width="11.42578125" style="110"/>
  </cols>
  <sheetData>
    <row r="1" spans="1:45" ht="15" customHeight="1" x14ac:dyDescent="0.2">
      <c r="A1" s="2323" t="s">
        <v>258</v>
      </c>
      <c r="B1" s="2324"/>
      <c r="C1" s="2324"/>
      <c r="D1" s="2324"/>
      <c r="E1" s="2324"/>
      <c r="F1" s="2324"/>
      <c r="G1" s="2324"/>
      <c r="H1" s="2324"/>
      <c r="I1" s="2324"/>
      <c r="J1" s="2324"/>
      <c r="K1" s="2324"/>
      <c r="L1" s="2324"/>
      <c r="M1" s="2324"/>
      <c r="N1" s="2324"/>
      <c r="O1" s="2324"/>
      <c r="P1" s="2324"/>
      <c r="Q1" s="2324"/>
      <c r="R1" s="2324"/>
      <c r="S1" s="2324"/>
      <c r="T1" s="2324"/>
      <c r="U1" s="2324"/>
      <c r="V1" s="2324"/>
      <c r="W1" s="2324"/>
      <c r="X1" s="2324"/>
      <c r="Y1" s="2324"/>
      <c r="Z1" s="2324"/>
      <c r="AA1" s="2324"/>
      <c r="AB1" s="2324"/>
      <c r="AC1" s="2324"/>
      <c r="AD1" s="2324"/>
      <c r="AE1" s="2324"/>
      <c r="AF1" s="2324"/>
      <c r="AG1" s="2324"/>
      <c r="AH1" s="2324"/>
      <c r="AI1" s="2324"/>
      <c r="AJ1" s="2324"/>
      <c r="AK1" s="2324"/>
      <c r="AL1" s="2324"/>
      <c r="AM1" s="2324"/>
      <c r="AN1" s="2324"/>
      <c r="AO1" s="2324"/>
      <c r="AP1" s="2324"/>
      <c r="AQ1" s="2324"/>
      <c r="AR1" s="317" t="s">
        <v>231</v>
      </c>
      <c r="AS1" s="318" t="s">
        <v>134</v>
      </c>
    </row>
    <row r="2" spans="1:45" ht="15" customHeight="1" x14ac:dyDescent="0.2">
      <c r="A2" s="2326"/>
      <c r="B2" s="3259"/>
      <c r="C2" s="3259"/>
      <c r="D2" s="3259"/>
      <c r="E2" s="3259"/>
      <c r="F2" s="3259"/>
      <c r="G2" s="3259"/>
      <c r="H2" s="3259"/>
      <c r="I2" s="3259"/>
      <c r="J2" s="3259"/>
      <c r="K2" s="3259"/>
      <c r="L2" s="3259"/>
      <c r="M2" s="3259"/>
      <c r="N2" s="3259"/>
      <c r="O2" s="3259"/>
      <c r="P2" s="3259"/>
      <c r="Q2" s="3259"/>
      <c r="R2" s="3259"/>
      <c r="S2" s="3259"/>
      <c r="T2" s="3259"/>
      <c r="U2" s="3259"/>
      <c r="V2" s="3259"/>
      <c r="W2" s="3259"/>
      <c r="X2" s="3259"/>
      <c r="Y2" s="3259"/>
      <c r="Z2" s="3259"/>
      <c r="AA2" s="3259"/>
      <c r="AB2" s="3259"/>
      <c r="AC2" s="3259"/>
      <c r="AD2" s="3259"/>
      <c r="AE2" s="3259"/>
      <c r="AF2" s="3259"/>
      <c r="AG2" s="3259"/>
      <c r="AH2" s="3259"/>
      <c r="AI2" s="3259"/>
      <c r="AJ2" s="3259"/>
      <c r="AK2" s="3259"/>
      <c r="AL2" s="3259"/>
      <c r="AM2" s="3259"/>
      <c r="AN2" s="3259"/>
      <c r="AO2" s="3259"/>
      <c r="AP2" s="3259"/>
      <c r="AQ2" s="3259"/>
      <c r="AR2" s="319" t="s">
        <v>232</v>
      </c>
      <c r="AS2" s="320">
        <v>6</v>
      </c>
    </row>
    <row r="3" spans="1:45" ht="15" customHeight="1" x14ac:dyDescent="0.2">
      <c r="A3" s="2326"/>
      <c r="B3" s="3259"/>
      <c r="C3" s="3259"/>
      <c r="D3" s="3259"/>
      <c r="E3" s="3259"/>
      <c r="F3" s="3259"/>
      <c r="G3" s="3259"/>
      <c r="H3" s="3259"/>
      <c r="I3" s="3259"/>
      <c r="J3" s="3259"/>
      <c r="K3" s="3259"/>
      <c r="L3" s="3259"/>
      <c r="M3" s="3259"/>
      <c r="N3" s="3259"/>
      <c r="O3" s="3259"/>
      <c r="P3" s="3259"/>
      <c r="Q3" s="3259"/>
      <c r="R3" s="3259"/>
      <c r="S3" s="3259"/>
      <c r="T3" s="3259"/>
      <c r="U3" s="3259"/>
      <c r="V3" s="3259"/>
      <c r="W3" s="3259"/>
      <c r="X3" s="3259"/>
      <c r="Y3" s="3259"/>
      <c r="Z3" s="3259"/>
      <c r="AA3" s="3259"/>
      <c r="AB3" s="3259"/>
      <c r="AC3" s="3259"/>
      <c r="AD3" s="3259"/>
      <c r="AE3" s="3259"/>
      <c r="AF3" s="3259"/>
      <c r="AG3" s="3259"/>
      <c r="AH3" s="3259"/>
      <c r="AI3" s="3259"/>
      <c r="AJ3" s="3259"/>
      <c r="AK3" s="3259"/>
      <c r="AL3" s="3259"/>
      <c r="AM3" s="3259"/>
      <c r="AN3" s="3259"/>
      <c r="AO3" s="3259"/>
      <c r="AP3" s="3259"/>
      <c r="AQ3" s="3259"/>
      <c r="AR3" s="220" t="s">
        <v>233</v>
      </c>
      <c r="AS3" s="321" t="s">
        <v>136</v>
      </c>
    </row>
    <row r="4" spans="1:45" s="224" customFormat="1" ht="15" customHeight="1" x14ac:dyDescent="0.2">
      <c r="A4" s="2327"/>
      <c r="B4" s="2254"/>
      <c r="C4" s="2254"/>
      <c r="D4" s="2254"/>
      <c r="E4" s="2254"/>
      <c r="F4" s="2254"/>
      <c r="G4" s="2254"/>
      <c r="H4" s="2254"/>
      <c r="I4" s="2254"/>
      <c r="J4" s="2254"/>
      <c r="K4" s="2254"/>
      <c r="L4" s="2254"/>
      <c r="M4" s="2254"/>
      <c r="N4" s="2254"/>
      <c r="O4" s="2254"/>
      <c r="P4" s="2254"/>
      <c r="Q4" s="2254"/>
      <c r="R4" s="2254"/>
      <c r="S4" s="2254"/>
      <c r="T4" s="2254"/>
      <c r="U4" s="2254"/>
      <c r="V4" s="2254"/>
      <c r="W4" s="2254"/>
      <c r="X4" s="2254"/>
      <c r="Y4" s="2254"/>
      <c r="Z4" s="2254"/>
      <c r="AA4" s="2254"/>
      <c r="AB4" s="2254"/>
      <c r="AC4" s="2254"/>
      <c r="AD4" s="2254"/>
      <c r="AE4" s="2254"/>
      <c r="AF4" s="2254"/>
      <c r="AG4" s="2254"/>
      <c r="AH4" s="2254"/>
      <c r="AI4" s="2254"/>
      <c r="AJ4" s="2254"/>
      <c r="AK4" s="2254"/>
      <c r="AL4" s="2254"/>
      <c r="AM4" s="2254"/>
      <c r="AN4" s="2254"/>
      <c r="AO4" s="2254"/>
      <c r="AP4" s="2254"/>
      <c r="AQ4" s="2254"/>
      <c r="AR4" s="322" t="s">
        <v>234</v>
      </c>
      <c r="AS4" s="323" t="s">
        <v>181</v>
      </c>
    </row>
    <row r="5" spans="1:45" ht="15.75" x14ac:dyDescent="0.2">
      <c r="A5" s="2328" t="s">
        <v>2</v>
      </c>
      <c r="B5" s="2329"/>
      <c r="C5" s="2329"/>
      <c r="D5" s="2329"/>
      <c r="E5" s="2329"/>
      <c r="F5" s="2329"/>
      <c r="G5" s="2329"/>
      <c r="H5" s="2329"/>
      <c r="I5" s="2329"/>
      <c r="J5" s="2329"/>
      <c r="K5" s="2329"/>
      <c r="L5" s="2329"/>
      <c r="M5" s="2329"/>
      <c r="N5" s="2329"/>
      <c r="O5" s="3225"/>
      <c r="P5" s="2258" t="s">
        <v>3</v>
      </c>
      <c r="Q5" s="2258"/>
      <c r="R5" s="2258"/>
      <c r="S5" s="2258"/>
      <c r="T5" s="2258"/>
      <c r="U5" s="2258"/>
      <c r="V5" s="2258"/>
      <c r="W5" s="2258"/>
      <c r="X5" s="2258"/>
      <c r="Y5" s="2258"/>
      <c r="Z5" s="2258"/>
      <c r="AA5" s="2258"/>
      <c r="AB5" s="2258"/>
      <c r="AC5" s="2258"/>
      <c r="AD5" s="2258"/>
      <c r="AE5" s="2258"/>
      <c r="AF5" s="2258"/>
      <c r="AG5" s="2258"/>
      <c r="AH5" s="2258"/>
      <c r="AI5" s="2258"/>
      <c r="AJ5" s="2258"/>
      <c r="AK5" s="2258"/>
      <c r="AL5" s="2258"/>
      <c r="AM5" s="2258"/>
      <c r="AN5" s="2258"/>
      <c r="AO5" s="2258"/>
      <c r="AP5" s="2258"/>
      <c r="AQ5" s="2258"/>
      <c r="AR5" s="2258"/>
      <c r="AS5" s="2332"/>
    </row>
    <row r="6" spans="1:45" ht="15.75" x14ac:dyDescent="0.2">
      <c r="A6" s="2330"/>
      <c r="B6" s="2331"/>
      <c r="C6" s="2331"/>
      <c r="D6" s="2331"/>
      <c r="E6" s="2331"/>
      <c r="F6" s="2331"/>
      <c r="G6" s="2331"/>
      <c r="H6" s="2331"/>
      <c r="I6" s="2331"/>
      <c r="J6" s="2331"/>
      <c r="K6" s="2331"/>
      <c r="L6" s="2331"/>
      <c r="M6" s="2331"/>
      <c r="N6" s="2331"/>
      <c r="O6" s="2334"/>
      <c r="P6" s="2259"/>
      <c r="Q6" s="2260"/>
      <c r="R6" s="2260"/>
      <c r="S6" s="2260"/>
      <c r="T6" s="2260"/>
      <c r="U6" s="2260"/>
      <c r="V6" s="2260"/>
      <c r="W6" s="2260"/>
      <c r="X6" s="2261"/>
      <c r="Y6" s="312"/>
      <c r="Z6" s="312"/>
      <c r="AA6" s="312"/>
      <c r="AB6" s="312"/>
      <c r="AC6" s="312"/>
      <c r="AD6" s="312"/>
      <c r="AE6" s="312"/>
      <c r="AF6" s="312"/>
      <c r="AG6" s="312"/>
      <c r="AH6" s="312"/>
      <c r="AI6" s="312"/>
      <c r="AJ6" s="312"/>
      <c r="AK6" s="312"/>
      <c r="AL6" s="312"/>
      <c r="AM6" s="312"/>
      <c r="AN6" s="312"/>
      <c r="AO6" s="312"/>
      <c r="AP6" s="312"/>
      <c r="AQ6" s="2259"/>
      <c r="AR6" s="2260"/>
      <c r="AS6" s="2754"/>
    </row>
    <row r="7" spans="1:45" ht="15.75" x14ac:dyDescent="0.2">
      <c r="A7" s="3489" t="s">
        <v>5</v>
      </c>
      <c r="B7" s="3490" t="s">
        <v>6</v>
      </c>
      <c r="C7" s="3490"/>
      <c r="D7" s="3490" t="s">
        <v>5</v>
      </c>
      <c r="E7" s="3490" t="s">
        <v>7</v>
      </c>
      <c r="F7" s="3490"/>
      <c r="G7" s="3490" t="s">
        <v>5</v>
      </c>
      <c r="H7" s="3490" t="s">
        <v>8</v>
      </c>
      <c r="I7" s="3490"/>
      <c r="J7" s="3490" t="s">
        <v>5</v>
      </c>
      <c r="K7" s="3490" t="s">
        <v>9</v>
      </c>
      <c r="L7" s="3490" t="s">
        <v>10</v>
      </c>
      <c r="M7" s="3219" t="s">
        <v>11</v>
      </c>
      <c r="N7" s="3490" t="s">
        <v>12</v>
      </c>
      <c r="O7" s="3213" t="s">
        <v>182</v>
      </c>
      <c r="P7" s="3490" t="s">
        <v>3</v>
      </c>
      <c r="Q7" s="3490" t="s">
        <v>14</v>
      </c>
      <c r="R7" s="3490" t="s">
        <v>15</v>
      </c>
      <c r="S7" s="3490" t="s">
        <v>16</v>
      </c>
      <c r="T7" s="3490" t="s">
        <v>17</v>
      </c>
      <c r="U7" s="3490" t="s">
        <v>18</v>
      </c>
      <c r="V7" s="3219" t="s">
        <v>15</v>
      </c>
      <c r="W7" s="3213" t="s">
        <v>5</v>
      </c>
      <c r="X7" s="3490" t="s">
        <v>19</v>
      </c>
      <c r="Y7" s="2240" t="s">
        <v>20</v>
      </c>
      <c r="Z7" s="2241"/>
      <c r="AA7" s="2242" t="s">
        <v>21</v>
      </c>
      <c r="AB7" s="2243"/>
      <c r="AC7" s="2243"/>
      <c r="AD7" s="2243"/>
      <c r="AE7" s="2244" t="s">
        <v>22</v>
      </c>
      <c r="AF7" s="2245"/>
      <c r="AG7" s="2245"/>
      <c r="AH7" s="2245"/>
      <c r="AI7" s="2245"/>
      <c r="AJ7" s="2245"/>
      <c r="AK7" s="3493"/>
      <c r="AL7" s="2242" t="s">
        <v>23</v>
      </c>
      <c r="AM7" s="2243"/>
      <c r="AN7" s="2243"/>
      <c r="AO7" s="2243"/>
      <c r="AP7" s="2337" t="s">
        <v>24</v>
      </c>
      <c r="AQ7" s="3230" t="s">
        <v>25</v>
      </c>
      <c r="AR7" s="3230" t="s">
        <v>26</v>
      </c>
      <c r="AS7" s="3491" t="s">
        <v>27</v>
      </c>
    </row>
    <row r="8" spans="1:45" ht="120.75" customHeight="1" x14ac:dyDescent="0.2">
      <c r="A8" s="3489"/>
      <c r="B8" s="3490"/>
      <c r="C8" s="3490"/>
      <c r="D8" s="3490"/>
      <c r="E8" s="3490"/>
      <c r="F8" s="3490"/>
      <c r="G8" s="3490"/>
      <c r="H8" s="3490"/>
      <c r="I8" s="3490"/>
      <c r="J8" s="3490"/>
      <c r="K8" s="3490"/>
      <c r="L8" s="3490"/>
      <c r="M8" s="3256"/>
      <c r="N8" s="3490"/>
      <c r="O8" s="3214"/>
      <c r="P8" s="3490"/>
      <c r="Q8" s="3490"/>
      <c r="R8" s="3490"/>
      <c r="S8" s="3490"/>
      <c r="T8" s="3490"/>
      <c r="U8" s="3490"/>
      <c r="V8" s="3220"/>
      <c r="W8" s="3214"/>
      <c r="X8" s="3490"/>
      <c r="Y8" s="325" t="s">
        <v>28</v>
      </c>
      <c r="Z8" s="324" t="s">
        <v>29</v>
      </c>
      <c r="AA8" s="325" t="s">
        <v>30</v>
      </c>
      <c r="AB8" s="325" t="s">
        <v>31</v>
      </c>
      <c r="AC8" s="325" t="s">
        <v>235</v>
      </c>
      <c r="AD8" s="325" t="s">
        <v>32</v>
      </c>
      <c r="AE8" s="325" t="s">
        <v>33</v>
      </c>
      <c r="AF8" s="325" t="s">
        <v>34</v>
      </c>
      <c r="AG8" s="325" t="s">
        <v>35</v>
      </c>
      <c r="AH8" s="325" t="s">
        <v>36</v>
      </c>
      <c r="AI8" s="325" t="s">
        <v>37</v>
      </c>
      <c r="AJ8" s="3492" t="s">
        <v>38</v>
      </c>
      <c r="AK8" s="3492"/>
      <c r="AL8" s="3492" t="s">
        <v>39</v>
      </c>
      <c r="AM8" s="3492"/>
      <c r="AN8" s="325" t="s">
        <v>40</v>
      </c>
      <c r="AO8" s="325" t="s">
        <v>41</v>
      </c>
      <c r="AP8" s="2338"/>
      <c r="AQ8" s="3255"/>
      <c r="AR8" s="3255"/>
      <c r="AS8" s="3491"/>
    </row>
    <row r="9" spans="1:45" ht="23.25" customHeight="1" x14ac:dyDescent="0.2">
      <c r="A9" s="326">
        <v>4</v>
      </c>
      <c r="B9" s="327" t="s">
        <v>236</v>
      </c>
      <c r="C9" s="328"/>
      <c r="D9" s="328"/>
      <c r="E9" s="328"/>
      <c r="F9" s="328"/>
      <c r="G9" s="328"/>
      <c r="H9" s="328"/>
      <c r="I9" s="328"/>
      <c r="J9" s="328"/>
      <c r="K9" s="329"/>
      <c r="L9" s="328"/>
      <c r="M9" s="328"/>
      <c r="N9" s="328"/>
      <c r="O9" s="330"/>
      <c r="P9" s="329"/>
      <c r="Q9" s="331"/>
      <c r="R9" s="332"/>
      <c r="S9" s="329"/>
      <c r="T9" s="329"/>
      <c r="U9" s="329"/>
      <c r="V9" s="333"/>
      <c r="W9" s="334"/>
      <c r="X9" s="330"/>
      <c r="Y9" s="328"/>
      <c r="Z9" s="328"/>
      <c r="AA9" s="328"/>
      <c r="AB9" s="328"/>
      <c r="AC9" s="328"/>
      <c r="AD9" s="328"/>
      <c r="AE9" s="328"/>
      <c r="AF9" s="328"/>
      <c r="AG9" s="328"/>
      <c r="AH9" s="328"/>
      <c r="AI9" s="328"/>
      <c r="AJ9" s="328"/>
      <c r="AK9" s="328"/>
      <c r="AL9" s="328"/>
      <c r="AM9" s="328"/>
      <c r="AN9" s="328"/>
      <c r="AO9" s="328"/>
      <c r="AP9" s="328"/>
      <c r="AQ9" s="335"/>
      <c r="AR9" s="335"/>
      <c r="AS9" s="336"/>
    </row>
    <row r="10" spans="1:45" ht="23.25" customHeight="1" x14ac:dyDescent="0.2">
      <c r="A10" s="337"/>
      <c r="B10" s="338"/>
      <c r="C10" s="339"/>
      <c r="D10" s="340">
        <v>23</v>
      </c>
      <c r="E10" s="341" t="s">
        <v>237</v>
      </c>
      <c r="F10" s="341"/>
      <c r="G10" s="342"/>
      <c r="H10" s="342"/>
      <c r="I10" s="342"/>
      <c r="J10" s="342"/>
      <c r="K10" s="343"/>
      <c r="L10" s="342"/>
      <c r="M10" s="342"/>
      <c r="N10" s="342"/>
      <c r="O10" s="344"/>
      <c r="P10" s="343"/>
      <c r="Q10" s="345"/>
      <c r="R10" s="346"/>
      <c r="S10" s="343"/>
      <c r="T10" s="343"/>
      <c r="U10" s="343"/>
      <c r="V10" s="347"/>
      <c r="W10" s="348"/>
      <c r="X10" s="344"/>
      <c r="Y10" s="342"/>
      <c r="Z10" s="342"/>
      <c r="AA10" s="342"/>
      <c r="AB10" s="342"/>
      <c r="AC10" s="342"/>
      <c r="AD10" s="342"/>
      <c r="AE10" s="342"/>
      <c r="AF10" s="342"/>
      <c r="AG10" s="342"/>
      <c r="AH10" s="342"/>
      <c r="AI10" s="342"/>
      <c r="AJ10" s="342"/>
      <c r="AK10" s="342"/>
      <c r="AL10" s="342"/>
      <c r="AM10" s="342"/>
      <c r="AN10" s="342"/>
      <c r="AO10" s="342"/>
      <c r="AP10" s="342"/>
      <c r="AQ10" s="349"/>
      <c r="AR10" s="349"/>
      <c r="AS10" s="350"/>
    </row>
    <row r="11" spans="1:45" ht="23.25" customHeight="1" x14ac:dyDescent="0.2">
      <c r="A11" s="137"/>
      <c r="B11" s="138"/>
      <c r="C11" s="351"/>
      <c r="D11" s="150"/>
      <c r="E11" s="338"/>
      <c r="F11" s="339"/>
      <c r="G11" s="352">
        <v>77</v>
      </c>
      <c r="H11" s="353" t="s">
        <v>238</v>
      </c>
      <c r="I11" s="353"/>
      <c r="J11" s="353"/>
      <c r="K11" s="354"/>
      <c r="L11" s="353"/>
      <c r="M11" s="353"/>
      <c r="N11" s="353"/>
      <c r="O11" s="355"/>
      <c r="P11" s="354"/>
      <c r="Q11" s="356"/>
      <c r="R11" s="357"/>
      <c r="S11" s="354"/>
      <c r="T11" s="354"/>
      <c r="U11" s="354"/>
      <c r="V11" s="358"/>
      <c r="W11" s="359"/>
      <c r="X11" s="355"/>
      <c r="Y11" s="353"/>
      <c r="Z11" s="353"/>
      <c r="AA11" s="353"/>
      <c r="AB11" s="353"/>
      <c r="AC11" s="353"/>
      <c r="AD11" s="353"/>
      <c r="AE11" s="353"/>
      <c r="AF11" s="353"/>
      <c r="AG11" s="353"/>
      <c r="AH11" s="353"/>
      <c r="AI11" s="353"/>
      <c r="AJ11" s="353"/>
      <c r="AK11" s="353"/>
      <c r="AL11" s="353"/>
      <c r="AM11" s="353"/>
      <c r="AN11" s="353"/>
      <c r="AO11" s="353"/>
      <c r="AP11" s="353"/>
      <c r="AQ11" s="360"/>
      <c r="AR11" s="360"/>
      <c r="AS11" s="361"/>
    </row>
    <row r="12" spans="1:45" ht="75" customHeight="1" x14ac:dyDescent="0.2">
      <c r="A12" s="362"/>
      <c r="B12" s="366"/>
      <c r="C12" s="314"/>
      <c r="D12" s="3496"/>
      <c r="E12" s="366"/>
      <c r="F12" s="314"/>
      <c r="G12" s="363"/>
      <c r="H12" s="366"/>
      <c r="I12" s="366"/>
      <c r="J12" s="2874">
        <v>223</v>
      </c>
      <c r="K12" s="2147" t="s">
        <v>239</v>
      </c>
      <c r="L12" s="2823" t="s">
        <v>240</v>
      </c>
      <c r="M12" s="2184">
        <v>1</v>
      </c>
      <c r="N12" s="2772">
        <v>2301010423</v>
      </c>
      <c r="O12" s="2874" t="s">
        <v>241</v>
      </c>
      <c r="P12" s="2147" t="s">
        <v>242</v>
      </c>
      <c r="Q12" s="2445">
        <f>(V12+V13)/R12</f>
        <v>0.89333217391304343</v>
      </c>
      <c r="R12" s="2785">
        <f>SUM(V12:V15)</f>
        <v>115000000</v>
      </c>
      <c r="S12" s="2823" t="s">
        <v>243</v>
      </c>
      <c r="T12" s="2823" t="s">
        <v>244</v>
      </c>
      <c r="U12" s="364" t="s">
        <v>245</v>
      </c>
      <c r="V12" s="365">
        <v>100000000</v>
      </c>
      <c r="W12" s="2843"/>
      <c r="X12" s="2823" t="s">
        <v>246</v>
      </c>
      <c r="Y12" s="2954">
        <v>292684</v>
      </c>
      <c r="Z12" s="2954">
        <v>282326</v>
      </c>
      <c r="AA12" s="2954">
        <v>135912</v>
      </c>
      <c r="AB12" s="2954">
        <v>45122</v>
      </c>
      <c r="AC12" s="2954">
        <v>307101</v>
      </c>
      <c r="AD12" s="2954">
        <v>86875</v>
      </c>
      <c r="AE12" s="2954">
        <v>2145</v>
      </c>
      <c r="AF12" s="2954">
        <v>12718</v>
      </c>
      <c r="AG12" s="2954">
        <v>26</v>
      </c>
      <c r="AH12" s="2954">
        <v>37</v>
      </c>
      <c r="AI12" s="2954"/>
      <c r="AJ12" s="2954"/>
      <c r="AK12" s="2954"/>
      <c r="AL12" s="2954">
        <v>53164</v>
      </c>
      <c r="AM12" s="2954">
        <v>53164</v>
      </c>
      <c r="AN12" s="2954">
        <v>16982</v>
      </c>
      <c r="AO12" s="2954">
        <v>60013</v>
      </c>
      <c r="AP12" s="2954">
        <v>575010</v>
      </c>
      <c r="AQ12" s="3235">
        <v>43101</v>
      </c>
      <c r="AR12" s="3235">
        <v>43465</v>
      </c>
      <c r="AS12" s="3494" t="s">
        <v>247</v>
      </c>
    </row>
    <row r="13" spans="1:45" ht="69" customHeight="1" x14ac:dyDescent="0.2">
      <c r="A13" s="362"/>
      <c r="B13" s="2887"/>
      <c r="C13" s="2858"/>
      <c r="D13" s="3496"/>
      <c r="E13" s="2887"/>
      <c r="F13" s="2858"/>
      <c r="G13" s="367"/>
      <c r="H13" s="2887"/>
      <c r="I13" s="2887"/>
      <c r="J13" s="2874"/>
      <c r="K13" s="2147"/>
      <c r="L13" s="2823"/>
      <c r="M13" s="2184"/>
      <c r="N13" s="2773"/>
      <c r="O13" s="2874"/>
      <c r="P13" s="2147"/>
      <c r="Q13" s="2446"/>
      <c r="R13" s="2822"/>
      <c r="S13" s="2823"/>
      <c r="T13" s="2823"/>
      <c r="U13" s="364" t="s">
        <v>248</v>
      </c>
      <c r="V13" s="368">
        <v>2733200</v>
      </c>
      <c r="W13" s="2807"/>
      <c r="X13" s="2823"/>
      <c r="Y13" s="2995"/>
      <c r="Z13" s="2995">
        <v>282326</v>
      </c>
      <c r="AA13" s="2995">
        <v>135912</v>
      </c>
      <c r="AB13" s="2995">
        <v>45122</v>
      </c>
      <c r="AC13" s="2995">
        <v>307101</v>
      </c>
      <c r="AD13" s="2995">
        <v>86875</v>
      </c>
      <c r="AE13" s="2995">
        <v>2145</v>
      </c>
      <c r="AF13" s="2995">
        <v>12718</v>
      </c>
      <c r="AG13" s="2995">
        <v>26</v>
      </c>
      <c r="AH13" s="2995">
        <v>37</v>
      </c>
      <c r="AI13" s="2995"/>
      <c r="AJ13" s="2995"/>
      <c r="AK13" s="2995"/>
      <c r="AL13" s="2995"/>
      <c r="AM13" s="2995"/>
      <c r="AN13" s="2995">
        <v>16982</v>
      </c>
      <c r="AO13" s="2995">
        <v>60013</v>
      </c>
      <c r="AP13" s="2995"/>
      <c r="AQ13" s="3236"/>
      <c r="AR13" s="3236"/>
      <c r="AS13" s="3495"/>
    </row>
    <row r="14" spans="1:45" ht="75" x14ac:dyDescent="0.2">
      <c r="A14" s="362"/>
      <c r="B14" s="366"/>
      <c r="C14" s="314"/>
      <c r="D14" s="369"/>
      <c r="E14" s="366"/>
      <c r="F14" s="314"/>
      <c r="G14" s="367"/>
      <c r="H14" s="366"/>
      <c r="I14" s="366"/>
      <c r="J14" s="313">
        <v>224</v>
      </c>
      <c r="K14" s="310" t="s">
        <v>249</v>
      </c>
      <c r="L14" s="370" t="s">
        <v>250</v>
      </c>
      <c r="M14" s="311">
        <v>1</v>
      </c>
      <c r="N14" s="2773"/>
      <c r="O14" s="2874"/>
      <c r="P14" s="2147"/>
      <c r="Q14" s="371">
        <f>V14/R12</f>
        <v>9.2173913043478259E-2</v>
      </c>
      <c r="R14" s="2822"/>
      <c r="S14" s="2823"/>
      <c r="T14" s="2823"/>
      <c r="U14" s="364" t="s">
        <v>251</v>
      </c>
      <c r="V14" s="365">
        <v>10600000</v>
      </c>
      <c r="W14" s="2807"/>
      <c r="X14" s="2823"/>
      <c r="Y14" s="2995"/>
      <c r="Z14" s="2995">
        <v>282326</v>
      </c>
      <c r="AA14" s="2995">
        <v>135912</v>
      </c>
      <c r="AB14" s="2995">
        <v>45122</v>
      </c>
      <c r="AC14" s="2995">
        <v>307101</v>
      </c>
      <c r="AD14" s="2995">
        <v>86875</v>
      </c>
      <c r="AE14" s="2995">
        <v>2145</v>
      </c>
      <c r="AF14" s="2995">
        <v>12718</v>
      </c>
      <c r="AG14" s="2995">
        <v>26</v>
      </c>
      <c r="AH14" s="2995">
        <v>37</v>
      </c>
      <c r="AI14" s="2995"/>
      <c r="AJ14" s="2995"/>
      <c r="AK14" s="2995"/>
      <c r="AL14" s="2995"/>
      <c r="AM14" s="2995"/>
      <c r="AN14" s="2995">
        <v>16982</v>
      </c>
      <c r="AO14" s="2995">
        <v>60013</v>
      </c>
      <c r="AP14" s="2995"/>
      <c r="AQ14" s="3236"/>
      <c r="AR14" s="3236"/>
      <c r="AS14" s="3495"/>
    </row>
    <row r="15" spans="1:45" ht="105.75" thickBot="1" x14ac:dyDescent="0.25">
      <c r="A15" s="362"/>
      <c r="B15" s="366"/>
      <c r="C15" s="314"/>
      <c r="D15" s="369"/>
      <c r="E15" s="366"/>
      <c r="F15" s="314"/>
      <c r="G15" s="367"/>
      <c r="H15" s="366"/>
      <c r="I15" s="366"/>
      <c r="J15" s="315">
        <v>225</v>
      </c>
      <c r="K15" s="373" t="s">
        <v>252</v>
      </c>
      <c r="L15" s="372" t="s">
        <v>253</v>
      </c>
      <c r="M15" s="309">
        <v>1</v>
      </c>
      <c r="N15" s="2773"/>
      <c r="O15" s="2772"/>
      <c r="P15" s="2148"/>
      <c r="Q15" s="374">
        <f>V15/R12</f>
        <v>1.4493913043478262E-2</v>
      </c>
      <c r="R15" s="2822"/>
      <c r="S15" s="2783"/>
      <c r="T15" s="316" t="s">
        <v>254</v>
      </c>
      <c r="U15" s="375" t="s">
        <v>255</v>
      </c>
      <c r="V15" s="376">
        <v>1666800</v>
      </c>
      <c r="W15" s="2965"/>
      <c r="X15" s="2783"/>
      <c r="Y15" s="2995"/>
      <c r="Z15" s="2995">
        <v>282326</v>
      </c>
      <c r="AA15" s="2995">
        <v>135912</v>
      </c>
      <c r="AB15" s="2995">
        <v>45122</v>
      </c>
      <c r="AC15" s="2995">
        <v>307101</v>
      </c>
      <c r="AD15" s="2995">
        <v>86875</v>
      </c>
      <c r="AE15" s="2995">
        <v>2145</v>
      </c>
      <c r="AF15" s="2995">
        <v>12718</v>
      </c>
      <c r="AG15" s="2995">
        <v>26</v>
      </c>
      <c r="AH15" s="2995">
        <v>37</v>
      </c>
      <c r="AI15" s="2995"/>
      <c r="AJ15" s="2995"/>
      <c r="AK15" s="2995"/>
      <c r="AL15" s="2995"/>
      <c r="AM15" s="2995"/>
      <c r="AN15" s="2995">
        <v>16982</v>
      </c>
      <c r="AO15" s="2995">
        <v>60013</v>
      </c>
      <c r="AP15" s="2995"/>
      <c r="AQ15" s="3236"/>
      <c r="AR15" s="3236"/>
      <c r="AS15" s="3495"/>
    </row>
    <row r="16" spans="1:45" s="195" customFormat="1" ht="16.5" thickBot="1" x14ac:dyDescent="0.3">
      <c r="A16" s="377"/>
      <c r="B16" s="182"/>
      <c r="C16" s="182"/>
      <c r="D16" s="182"/>
      <c r="E16" s="182"/>
      <c r="F16" s="182"/>
      <c r="G16" s="185"/>
      <c r="H16" s="182"/>
      <c r="I16" s="182"/>
      <c r="J16" s="182"/>
      <c r="K16" s="182"/>
      <c r="L16" s="182"/>
      <c r="M16" s="182"/>
      <c r="N16" s="182"/>
      <c r="O16" s="182"/>
      <c r="P16" s="182"/>
      <c r="Q16" s="182"/>
      <c r="R16" s="378">
        <f>SUM(R12:R15)</f>
        <v>115000000</v>
      </c>
      <c r="S16" s="182"/>
      <c r="T16" s="182"/>
      <c r="U16" s="379"/>
      <c r="V16" s="378">
        <f>SUM(V12:V15)</f>
        <v>115000000</v>
      </c>
      <c r="W16" s="377"/>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379"/>
    </row>
    <row r="19" spans="5:8" ht="15.75" x14ac:dyDescent="0.25">
      <c r="E19" s="307" t="s">
        <v>257</v>
      </c>
      <c r="F19" s="380"/>
      <c r="G19" s="380"/>
      <c r="H19" s="380"/>
    </row>
    <row r="20" spans="5:8" ht="15.75" x14ac:dyDescent="0.25">
      <c r="E20" s="308" t="s">
        <v>256</v>
      </c>
    </row>
  </sheetData>
  <sheetProtection password="CBEB" sheet="1" objects="1" scenarios="1"/>
  <mergeCells count="74">
    <mergeCell ref="T12:T14"/>
    <mergeCell ref="W12:W15"/>
    <mergeCell ref="X12:X15"/>
    <mergeCell ref="Y12:Y15"/>
    <mergeCell ref="Z12:Z15"/>
    <mergeCell ref="AA12:AA15"/>
    <mergeCell ref="AG12:AG15"/>
    <mergeCell ref="AL12:AL15"/>
    <mergeCell ref="AM12:AM15"/>
    <mergeCell ref="AB12:AB15"/>
    <mergeCell ref="AC12:AC15"/>
    <mergeCell ref="AD12:AD15"/>
    <mergeCell ref="AE12:AE15"/>
    <mergeCell ref="AF12:AF15"/>
    <mergeCell ref="B13:C13"/>
    <mergeCell ref="E13:F13"/>
    <mergeCell ref="H13:I13"/>
    <mergeCell ref="R12:R15"/>
    <mergeCell ref="S12:S15"/>
    <mergeCell ref="N12:N15"/>
    <mergeCell ref="O12:O15"/>
    <mergeCell ref="P12:P15"/>
    <mergeCell ref="Q12:Q13"/>
    <mergeCell ref="D12:D13"/>
    <mergeCell ref="J12:J13"/>
    <mergeCell ref="K12:K13"/>
    <mergeCell ref="M12:M13"/>
    <mergeCell ref="L12:L13"/>
    <mergeCell ref="AP12:AP15"/>
    <mergeCell ref="AQ12:AQ15"/>
    <mergeCell ref="AR12:AR15"/>
    <mergeCell ref="AS12:AS15"/>
    <mergeCell ref="AH12:AH15"/>
    <mergeCell ref="AI12:AI15"/>
    <mergeCell ref="AJ12:AJ15"/>
    <mergeCell ref="AK12:AK15"/>
    <mergeCell ref="AO12:AO15"/>
    <mergeCell ref="AN12:AN15"/>
    <mergeCell ref="P7:P8"/>
    <mergeCell ref="Q7:Q8"/>
    <mergeCell ref="R7:R8"/>
    <mergeCell ref="AR7:AR8"/>
    <mergeCell ref="T7:T8"/>
    <mergeCell ref="N7:N8"/>
    <mergeCell ref="AS7:AS8"/>
    <mergeCell ref="AJ8:AK8"/>
    <mergeCell ref="AL8:AM8"/>
    <mergeCell ref="U7:U8"/>
    <mergeCell ref="V7:V8"/>
    <mergeCell ref="W7:W8"/>
    <mergeCell ref="X7:X8"/>
    <mergeCell ref="Y7:Z7"/>
    <mergeCell ref="AA7:AD7"/>
    <mergeCell ref="AE7:AK7"/>
    <mergeCell ref="AL7:AO7"/>
    <mergeCell ref="AP7:AP8"/>
    <mergeCell ref="AQ7:AQ8"/>
    <mergeCell ref="S7:S8"/>
    <mergeCell ref="O7:O8"/>
    <mergeCell ref="H7:I8"/>
    <mergeCell ref="J7:J8"/>
    <mergeCell ref="K7:K8"/>
    <mergeCell ref="L7:L8"/>
    <mergeCell ref="M7:M8"/>
    <mergeCell ref="A1:AQ4"/>
    <mergeCell ref="A5:O6"/>
    <mergeCell ref="P5:AS5"/>
    <mergeCell ref="P6:X6"/>
    <mergeCell ref="AQ6:AS6"/>
    <mergeCell ref="A7:A8"/>
    <mergeCell ref="B7:C8"/>
    <mergeCell ref="D7:D8"/>
    <mergeCell ref="E7:F8"/>
    <mergeCell ref="G7:G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K114"/>
  <sheetViews>
    <sheetView showGridLines="0" zoomScale="50" zoomScaleNormal="50" workbookViewId="0">
      <selection activeCell="O7" sqref="O7:O8"/>
    </sheetView>
  </sheetViews>
  <sheetFormatPr baseColWidth="10" defaultColWidth="14.85546875" defaultRowHeight="27" customHeight="1" x14ac:dyDescent="0.2"/>
  <cols>
    <col min="1" max="1" width="14.85546875" style="815"/>
    <col min="2" max="9" width="14.85546875" style="585"/>
    <col min="10" max="10" width="14.85546875" style="593"/>
    <col min="11" max="11" width="43.85546875" style="210" customWidth="1"/>
    <col min="12" max="12" width="20" style="199" customWidth="1"/>
    <col min="13" max="13" width="14.85546875" style="199"/>
    <col min="14" max="14" width="37.7109375" style="199" customWidth="1"/>
    <col min="15" max="15" width="27.28515625" style="199" customWidth="1"/>
    <col min="16" max="16" width="24.140625" style="210" customWidth="1"/>
    <col min="17" max="17" width="24.85546875" style="816" customWidth="1"/>
    <col min="18" max="18" width="24.42578125" style="817" customWidth="1"/>
    <col min="19" max="19" width="30.85546875" style="210" customWidth="1"/>
    <col min="20" max="20" width="48.5703125" style="210" customWidth="1"/>
    <col min="21" max="21" width="48.85546875" style="210" customWidth="1"/>
    <col min="22" max="22" width="28.140625" style="821" customWidth="1"/>
    <col min="23" max="23" width="14.85546875" style="209"/>
    <col min="24" max="24" width="18.5703125" style="691" customWidth="1"/>
    <col min="25" max="40" width="14.85546875" style="110"/>
    <col min="41" max="41" width="14.85546875" style="211"/>
    <col min="42" max="42" width="23.42578125" style="212" customWidth="1"/>
    <col min="43" max="43" width="28.28515625" style="204" customWidth="1"/>
    <col min="44" max="16384" width="14.85546875" style="110"/>
  </cols>
  <sheetData>
    <row r="1" spans="1:63" ht="19.5" customHeight="1" x14ac:dyDescent="0.2">
      <c r="A1" s="2252" t="s">
        <v>732</v>
      </c>
      <c r="B1" s="2252"/>
      <c r="C1" s="2252"/>
      <c r="D1" s="2252"/>
      <c r="E1" s="2252"/>
      <c r="F1" s="2252"/>
      <c r="G1" s="2252"/>
      <c r="H1" s="2252"/>
      <c r="I1" s="2252"/>
      <c r="J1" s="2252"/>
      <c r="K1" s="2252"/>
      <c r="L1" s="2252"/>
      <c r="M1" s="2252"/>
      <c r="N1" s="2252"/>
      <c r="O1" s="2252"/>
      <c r="P1" s="2252"/>
      <c r="Q1" s="2252"/>
      <c r="R1" s="2252"/>
      <c r="S1" s="2252"/>
      <c r="T1" s="2252"/>
      <c r="U1" s="2252"/>
      <c r="V1" s="2252"/>
      <c r="W1" s="2252"/>
      <c r="X1" s="2252"/>
      <c r="Y1" s="2252"/>
      <c r="Z1" s="2252"/>
      <c r="AA1" s="2252"/>
      <c r="AB1" s="2252"/>
      <c r="AC1" s="2252"/>
      <c r="AD1" s="2252"/>
      <c r="AE1" s="2252"/>
      <c r="AF1" s="2252"/>
      <c r="AG1" s="2252"/>
      <c r="AH1" s="2252"/>
      <c r="AI1" s="2252"/>
      <c r="AJ1" s="2252"/>
      <c r="AK1" s="2252"/>
      <c r="AL1" s="2252"/>
      <c r="AM1" s="2252"/>
      <c r="AN1" s="2252"/>
      <c r="AO1" s="2253"/>
      <c r="AP1" s="322" t="s">
        <v>231</v>
      </c>
      <c r="AQ1" s="322" t="s">
        <v>131</v>
      </c>
      <c r="AR1" s="109"/>
      <c r="AS1" s="109"/>
      <c r="AT1" s="109"/>
      <c r="AU1" s="109"/>
      <c r="AV1" s="109"/>
      <c r="AW1" s="109"/>
      <c r="AX1" s="109"/>
      <c r="AY1" s="109"/>
      <c r="AZ1" s="109"/>
      <c r="BA1" s="109"/>
      <c r="BB1" s="109"/>
      <c r="BC1" s="109"/>
      <c r="BD1" s="109"/>
      <c r="BE1" s="109"/>
      <c r="BF1" s="109"/>
      <c r="BG1" s="109"/>
      <c r="BH1" s="109"/>
      <c r="BI1" s="109"/>
      <c r="BJ1" s="109"/>
      <c r="BK1" s="109"/>
    </row>
    <row r="2" spans="1:63" ht="19.5" customHeight="1" x14ac:dyDescent="0.2">
      <c r="A2" s="2252"/>
      <c r="B2" s="2252"/>
      <c r="C2" s="2252"/>
      <c r="D2" s="2252"/>
      <c r="E2" s="2252"/>
      <c r="F2" s="2252"/>
      <c r="G2" s="2252"/>
      <c r="H2" s="2252"/>
      <c r="I2" s="2252"/>
      <c r="J2" s="2252"/>
      <c r="K2" s="2252"/>
      <c r="L2" s="2252"/>
      <c r="M2" s="2252"/>
      <c r="N2" s="2252"/>
      <c r="O2" s="2252"/>
      <c r="P2" s="2252"/>
      <c r="Q2" s="2252"/>
      <c r="R2" s="2252"/>
      <c r="S2" s="2252"/>
      <c r="T2" s="2252"/>
      <c r="U2" s="2252"/>
      <c r="V2" s="2252"/>
      <c r="W2" s="2252"/>
      <c r="X2" s="2252"/>
      <c r="Y2" s="2252"/>
      <c r="Z2" s="2252"/>
      <c r="AA2" s="2252"/>
      <c r="AB2" s="2252"/>
      <c r="AC2" s="2252"/>
      <c r="AD2" s="2252"/>
      <c r="AE2" s="2252"/>
      <c r="AF2" s="2252"/>
      <c r="AG2" s="2252"/>
      <c r="AH2" s="2252"/>
      <c r="AI2" s="2252"/>
      <c r="AJ2" s="2252"/>
      <c r="AK2" s="2252"/>
      <c r="AL2" s="2252"/>
      <c r="AM2" s="2252"/>
      <c r="AN2" s="2252"/>
      <c r="AO2" s="2253"/>
      <c r="AP2" s="686" t="s">
        <v>232</v>
      </c>
      <c r="AQ2" s="322" t="s">
        <v>135</v>
      </c>
      <c r="AR2" s="109"/>
      <c r="AS2" s="109"/>
      <c r="AT2" s="109"/>
      <c r="AU2" s="109"/>
      <c r="AV2" s="109"/>
      <c r="AW2" s="109"/>
      <c r="AX2" s="109"/>
      <c r="AY2" s="109"/>
      <c r="AZ2" s="109"/>
      <c r="BA2" s="109"/>
      <c r="BB2" s="109"/>
      <c r="BC2" s="109"/>
      <c r="BD2" s="109"/>
      <c r="BE2" s="109"/>
      <c r="BF2" s="109"/>
      <c r="BG2" s="109"/>
      <c r="BH2" s="109"/>
      <c r="BI2" s="109"/>
      <c r="BJ2" s="109"/>
      <c r="BK2" s="109"/>
    </row>
    <row r="3" spans="1:63" ht="19.5" customHeight="1" x14ac:dyDescent="0.2">
      <c r="A3" s="2252"/>
      <c r="B3" s="2252"/>
      <c r="C3" s="2252"/>
      <c r="D3" s="2252"/>
      <c r="E3" s="2252"/>
      <c r="F3" s="2252"/>
      <c r="G3" s="2252"/>
      <c r="H3" s="2252"/>
      <c r="I3" s="2252"/>
      <c r="J3" s="2252"/>
      <c r="K3" s="2252"/>
      <c r="L3" s="2252"/>
      <c r="M3" s="2252"/>
      <c r="N3" s="2252"/>
      <c r="O3" s="2252"/>
      <c r="P3" s="2252"/>
      <c r="Q3" s="2252"/>
      <c r="R3" s="2252"/>
      <c r="S3" s="2252"/>
      <c r="T3" s="2252"/>
      <c r="U3" s="2252"/>
      <c r="V3" s="2252"/>
      <c r="W3" s="2252"/>
      <c r="X3" s="2252"/>
      <c r="Y3" s="2252"/>
      <c r="Z3" s="2252"/>
      <c r="AA3" s="2252"/>
      <c r="AB3" s="2252"/>
      <c r="AC3" s="2252"/>
      <c r="AD3" s="2252"/>
      <c r="AE3" s="2252"/>
      <c r="AF3" s="2252"/>
      <c r="AG3" s="2252"/>
      <c r="AH3" s="2252"/>
      <c r="AI3" s="2252"/>
      <c r="AJ3" s="2252"/>
      <c r="AK3" s="2252"/>
      <c r="AL3" s="2252"/>
      <c r="AM3" s="2252"/>
      <c r="AN3" s="2252"/>
      <c r="AO3" s="2253"/>
      <c r="AP3" s="322" t="s">
        <v>233</v>
      </c>
      <c r="AQ3" s="687" t="s">
        <v>136</v>
      </c>
      <c r="AR3" s="109"/>
      <c r="AS3" s="109"/>
      <c r="AT3" s="109"/>
      <c r="AU3" s="109"/>
      <c r="AV3" s="109"/>
      <c r="AW3" s="109"/>
      <c r="AX3" s="109"/>
      <c r="AY3" s="109"/>
      <c r="AZ3" s="109"/>
      <c r="BA3" s="109"/>
      <c r="BB3" s="109"/>
      <c r="BC3" s="109"/>
      <c r="BD3" s="109"/>
      <c r="BE3" s="109"/>
      <c r="BF3" s="109"/>
      <c r="BG3" s="109"/>
      <c r="BH3" s="109"/>
      <c r="BI3" s="109"/>
      <c r="BJ3" s="109"/>
      <c r="BK3" s="109"/>
    </row>
    <row r="4" spans="1:63" ht="19.5" customHeight="1" x14ac:dyDescent="0.2">
      <c r="A4" s="2254"/>
      <c r="B4" s="2254"/>
      <c r="C4" s="2254"/>
      <c r="D4" s="2254"/>
      <c r="E4" s="2254"/>
      <c r="F4" s="2254"/>
      <c r="G4" s="2254"/>
      <c r="H4" s="2254"/>
      <c r="I4" s="2254"/>
      <c r="J4" s="2254"/>
      <c r="K4" s="2254"/>
      <c r="L4" s="2254"/>
      <c r="M4" s="2254"/>
      <c r="N4" s="2254"/>
      <c r="O4" s="2254"/>
      <c r="P4" s="2254"/>
      <c r="Q4" s="2254"/>
      <c r="R4" s="2254"/>
      <c r="S4" s="2254"/>
      <c r="T4" s="2254"/>
      <c r="U4" s="2254"/>
      <c r="V4" s="2254"/>
      <c r="W4" s="2254"/>
      <c r="X4" s="2254"/>
      <c r="Y4" s="2254"/>
      <c r="Z4" s="2254"/>
      <c r="AA4" s="2254"/>
      <c r="AB4" s="2254"/>
      <c r="AC4" s="2254"/>
      <c r="AD4" s="2254"/>
      <c r="AE4" s="2254"/>
      <c r="AF4" s="2254"/>
      <c r="AG4" s="2254"/>
      <c r="AH4" s="2254"/>
      <c r="AI4" s="2254"/>
      <c r="AJ4" s="2254"/>
      <c r="AK4" s="2254"/>
      <c r="AL4" s="2254"/>
      <c r="AM4" s="2254"/>
      <c r="AN4" s="2254"/>
      <c r="AO4" s="2255"/>
      <c r="AP4" s="322" t="s">
        <v>234</v>
      </c>
      <c r="AQ4" s="5" t="s">
        <v>1</v>
      </c>
      <c r="AR4" s="109"/>
      <c r="AS4" s="109"/>
      <c r="AT4" s="109"/>
      <c r="AU4" s="109"/>
      <c r="AV4" s="109"/>
      <c r="AW4" s="109"/>
      <c r="AX4" s="109"/>
      <c r="AY4" s="109"/>
      <c r="AZ4" s="109"/>
      <c r="BA4" s="109"/>
      <c r="BB4" s="109"/>
      <c r="BC4" s="109"/>
      <c r="BD4" s="109"/>
      <c r="BE4" s="109"/>
      <c r="BF4" s="109"/>
      <c r="BG4" s="109"/>
      <c r="BH4" s="109"/>
      <c r="BI4" s="109"/>
      <c r="BJ4" s="109"/>
      <c r="BK4" s="109"/>
    </row>
    <row r="5" spans="1:63" ht="15.75" x14ac:dyDescent="0.2">
      <c r="A5" s="2256" t="s">
        <v>2</v>
      </c>
      <c r="B5" s="2256"/>
      <c r="C5" s="2256"/>
      <c r="D5" s="2256"/>
      <c r="E5" s="2256"/>
      <c r="F5" s="2256"/>
      <c r="G5" s="2256"/>
      <c r="H5" s="2256"/>
      <c r="I5" s="2256"/>
      <c r="J5" s="2256"/>
      <c r="K5" s="2256"/>
      <c r="L5" s="2256"/>
      <c r="M5" s="2256"/>
      <c r="N5" s="2258" t="s">
        <v>3</v>
      </c>
      <c r="O5" s="2258"/>
      <c r="P5" s="2258"/>
      <c r="Q5" s="2258"/>
      <c r="R5" s="2258"/>
      <c r="S5" s="2258"/>
      <c r="T5" s="2258"/>
      <c r="U5" s="2258"/>
      <c r="V5" s="2258"/>
      <c r="W5" s="2258"/>
      <c r="X5" s="2258"/>
      <c r="Y5" s="2258"/>
      <c r="Z5" s="2258"/>
      <c r="AA5" s="2258"/>
      <c r="AB5" s="2258"/>
      <c r="AC5" s="2258"/>
      <c r="AD5" s="2258"/>
      <c r="AE5" s="2258"/>
      <c r="AF5" s="2258"/>
      <c r="AG5" s="2258"/>
      <c r="AH5" s="2258"/>
      <c r="AI5" s="2258"/>
      <c r="AJ5" s="2258"/>
      <c r="AK5" s="2258"/>
      <c r="AL5" s="2258"/>
      <c r="AM5" s="2258"/>
      <c r="AN5" s="2258"/>
      <c r="AO5" s="2258"/>
      <c r="AP5" s="2258"/>
      <c r="AQ5" s="2258"/>
      <c r="AR5" s="109"/>
      <c r="AS5" s="109"/>
      <c r="AT5" s="109"/>
      <c r="AU5" s="109"/>
      <c r="AV5" s="109"/>
      <c r="AW5" s="109"/>
      <c r="AX5" s="109"/>
      <c r="AY5" s="109"/>
      <c r="AZ5" s="109"/>
      <c r="BA5" s="109"/>
      <c r="BB5" s="109"/>
      <c r="BC5" s="109"/>
      <c r="BD5" s="109"/>
      <c r="BE5" s="109"/>
      <c r="BF5" s="109"/>
      <c r="BG5" s="109"/>
      <c r="BH5" s="109"/>
      <c r="BI5" s="109"/>
      <c r="BJ5" s="109"/>
      <c r="BK5" s="109"/>
    </row>
    <row r="6" spans="1:63" ht="15.75" x14ac:dyDescent="0.2">
      <c r="A6" s="2257"/>
      <c r="B6" s="2257"/>
      <c r="C6" s="2257"/>
      <c r="D6" s="2257"/>
      <c r="E6" s="2257"/>
      <c r="F6" s="2257"/>
      <c r="G6" s="2257"/>
      <c r="H6" s="2257"/>
      <c r="I6" s="2257"/>
      <c r="J6" s="2257"/>
      <c r="K6" s="2257"/>
      <c r="L6" s="2257"/>
      <c r="M6" s="2257"/>
      <c r="N6" s="115"/>
      <c r="O6" s="116"/>
      <c r="P6" s="116"/>
      <c r="Q6" s="116"/>
      <c r="R6" s="116"/>
      <c r="S6" s="116"/>
      <c r="T6" s="116"/>
      <c r="U6" s="688"/>
      <c r="V6" s="689"/>
      <c r="W6" s="120"/>
      <c r="X6" s="120"/>
      <c r="Y6" s="2259" t="s">
        <v>4</v>
      </c>
      <c r="Z6" s="2260"/>
      <c r="AA6" s="2260"/>
      <c r="AB6" s="2260"/>
      <c r="AC6" s="2260"/>
      <c r="AD6" s="2260"/>
      <c r="AE6" s="2260"/>
      <c r="AF6" s="2260"/>
      <c r="AG6" s="2260"/>
      <c r="AH6" s="2260"/>
      <c r="AI6" s="2260"/>
      <c r="AJ6" s="2260"/>
      <c r="AK6" s="2260"/>
      <c r="AL6" s="2260"/>
      <c r="AM6" s="2260"/>
      <c r="AN6" s="2261"/>
      <c r="AO6" s="120"/>
      <c r="AP6" s="120"/>
      <c r="AQ6" s="414"/>
      <c r="AR6" s="109"/>
      <c r="AS6" s="109"/>
      <c r="AT6" s="109"/>
      <c r="AU6" s="109"/>
      <c r="AV6" s="109"/>
      <c r="AW6" s="109"/>
      <c r="AX6" s="109"/>
      <c r="AY6" s="109"/>
      <c r="AZ6" s="109"/>
      <c r="BA6" s="109"/>
      <c r="BB6" s="109"/>
      <c r="BC6" s="109"/>
      <c r="BD6" s="109"/>
      <c r="BE6" s="109"/>
      <c r="BF6" s="109"/>
      <c r="BG6" s="109"/>
      <c r="BH6" s="109"/>
      <c r="BI6" s="109"/>
      <c r="BJ6" s="109"/>
      <c r="BK6" s="109"/>
    </row>
    <row r="7" spans="1:63" ht="21.75" customHeight="1" x14ac:dyDescent="0.2">
      <c r="A7" s="2262" t="s">
        <v>5</v>
      </c>
      <c r="B7" s="2264" t="s">
        <v>6</v>
      </c>
      <c r="C7" s="2265"/>
      <c r="D7" s="2238" t="s">
        <v>5</v>
      </c>
      <c r="E7" s="2264" t="s">
        <v>7</v>
      </c>
      <c r="F7" s="2265"/>
      <c r="G7" s="2238" t="s">
        <v>5</v>
      </c>
      <c r="H7" s="2264" t="s">
        <v>8</v>
      </c>
      <c r="I7" s="2265"/>
      <c r="J7" s="2238" t="s">
        <v>5</v>
      </c>
      <c r="K7" s="2238" t="s">
        <v>9</v>
      </c>
      <c r="L7" s="2238" t="s">
        <v>10</v>
      </c>
      <c r="M7" s="2238" t="s">
        <v>11</v>
      </c>
      <c r="N7" s="2238" t="s">
        <v>12</v>
      </c>
      <c r="O7" s="2238" t="s">
        <v>13</v>
      </c>
      <c r="P7" s="2238" t="s">
        <v>3</v>
      </c>
      <c r="Q7" s="2248" t="s">
        <v>14</v>
      </c>
      <c r="R7" s="2250" t="s">
        <v>15</v>
      </c>
      <c r="S7" s="2238" t="s">
        <v>16</v>
      </c>
      <c r="T7" s="2238" t="s">
        <v>17</v>
      </c>
      <c r="U7" s="2238" t="s">
        <v>18</v>
      </c>
      <c r="V7" s="2236" t="s">
        <v>15</v>
      </c>
      <c r="W7" s="2237"/>
      <c r="X7" s="2238" t="s">
        <v>19</v>
      </c>
      <c r="Y7" s="2240" t="s">
        <v>20</v>
      </c>
      <c r="Z7" s="2241"/>
      <c r="AA7" s="2242" t="s">
        <v>21</v>
      </c>
      <c r="AB7" s="2243"/>
      <c r="AC7" s="2243"/>
      <c r="AD7" s="2243"/>
      <c r="AE7" s="2244" t="s">
        <v>22</v>
      </c>
      <c r="AF7" s="2245"/>
      <c r="AG7" s="2245"/>
      <c r="AH7" s="2245"/>
      <c r="AI7" s="2245"/>
      <c r="AJ7" s="2245"/>
      <c r="AK7" s="2246" t="s">
        <v>23</v>
      </c>
      <c r="AL7" s="2247"/>
      <c r="AM7" s="2247"/>
      <c r="AN7" s="2270" t="s">
        <v>24</v>
      </c>
      <c r="AO7" s="2272" t="s">
        <v>25</v>
      </c>
      <c r="AP7" s="2272" t="s">
        <v>26</v>
      </c>
      <c r="AQ7" s="2268" t="s">
        <v>27</v>
      </c>
      <c r="AR7" s="109"/>
      <c r="AS7" s="109"/>
      <c r="AT7" s="109"/>
      <c r="AU7" s="109"/>
      <c r="AV7" s="109"/>
      <c r="AW7" s="109"/>
      <c r="AX7" s="109"/>
      <c r="AY7" s="109"/>
      <c r="AZ7" s="109"/>
      <c r="BA7" s="109"/>
      <c r="BB7" s="109"/>
      <c r="BC7" s="109"/>
      <c r="BD7" s="109"/>
      <c r="BE7" s="109"/>
      <c r="BF7" s="109"/>
      <c r="BG7" s="109"/>
      <c r="BH7" s="109"/>
      <c r="BI7" s="109"/>
      <c r="BJ7" s="109"/>
      <c r="BK7" s="109"/>
    </row>
    <row r="8" spans="1:63" s="593" customFormat="1" ht="127.5" customHeight="1" x14ac:dyDescent="0.25">
      <c r="A8" s="2263"/>
      <c r="B8" s="2266"/>
      <c r="C8" s="2267"/>
      <c r="D8" s="2239"/>
      <c r="E8" s="2266"/>
      <c r="F8" s="2267"/>
      <c r="G8" s="2239"/>
      <c r="H8" s="2266"/>
      <c r="I8" s="2267"/>
      <c r="J8" s="2239"/>
      <c r="K8" s="2239"/>
      <c r="L8" s="2239"/>
      <c r="M8" s="2239"/>
      <c r="N8" s="2239"/>
      <c r="O8" s="2239"/>
      <c r="P8" s="2239"/>
      <c r="Q8" s="2249"/>
      <c r="R8" s="2251"/>
      <c r="S8" s="2239"/>
      <c r="T8" s="2239"/>
      <c r="U8" s="2239"/>
      <c r="V8" s="690" t="s">
        <v>42</v>
      </c>
      <c r="W8" s="592" t="s">
        <v>5</v>
      </c>
      <c r="X8" s="2239"/>
      <c r="Y8" s="124" t="s">
        <v>28</v>
      </c>
      <c r="Z8" s="125" t="s">
        <v>29</v>
      </c>
      <c r="AA8" s="124" t="s">
        <v>30</v>
      </c>
      <c r="AB8" s="124" t="s">
        <v>31</v>
      </c>
      <c r="AC8" s="124" t="s">
        <v>235</v>
      </c>
      <c r="AD8" s="124" t="s">
        <v>32</v>
      </c>
      <c r="AE8" s="124" t="s">
        <v>33</v>
      </c>
      <c r="AF8" s="124" t="s">
        <v>34</v>
      </c>
      <c r="AG8" s="124" t="s">
        <v>35</v>
      </c>
      <c r="AH8" s="124" t="s">
        <v>36</v>
      </c>
      <c r="AI8" s="124" t="s">
        <v>37</v>
      </c>
      <c r="AJ8" s="124" t="s">
        <v>38</v>
      </c>
      <c r="AK8" s="227" t="s">
        <v>39</v>
      </c>
      <c r="AL8" s="227" t="s">
        <v>40</v>
      </c>
      <c r="AM8" s="227" t="s">
        <v>41</v>
      </c>
      <c r="AN8" s="2271"/>
      <c r="AO8" s="2273"/>
      <c r="AP8" s="2273"/>
      <c r="AQ8" s="2269"/>
      <c r="AR8" s="691"/>
      <c r="AS8" s="691"/>
      <c r="AT8" s="691"/>
      <c r="AU8" s="691"/>
      <c r="AV8" s="691"/>
      <c r="AW8" s="691"/>
      <c r="AX8" s="691"/>
      <c r="AY8" s="691"/>
      <c r="AZ8" s="691"/>
      <c r="BA8" s="691"/>
      <c r="BB8" s="691"/>
      <c r="BC8" s="691"/>
      <c r="BD8" s="691"/>
      <c r="BE8" s="691"/>
      <c r="BF8" s="691"/>
      <c r="BG8" s="691"/>
      <c r="BH8" s="691"/>
      <c r="BI8" s="691"/>
      <c r="BJ8" s="691"/>
      <c r="BK8" s="691"/>
    </row>
    <row r="9" spans="1:63" ht="10.5" customHeight="1" x14ac:dyDescent="0.2">
      <c r="A9" s="692">
        <v>5</v>
      </c>
      <c r="B9" s="2234" t="s">
        <v>43</v>
      </c>
      <c r="C9" s="2234"/>
      <c r="D9" s="2234"/>
      <c r="E9" s="2234"/>
      <c r="F9" s="2234"/>
      <c r="G9" s="2234"/>
      <c r="H9" s="2234"/>
      <c r="I9" s="2234"/>
      <c r="J9" s="2234"/>
      <c r="K9" s="2234"/>
      <c r="L9" s="129"/>
      <c r="M9" s="129"/>
      <c r="N9" s="129"/>
      <c r="O9" s="129"/>
      <c r="P9" s="129"/>
      <c r="Q9" s="693"/>
      <c r="R9" s="694"/>
      <c r="S9" s="129"/>
      <c r="T9" s="129"/>
      <c r="U9" s="695"/>
      <c r="V9" s="696"/>
      <c r="W9" s="134"/>
      <c r="X9" s="130"/>
      <c r="Y9" s="127"/>
      <c r="Z9" s="127"/>
      <c r="AA9" s="127"/>
      <c r="AB9" s="127"/>
      <c r="AC9" s="127"/>
      <c r="AD9" s="127"/>
      <c r="AE9" s="127"/>
      <c r="AF9" s="127"/>
      <c r="AG9" s="127"/>
      <c r="AH9" s="127"/>
      <c r="AI9" s="127"/>
      <c r="AJ9" s="127"/>
      <c r="AK9" s="127"/>
      <c r="AL9" s="127"/>
      <c r="AM9" s="127"/>
      <c r="AN9" s="127"/>
      <c r="AO9" s="135"/>
      <c r="AP9" s="135"/>
      <c r="AQ9" s="697"/>
      <c r="AR9" s="109"/>
      <c r="AS9" s="109"/>
      <c r="AT9" s="109"/>
      <c r="AU9" s="109"/>
      <c r="AV9" s="109"/>
      <c r="AW9" s="109"/>
      <c r="AX9" s="109"/>
      <c r="AY9" s="109"/>
      <c r="AZ9" s="109"/>
      <c r="BA9" s="109"/>
      <c r="BB9" s="109"/>
      <c r="BC9" s="109"/>
      <c r="BD9" s="109"/>
      <c r="BE9" s="109"/>
      <c r="BF9" s="109"/>
      <c r="BG9" s="109"/>
      <c r="BH9" s="109"/>
      <c r="BI9" s="109"/>
      <c r="BJ9" s="109"/>
      <c r="BK9" s="109"/>
    </row>
    <row r="10" spans="1:63" s="109" customFormat="1" ht="9.75" customHeight="1" x14ac:dyDescent="0.2">
      <c r="A10" s="698"/>
      <c r="B10" s="699"/>
      <c r="C10" s="700"/>
      <c r="D10" s="701">
        <v>26</v>
      </c>
      <c r="E10" s="2235" t="s">
        <v>183</v>
      </c>
      <c r="F10" s="2235"/>
      <c r="G10" s="2235"/>
      <c r="H10" s="2235"/>
      <c r="I10" s="2235"/>
      <c r="J10" s="2235"/>
      <c r="K10" s="2235"/>
      <c r="L10" s="141"/>
      <c r="M10" s="141"/>
      <c r="N10" s="141"/>
      <c r="O10" s="141"/>
      <c r="P10" s="141"/>
      <c r="Q10" s="702"/>
      <c r="R10" s="703"/>
      <c r="S10" s="141"/>
      <c r="T10" s="141"/>
      <c r="U10" s="704"/>
      <c r="V10" s="705"/>
      <c r="W10" s="147"/>
      <c r="X10" s="142"/>
      <c r="Y10" s="140"/>
      <c r="Z10" s="140"/>
      <c r="AA10" s="140"/>
      <c r="AB10" s="140"/>
      <c r="AC10" s="140"/>
      <c r="AD10" s="140"/>
      <c r="AE10" s="140"/>
      <c r="AF10" s="140"/>
      <c r="AG10" s="140"/>
      <c r="AH10" s="140"/>
      <c r="AI10" s="140"/>
      <c r="AJ10" s="140"/>
      <c r="AK10" s="140"/>
      <c r="AL10" s="140"/>
      <c r="AM10" s="140"/>
      <c r="AN10" s="140"/>
      <c r="AO10" s="148"/>
      <c r="AP10" s="148"/>
      <c r="AQ10" s="706"/>
    </row>
    <row r="11" spans="1:63" s="109" customFormat="1" ht="9.75" customHeight="1" x14ac:dyDescent="0.2">
      <c r="A11" s="707"/>
      <c r="B11" s="708"/>
      <c r="C11" s="708"/>
      <c r="D11" s="709"/>
      <c r="E11" s="699"/>
      <c r="F11" s="700"/>
      <c r="G11" s="710">
        <v>83</v>
      </c>
      <c r="H11" s="2226" t="s">
        <v>733</v>
      </c>
      <c r="I11" s="2226"/>
      <c r="J11" s="2226"/>
      <c r="K11" s="2226"/>
      <c r="L11" s="598"/>
      <c r="M11" s="598"/>
      <c r="N11" s="598"/>
      <c r="O11" s="598"/>
      <c r="P11" s="598"/>
      <c r="Q11" s="711"/>
      <c r="R11" s="712"/>
      <c r="S11" s="598"/>
      <c r="T11" s="598"/>
      <c r="U11" s="713"/>
      <c r="V11" s="714"/>
      <c r="W11" s="672"/>
      <c r="X11" s="599"/>
      <c r="Y11" s="152"/>
      <c r="Z11" s="152"/>
      <c r="AA11" s="152"/>
      <c r="AB11" s="152"/>
      <c r="AC11" s="152"/>
      <c r="AD11" s="152"/>
      <c r="AE11" s="152"/>
      <c r="AF11" s="152"/>
      <c r="AG11" s="152"/>
      <c r="AH11" s="152"/>
      <c r="AI11" s="152"/>
      <c r="AJ11" s="152"/>
      <c r="AK11" s="152"/>
      <c r="AL11" s="152"/>
      <c r="AM11" s="152"/>
      <c r="AN11" s="152"/>
      <c r="AO11" s="603"/>
      <c r="AP11" s="603"/>
      <c r="AQ11" s="715"/>
    </row>
    <row r="12" spans="1:63" ht="125.25" customHeight="1" x14ac:dyDescent="0.2">
      <c r="A12" s="716"/>
      <c r="B12" s="571"/>
      <c r="C12" s="571"/>
      <c r="D12" s="717"/>
      <c r="E12" s="571"/>
      <c r="F12" s="718"/>
      <c r="G12" s="719"/>
      <c r="H12" s="571"/>
      <c r="I12" s="571"/>
      <c r="J12" s="2184">
        <v>246</v>
      </c>
      <c r="K12" s="2147" t="s">
        <v>734</v>
      </c>
      <c r="L12" s="2147" t="s">
        <v>735</v>
      </c>
      <c r="M12" s="2184">
        <v>13</v>
      </c>
      <c r="N12" s="2147" t="s">
        <v>736</v>
      </c>
      <c r="O12" s="2147" t="s">
        <v>737</v>
      </c>
      <c r="P12" s="2147" t="s">
        <v>738</v>
      </c>
      <c r="Q12" s="2233">
        <v>1</v>
      </c>
      <c r="R12" s="2182">
        <f>SUM(V12:V22)</f>
        <v>18000000</v>
      </c>
      <c r="S12" s="2148" t="s">
        <v>739</v>
      </c>
      <c r="T12" s="720" t="s">
        <v>740</v>
      </c>
      <c r="U12" s="721" t="s">
        <v>741</v>
      </c>
      <c r="V12" s="722">
        <v>0</v>
      </c>
      <c r="W12" s="2149">
        <v>20</v>
      </c>
      <c r="X12" s="2155" t="s">
        <v>72</v>
      </c>
      <c r="Y12" s="2168">
        <v>282326</v>
      </c>
      <c r="Z12" s="2231">
        <v>292684</v>
      </c>
      <c r="AA12" s="2168">
        <v>135912</v>
      </c>
      <c r="AB12" s="2168">
        <v>45122</v>
      </c>
      <c r="AC12" s="2168">
        <v>307101</v>
      </c>
      <c r="AD12" s="2168">
        <v>86875</v>
      </c>
      <c r="AE12" s="2168">
        <v>2145</v>
      </c>
      <c r="AF12" s="2168">
        <v>12718</v>
      </c>
      <c r="AG12" s="2168">
        <v>26</v>
      </c>
      <c r="AH12" s="2168">
        <v>37</v>
      </c>
      <c r="AI12" s="2168"/>
      <c r="AJ12" s="2168"/>
      <c r="AK12" s="2168">
        <v>43029</v>
      </c>
      <c r="AL12" s="2168">
        <v>16982</v>
      </c>
      <c r="AM12" s="2168">
        <v>60013</v>
      </c>
      <c r="AN12" s="2168">
        <v>575010</v>
      </c>
      <c r="AO12" s="2153">
        <v>43102</v>
      </c>
      <c r="AP12" s="2153">
        <v>43465</v>
      </c>
      <c r="AQ12" s="2155" t="s">
        <v>742</v>
      </c>
    </row>
    <row r="13" spans="1:63" ht="75.75" customHeight="1" x14ac:dyDescent="0.2">
      <c r="A13" s="716"/>
      <c r="B13" s="571"/>
      <c r="C13" s="571"/>
      <c r="D13" s="717"/>
      <c r="E13" s="571"/>
      <c r="F13" s="718"/>
      <c r="G13" s="717"/>
      <c r="H13" s="571"/>
      <c r="I13" s="571"/>
      <c r="J13" s="2184"/>
      <c r="K13" s="2147"/>
      <c r="L13" s="2147"/>
      <c r="M13" s="2184"/>
      <c r="N13" s="2147"/>
      <c r="O13" s="2147"/>
      <c r="P13" s="2147"/>
      <c r="Q13" s="2233"/>
      <c r="R13" s="2182"/>
      <c r="S13" s="2218"/>
      <c r="T13" s="2148" t="s">
        <v>743</v>
      </c>
      <c r="U13" s="721" t="s">
        <v>744</v>
      </c>
      <c r="V13" s="722"/>
      <c r="W13" s="2149"/>
      <c r="X13" s="2155"/>
      <c r="Y13" s="2168"/>
      <c r="Z13" s="2231"/>
      <c r="AA13" s="2168"/>
      <c r="AB13" s="2168"/>
      <c r="AC13" s="2168"/>
      <c r="AD13" s="2168"/>
      <c r="AE13" s="2168"/>
      <c r="AF13" s="2168"/>
      <c r="AG13" s="2168"/>
      <c r="AH13" s="2168"/>
      <c r="AI13" s="2168"/>
      <c r="AJ13" s="2168"/>
      <c r="AK13" s="2168"/>
      <c r="AL13" s="2168"/>
      <c r="AM13" s="2168"/>
      <c r="AN13" s="2168"/>
      <c r="AO13" s="2153"/>
      <c r="AP13" s="2153"/>
      <c r="AQ13" s="2155"/>
    </row>
    <row r="14" spans="1:63" ht="65.25" customHeight="1" x14ac:dyDescent="0.2">
      <c r="A14" s="716"/>
      <c r="B14" s="571"/>
      <c r="C14" s="571"/>
      <c r="D14" s="717"/>
      <c r="E14" s="571"/>
      <c r="F14" s="718"/>
      <c r="G14" s="717"/>
      <c r="H14" s="571"/>
      <c r="I14" s="571"/>
      <c r="J14" s="2184"/>
      <c r="K14" s="2147"/>
      <c r="L14" s="2147"/>
      <c r="M14" s="2184"/>
      <c r="N14" s="2147"/>
      <c r="O14" s="2147"/>
      <c r="P14" s="2147"/>
      <c r="Q14" s="2233"/>
      <c r="R14" s="2182"/>
      <c r="S14" s="2218"/>
      <c r="T14" s="2218"/>
      <c r="U14" s="721" t="s">
        <v>745</v>
      </c>
      <c r="V14" s="722">
        <v>4050000</v>
      </c>
      <c r="W14" s="2149"/>
      <c r="X14" s="2155"/>
      <c r="Y14" s="2168"/>
      <c r="Z14" s="2231"/>
      <c r="AA14" s="2168"/>
      <c r="AB14" s="2168"/>
      <c r="AC14" s="2168"/>
      <c r="AD14" s="2168"/>
      <c r="AE14" s="2168"/>
      <c r="AF14" s="2168"/>
      <c r="AG14" s="2168"/>
      <c r="AH14" s="2168"/>
      <c r="AI14" s="2168"/>
      <c r="AJ14" s="2168"/>
      <c r="AK14" s="2168"/>
      <c r="AL14" s="2168"/>
      <c r="AM14" s="2168"/>
      <c r="AN14" s="2168"/>
      <c r="AO14" s="2153"/>
      <c r="AP14" s="2153"/>
      <c r="AQ14" s="2155"/>
    </row>
    <row r="15" spans="1:63" ht="51" customHeight="1" x14ac:dyDescent="0.2">
      <c r="A15" s="716"/>
      <c r="B15" s="571"/>
      <c r="C15" s="571"/>
      <c r="D15" s="717"/>
      <c r="E15" s="571"/>
      <c r="F15" s="718"/>
      <c r="G15" s="717"/>
      <c r="H15" s="571"/>
      <c r="I15" s="571"/>
      <c r="J15" s="2184"/>
      <c r="K15" s="2147"/>
      <c r="L15" s="2147"/>
      <c r="M15" s="2184"/>
      <c r="N15" s="2147"/>
      <c r="O15" s="2147"/>
      <c r="P15" s="2147"/>
      <c r="Q15" s="2233"/>
      <c r="R15" s="2182"/>
      <c r="S15" s="2218"/>
      <c r="T15" s="2218"/>
      <c r="U15" s="723" t="s">
        <v>746</v>
      </c>
      <c r="V15" s="722">
        <v>4500000</v>
      </c>
      <c r="W15" s="2149"/>
      <c r="X15" s="2155"/>
      <c r="Y15" s="2168"/>
      <c r="Z15" s="2231"/>
      <c r="AA15" s="2168"/>
      <c r="AB15" s="2168"/>
      <c r="AC15" s="2168"/>
      <c r="AD15" s="2168"/>
      <c r="AE15" s="2168"/>
      <c r="AF15" s="2168"/>
      <c r="AG15" s="2168"/>
      <c r="AH15" s="2168"/>
      <c r="AI15" s="2168"/>
      <c r="AJ15" s="2168"/>
      <c r="AK15" s="2168"/>
      <c r="AL15" s="2168"/>
      <c r="AM15" s="2168"/>
      <c r="AN15" s="2168"/>
      <c r="AO15" s="2153"/>
      <c r="AP15" s="2153"/>
      <c r="AQ15" s="2155"/>
    </row>
    <row r="16" spans="1:63" ht="41.25" customHeight="1" x14ac:dyDescent="0.2">
      <c r="A16" s="716"/>
      <c r="B16" s="571"/>
      <c r="C16" s="571"/>
      <c r="D16" s="717"/>
      <c r="E16" s="571"/>
      <c r="F16" s="718"/>
      <c r="G16" s="717"/>
      <c r="H16" s="571"/>
      <c r="I16" s="571"/>
      <c r="J16" s="2184"/>
      <c r="K16" s="2147"/>
      <c r="L16" s="2147"/>
      <c r="M16" s="2184"/>
      <c r="N16" s="2147"/>
      <c r="O16" s="2147"/>
      <c r="P16" s="2147"/>
      <c r="Q16" s="2233"/>
      <c r="R16" s="2182"/>
      <c r="S16" s="2218"/>
      <c r="T16" s="2218"/>
      <c r="U16" s="724" t="s">
        <v>747</v>
      </c>
      <c r="V16" s="722">
        <v>3840000</v>
      </c>
      <c r="W16" s="2149"/>
      <c r="X16" s="2155"/>
      <c r="Y16" s="2168"/>
      <c r="Z16" s="2231"/>
      <c r="AA16" s="2168"/>
      <c r="AB16" s="2168"/>
      <c r="AC16" s="2168"/>
      <c r="AD16" s="2168"/>
      <c r="AE16" s="2168"/>
      <c r="AF16" s="2168"/>
      <c r="AG16" s="2168"/>
      <c r="AH16" s="2168"/>
      <c r="AI16" s="2168"/>
      <c r="AJ16" s="2168"/>
      <c r="AK16" s="2168"/>
      <c r="AL16" s="2168"/>
      <c r="AM16" s="2168"/>
      <c r="AN16" s="2168"/>
      <c r="AO16" s="2153"/>
      <c r="AP16" s="2153"/>
      <c r="AQ16" s="2155"/>
    </row>
    <row r="17" spans="1:43" ht="66.75" customHeight="1" x14ac:dyDescent="0.2">
      <c r="A17" s="716"/>
      <c r="B17" s="571"/>
      <c r="C17" s="571"/>
      <c r="D17" s="717"/>
      <c r="E17" s="571"/>
      <c r="F17" s="718"/>
      <c r="G17" s="717"/>
      <c r="H17" s="571"/>
      <c r="I17" s="571"/>
      <c r="J17" s="2184"/>
      <c r="K17" s="2147"/>
      <c r="L17" s="2147"/>
      <c r="M17" s="2184"/>
      <c r="N17" s="2147"/>
      <c r="O17" s="2147"/>
      <c r="P17" s="2147"/>
      <c r="Q17" s="2233"/>
      <c r="R17" s="2182"/>
      <c r="S17" s="2218"/>
      <c r="T17" s="2218"/>
      <c r="U17" s="724" t="s">
        <v>748</v>
      </c>
      <c r="V17" s="722">
        <v>3450000</v>
      </c>
      <c r="W17" s="2149"/>
      <c r="X17" s="2155"/>
      <c r="Y17" s="2168"/>
      <c r="Z17" s="2231"/>
      <c r="AA17" s="2168"/>
      <c r="AB17" s="2168"/>
      <c r="AC17" s="2168"/>
      <c r="AD17" s="2168"/>
      <c r="AE17" s="2168"/>
      <c r="AF17" s="2168"/>
      <c r="AG17" s="2168"/>
      <c r="AH17" s="2168"/>
      <c r="AI17" s="2168"/>
      <c r="AJ17" s="2168"/>
      <c r="AK17" s="2168"/>
      <c r="AL17" s="2168"/>
      <c r="AM17" s="2168"/>
      <c r="AN17" s="2168"/>
      <c r="AO17" s="2153"/>
      <c r="AP17" s="2153"/>
      <c r="AQ17" s="2155"/>
    </row>
    <row r="18" spans="1:43" ht="32.25" customHeight="1" x14ac:dyDescent="0.2">
      <c r="A18" s="716"/>
      <c r="B18" s="571"/>
      <c r="C18" s="571"/>
      <c r="D18" s="717"/>
      <c r="E18" s="571"/>
      <c r="F18" s="718"/>
      <c r="G18" s="717"/>
      <c r="H18" s="571"/>
      <c r="I18" s="571"/>
      <c r="J18" s="2184"/>
      <c r="K18" s="2147"/>
      <c r="L18" s="2147"/>
      <c r="M18" s="2184"/>
      <c r="N18" s="2147"/>
      <c r="O18" s="2147"/>
      <c r="P18" s="2147"/>
      <c r="Q18" s="2233"/>
      <c r="R18" s="2182"/>
      <c r="S18" s="2218"/>
      <c r="T18" s="2179"/>
      <c r="U18" s="725" t="s">
        <v>749</v>
      </c>
      <c r="V18" s="722">
        <f>1050000-1050000</f>
        <v>0</v>
      </c>
      <c r="W18" s="2149"/>
      <c r="X18" s="2155"/>
      <c r="Y18" s="2168"/>
      <c r="Z18" s="2231"/>
      <c r="AA18" s="2168"/>
      <c r="AB18" s="2168"/>
      <c r="AC18" s="2168"/>
      <c r="AD18" s="2168"/>
      <c r="AE18" s="2168"/>
      <c r="AF18" s="2168"/>
      <c r="AG18" s="2168"/>
      <c r="AH18" s="2168"/>
      <c r="AI18" s="2168"/>
      <c r="AJ18" s="2168"/>
      <c r="AK18" s="2168"/>
      <c r="AL18" s="2168"/>
      <c r="AM18" s="2168"/>
      <c r="AN18" s="2168"/>
      <c r="AO18" s="2153"/>
      <c r="AP18" s="2153"/>
      <c r="AQ18" s="2155"/>
    </row>
    <row r="19" spans="1:43" ht="45.75" customHeight="1" x14ac:dyDescent="0.2">
      <c r="A19" s="716"/>
      <c r="B19" s="571"/>
      <c r="C19" s="571"/>
      <c r="D19" s="717"/>
      <c r="E19" s="571"/>
      <c r="F19" s="718"/>
      <c r="G19" s="717"/>
      <c r="H19" s="571"/>
      <c r="I19" s="571"/>
      <c r="J19" s="2184"/>
      <c r="K19" s="2147"/>
      <c r="L19" s="2147"/>
      <c r="M19" s="2184"/>
      <c r="N19" s="2147"/>
      <c r="O19" s="2147"/>
      <c r="P19" s="2147"/>
      <c r="Q19" s="2233"/>
      <c r="R19" s="2182"/>
      <c r="S19" s="2218"/>
      <c r="T19" s="2148" t="s">
        <v>750</v>
      </c>
      <c r="U19" s="725" t="s">
        <v>751</v>
      </c>
      <c r="V19" s="722">
        <v>1500000</v>
      </c>
      <c r="W19" s="2149"/>
      <c r="X19" s="2155"/>
      <c r="Y19" s="2168"/>
      <c r="Z19" s="2231"/>
      <c r="AA19" s="2168"/>
      <c r="AB19" s="2168"/>
      <c r="AC19" s="2168"/>
      <c r="AD19" s="2168"/>
      <c r="AE19" s="2168"/>
      <c r="AF19" s="2168"/>
      <c r="AG19" s="2168"/>
      <c r="AH19" s="2168"/>
      <c r="AI19" s="2168"/>
      <c r="AJ19" s="2168"/>
      <c r="AK19" s="2168"/>
      <c r="AL19" s="2168"/>
      <c r="AM19" s="2168"/>
      <c r="AN19" s="2168"/>
      <c r="AO19" s="2153"/>
      <c r="AP19" s="2153"/>
      <c r="AQ19" s="2155"/>
    </row>
    <row r="20" spans="1:43" ht="45.75" customHeight="1" x14ac:dyDescent="0.2">
      <c r="A20" s="716"/>
      <c r="B20" s="571"/>
      <c r="C20" s="571"/>
      <c r="D20" s="717"/>
      <c r="E20" s="571"/>
      <c r="F20" s="718"/>
      <c r="G20" s="717"/>
      <c r="H20" s="571"/>
      <c r="I20" s="571"/>
      <c r="J20" s="2184"/>
      <c r="K20" s="2147"/>
      <c r="L20" s="2147"/>
      <c r="M20" s="2184"/>
      <c r="N20" s="2147"/>
      <c r="O20" s="2147"/>
      <c r="P20" s="2147"/>
      <c r="Q20" s="2233"/>
      <c r="R20" s="2182"/>
      <c r="S20" s="2218"/>
      <c r="T20" s="2218"/>
      <c r="U20" s="725" t="s">
        <v>752</v>
      </c>
      <c r="V20" s="722">
        <f>1500000-1500000</f>
        <v>0</v>
      </c>
      <c r="W20" s="2149"/>
      <c r="X20" s="2155"/>
      <c r="Y20" s="2168"/>
      <c r="Z20" s="2231"/>
      <c r="AA20" s="2168"/>
      <c r="AB20" s="2168"/>
      <c r="AC20" s="2168"/>
      <c r="AD20" s="2168"/>
      <c r="AE20" s="2168"/>
      <c r="AF20" s="2168"/>
      <c r="AG20" s="2168"/>
      <c r="AH20" s="2168"/>
      <c r="AI20" s="2168"/>
      <c r="AJ20" s="2168"/>
      <c r="AK20" s="2168"/>
      <c r="AL20" s="2168"/>
      <c r="AM20" s="2168"/>
      <c r="AN20" s="2168"/>
      <c r="AO20" s="2153"/>
      <c r="AP20" s="2153"/>
      <c r="AQ20" s="2155"/>
    </row>
    <row r="21" spans="1:43" ht="45.75" customHeight="1" x14ac:dyDescent="0.2">
      <c r="A21" s="716"/>
      <c r="B21" s="571"/>
      <c r="C21" s="571"/>
      <c r="D21" s="717"/>
      <c r="E21" s="571"/>
      <c r="F21" s="718"/>
      <c r="G21" s="717"/>
      <c r="H21" s="571"/>
      <c r="I21" s="571"/>
      <c r="J21" s="2184"/>
      <c r="K21" s="2147"/>
      <c r="L21" s="2147"/>
      <c r="M21" s="2184"/>
      <c r="N21" s="2147"/>
      <c r="O21" s="2147"/>
      <c r="P21" s="2147"/>
      <c r="Q21" s="2233"/>
      <c r="R21" s="2182"/>
      <c r="S21" s="2218"/>
      <c r="T21" s="2218"/>
      <c r="U21" s="725" t="s">
        <v>753</v>
      </c>
      <c r="V21" s="722">
        <v>660000</v>
      </c>
      <c r="W21" s="2149"/>
      <c r="X21" s="2155"/>
      <c r="Y21" s="2168"/>
      <c r="Z21" s="2231"/>
      <c r="AA21" s="2168"/>
      <c r="AB21" s="2168"/>
      <c r="AC21" s="2168"/>
      <c r="AD21" s="2168"/>
      <c r="AE21" s="2168"/>
      <c r="AF21" s="2168"/>
      <c r="AG21" s="2168"/>
      <c r="AH21" s="2168"/>
      <c r="AI21" s="2168"/>
      <c r="AJ21" s="2168"/>
      <c r="AK21" s="2168"/>
      <c r="AL21" s="2168"/>
      <c r="AM21" s="2168"/>
      <c r="AN21" s="2168"/>
      <c r="AO21" s="2153"/>
      <c r="AP21" s="2153"/>
      <c r="AQ21" s="2155"/>
    </row>
    <row r="22" spans="1:43" ht="45.75" customHeight="1" x14ac:dyDescent="0.2">
      <c r="A22" s="716"/>
      <c r="B22" s="571"/>
      <c r="C22" s="571"/>
      <c r="D22" s="717"/>
      <c r="E22" s="571"/>
      <c r="F22" s="718"/>
      <c r="G22" s="726"/>
      <c r="H22" s="571"/>
      <c r="I22" s="571"/>
      <c r="J22" s="2184"/>
      <c r="K22" s="2147"/>
      <c r="L22" s="2147"/>
      <c r="M22" s="2184"/>
      <c r="N22" s="2147"/>
      <c r="O22" s="2147"/>
      <c r="P22" s="2147"/>
      <c r="Q22" s="2233"/>
      <c r="R22" s="2182"/>
      <c r="S22" s="2179"/>
      <c r="T22" s="2179"/>
      <c r="U22" s="724" t="s">
        <v>754</v>
      </c>
      <c r="V22" s="722">
        <f>660000-660000</f>
        <v>0</v>
      </c>
      <c r="W22" s="2149"/>
      <c r="X22" s="2155"/>
      <c r="Y22" s="2168"/>
      <c r="Z22" s="2231"/>
      <c r="AA22" s="2168"/>
      <c r="AB22" s="2168"/>
      <c r="AC22" s="2168"/>
      <c r="AD22" s="2168"/>
      <c r="AE22" s="2168"/>
      <c r="AF22" s="2168"/>
      <c r="AG22" s="2168"/>
      <c r="AH22" s="2168"/>
      <c r="AI22" s="2168"/>
      <c r="AJ22" s="2168"/>
      <c r="AK22" s="2168"/>
      <c r="AL22" s="2168"/>
      <c r="AM22" s="2168"/>
      <c r="AN22" s="2168"/>
      <c r="AO22" s="2153"/>
      <c r="AP22" s="2153"/>
      <c r="AQ22" s="2155"/>
    </row>
    <row r="23" spans="1:43" ht="27" customHeight="1" x14ac:dyDescent="0.2">
      <c r="A23" s="727"/>
      <c r="B23" s="199"/>
      <c r="C23" s="199"/>
      <c r="D23" s="728"/>
      <c r="E23" s="199"/>
      <c r="F23" s="729"/>
      <c r="G23" s="710">
        <v>84</v>
      </c>
      <c r="H23" s="2226" t="s">
        <v>755</v>
      </c>
      <c r="I23" s="2226"/>
      <c r="J23" s="2226"/>
      <c r="K23" s="2226"/>
      <c r="L23" s="598"/>
      <c r="M23" s="599"/>
      <c r="N23" s="598"/>
      <c r="O23" s="598"/>
      <c r="P23" s="598"/>
      <c r="Q23" s="711"/>
      <c r="R23" s="730"/>
      <c r="S23" s="598"/>
      <c r="T23" s="731"/>
      <c r="U23" s="713"/>
      <c r="V23" s="732"/>
      <c r="W23" s="733"/>
      <c r="X23" s="734"/>
      <c r="Y23" s="735"/>
      <c r="Z23" s="736"/>
      <c r="AA23" s="735"/>
      <c r="AB23" s="735"/>
      <c r="AC23" s="735"/>
      <c r="AD23" s="735"/>
      <c r="AE23" s="735"/>
      <c r="AF23" s="735"/>
      <c r="AG23" s="735"/>
      <c r="AH23" s="735"/>
      <c r="AI23" s="735"/>
      <c r="AJ23" s="735"/>
      <c r="AK23" s="735"/>
      <c r="AL23" s="735"/>
      <c r="AM23" s="735"/>
      <c r="AN23" s="735"/>
      <c r="AO23" s="737"/>
      <c r="AP23" s="738"/>
      <c r="AQ23" s="739"/>
    </row>
    <row r="24" spans="1:43" ht="30" customHeight="1" x14ac:dyDescent="0.2">
      <c r="A24" s="740"/>
      <c r="D24" s="741"/>
      <c r="G24" s="741"/>
      <c r="J24" s="2184">
        <v>248</v>
      </c>
      <c r="K24" s="2147" t="s">
        <v>756</v>
      </c>
      <c r="L24" s="2147" t="s">
        <v>757</v>
      </c>
      <c r="M24" s="2229">
        <v>12</v>
      </c>
      <c r="N24" s="2232" t="s">
        <v>758</v>
      </c>
      <c r="O24" s="2147" t="s">
        <v>759</v>
      </c>
      <c r="P24" s="2147" t="s">
        <v>760</v>
      </c>
      <c r="Q24" s="2164">
        <v>1</v>
      </c>
      <c r="R24" s="2228">
        <f>SUM(V24:V31)</f>
        <v>29000000</v>
      </c>
      <c r="S24" s="2167" t="s">
        <v>761</v>
      </c>
      <c r="T24" s="2147" t="s">
        <v>762</v>
      </c>
      <c r="U24" s="626" t="s">
        <v>763</v>
      </c>
      <c r="V24" s="722">
        <v>500000</v>
      </c>
      <c r="W24" s="2149">
        <v>20</v>
      </c>
      <c r="X24" s="2155" t="s">
        <v>764</v>
      </c>
      <c r="Y24" s="2168">
        <v>282326</v>
      </c>
      <c r="Z24" s="2231">
        <v>292684</v>
      </c>
      <c r="AA24" s="2168">
        <v>135912</v>
      </c>
      <c r="AB24" s="2168">
        <v>45122</v>
      </c>
      <c r="AC24" s="2168">
        <v>307101</v>
      </c>
      <c r="AD24" s="2168">
        <v>86875</v>
      </c>
      <c r="AE24" s="2168">
        <v>2145</v>
      </c>
      <c r="AF24" s="2168">
        <v>12718</v>
      </c>
      <c r="AG24" s="2168">
        <v>26</v>
      </c>
      <c r="AH24" s="2168">
        <v>37</v>
      </c>
      <c r="AI24" s="2168"/>
      <c r="AJ24" s="2168"/>
      <c r="AK24" s="2168">
        <v>43029</v>
      </c>
      <c r="AL24" s="2168">
        <v>16982</v>
      </c>
      <c r="AM24" s="2168">
        <v>60013</v>
      </c>
      <c r="AN24" s="2168">
        <v>575010</v>
      </c>
      <c r="AO24" s="2153">
        <v>43102</v>
      </c>
      <c r="AP24" s="2153">
        <v>43465</v>
      </c>
      <c r="AQ24" s="2155" t="s">
        <v>742</v>
      </c>
    </row>
    <row r="25" spans="1:43" ht="27.75" customHeight="1" x14ac:dyDescent="0.2">
      <c r="A25" s="740"/>
      <c r="D25" s="741"/>
      <c r="G25" s="741"/>
      <c r="J25" s="2184"/>
      <c r="K25" s="2147"/>
      <c r="L25" s="2147"/>
      <c r="M25" s="2229"/>
      <c r="N25" s="2232"/>
      <c r="O25" s="2147"/>
      <c r="P25" s="2147"/>
      <c r="Q25" s="2164"/>
      <c r="R25" s="2228"/>
      <c r="S25" s="2167"/>
      <c r="T25" s="2147"/>
      <c r="U25" s="626" t="s">
        <v>765</v>
      </c>
      <c r="V25" s="722">
        <v>500000</v>
      </c>
      <c r="W25" s="2149"/>
      <c r="X25" s="2155"/>
      <c r="Y25" s="2168"/>
      <c r="Z25" s="2231"/>
      <c r="AA25" s="2168"/>
      <c r="AB25" s="2168"/>
      <c r="AC25" s="2168"/>
      <c r="AD25" s="2168"/>
      <c r="AE25" s="2168"/>
      <c r="AF25" s="2168"/>
      <c r="AG25" s="2168"/>
      <c r="AH25" s="2168"/>
      <c r="AI25" s="2168"/>
      <c r="AJ25" s="2168"/>
      <c r="AK25" s="2168"/>
      <c r="AL25" s="2168"/>
      <c r="AM25" s="2168"/>
      <c r="AN25" s="2168"/>
      <c r="AO25" s="2153"/>
      <c r="AP25" s="2153"/>
      <c r="AQ25" s="2155"/>
    </row>
    <row r="26" spans="1:43" ht="27" customHeight="1" x14ac:dyDescent="0.2">
      <c r="A26" s="740"/>
      <c r="D26" s="741"/>
      <c r="G26" s="741"/>
      <c r="J26" s="2184"/>
      <c r="K26" s="2147"/>
      <c r="L26" s="2147"/>
      <c r="M26" s="2229"/>
      <c r="N26" s="2232"/>
      <c r="O26" s="2147"/>
      <c r="P26" s="2147"/>
      <c r="Q26" s="2164"/>
      <c r="R26" s="2228"/>
      <c r="S26" s="2167"/>
      <c r="T26" s="2147"/>
      <c r="U26" s="626" t="s">
        <v>766</v>
      </c>
      <c r="V26" s="722">
        <v>1000000</v>
      </c>
      <c r="W26" s="2149"/>
      <c r="X26" s="2155"/>
      <c r="Y26" s="2168"/>
      <c r="Z26" s="2231"/>
      <c r="AA26" s="2168"/>
      <c r="AB26" s="2168"/>
      <c r="AC26" s="2168"/>
      <c r="AD26" s="2168"/>
      <c r="AE26" s="2168"/>
      <c r="AF26" s="2168"/>
      <c r="AG26" s="2168"/>
      <c r="AH26" s="2168"/>
      <c r="AI26" s="2168"/>
      <c r="AJ26" s="2168"/>
      <c r="AK26" s="2168"/>
      <c r="AL26" s="2168"/>
      <c r="AM26" s="2168"/>
      <c r="AN26" s="2168"/>
      <c r="AO26" s="2153"/>
      <c r="AP26" s="2153"/>
      <c r="AQ26" s="2155"/>
    </row>
    <row r="27" spans="1:43" ht="26.25" customHeight="1" x14ac:dyDescent="0.2">
      <c r="A27" s="740"/>
      <c r="D27" s="741"/>
      <c r="G27" s="741"/>
      <c r="J27" s="2184"/>
      <c r="K27" s="2147"/>
      <c r="L27" s="2147"/>
      <c r="M27" s="2229"/>
      <c r="N27" s="2232"/>
      <c r="O27" s="2147"/>
      <c r="P27" s="2147"/>
      <c r="Q27" s="2164"/>
      <c r="R27" s="2228"/>
      <c r="S27" s="2167"/>
      <c r="T27" s="2147"/>
      <c r="U27" s="626" t="s">
        <v>767</v>
      </c>
      <c r="V27" s="722">
        <v>500000</v>
      </c>
      <c r="W27" s="2149"/>
      <c r="X27" s="2155"/>
      <c r="Y27" s="2168"/>
      <c r="Z27" s="2231"/>
      <c r="AA27" s="2168"/>
      <c r="AB27" s="2168"/>
      <c r="AC27" s="2168"/>
      <c r="AD27" s="2168"/>
      <c r="AE27" s="2168"/>
      <c r="AF27" s="2168"/>
      <c r="AG27" s="2168"/>
      <c r="AH27" s="2168"/>
      <c r="AI27" s="2168"/>
      <c r="AJ27" s="2168"/>
      <c r="AK27" s="2168"/>
      <c r="AL27" s="2168"/>
      <c r="AM27" s="2168"/>
      <c r="AN27" s="2168"/>
      <c r="AO27" s="2153"/>
      <c r="AP27" s="2153"/>
      <c r="AQ27" s="2155"/>
    </row>
    <row r="28" spans="1:43" ht="29.25" customHeight="1" x14ac:dyDescent="0.2">
      <c r="A28" s="740"/>
      <c r="D28" s="741"/>
      <c r="G28" s="741"/>
      <c r="J28" s="2184"/>
      <c r="K28" s="2147"/>
      <c r="L28" s="2147"/>
      <c r="M28" s="2229"/>
      <c r="N28" s="2232"/>
      <c r="O28" s="2147"/>
      <c r="P28" s="2147"/>
      <c r="Q28" s="2164"/>
      <c r="R28" s="2228"/>
      <c r="S28" s="2167"/>
      <c r="T28" s="2147"/>
      <c r="U28" s="626" t="s">
        <v>768</v>
      </c>
      <c r="V28" s="722">
        <v>500000</v>
      </c>
      <c r="W28" s="2149"/>
      <c r="X28" s="2155"/>
      <c r="Y28" s="2168"/>
      <c r="Z28" s="2231"/>
      <c r="AA28" s="2168"/>
      <c r="AB28" s="2168"/>
      <c r="AC28" s="2168"/>
      <c r="AD28" s="2168"/>
      <c r="AE28" s="2168"/>
      <c r="AF28" s="2168"/>
      <c r="AG28" s="2168"/>
      <c r="AH28" s="2168"/>
      <c r="AI28" s="2168"/>
      <c r="AJ28" s="2168"/>
      <c r="AK28" s="2168"/>
      <c r="AL28" s="2168"/>
      <c r="AM28" s="2168"/>
      <c r="AN28" s="2168"/>
      <c r="AO28" s="2153"/>
      <c r="AP28" s="2153"/>
      <c r="AQ28" s="2155"/>
    </row>
    <row r="29" spans="1:43" ht="128.25" customHeight="1" x14ac:dyDescent="0.2">
      <c r="A29" s="740"/>
      <c r="D29" s="741"/>
      <c r="G29" s="741"/>
      <c r="J29" s="2184"/>
      <c r="K29" s="2147"/>
      <c r="L29" s="2147"/>
      <c r="M29" s="2229"/>
      <c r="N29" s="2232"/>
      <c r="O29" s="2147"/>
      <c r="P29" s="2147"/>
      <c r="Q29" s="2164"/>
      <c r="R29" s="2228"/>
      <c r="S29" s="2167"/>
      <c r="T29" s="586" t="s">
        <v>769</v>
      </c>
      <c r="U29" s="586" t="s">
        <v>770</v>
      </c>
      <c r="V29" s="742">
        <v>15000000</v>
      </c>
      <c r="W29" s="2149"/>
      <c r="X29" s="2155"/>
      <c r="Y29" s="2168"/>
      <c r="Z29" s="2231"/>
      <c r="AA29" s="2168"/>
      <c r="AB29" s="2168"/>
      <c r="AC29" s="2168"/>
      <c r="AD29" s="2168"/>
      <c r="AE29" s="2168"/>
      <c r="AF29" s="2168"/>
      <c r="AG29" s="2168"/>
      <c r="AH29" s="2168"/>
      <c r="AI29" s="2168"/>
      <c r="AJ29" s="2168"/>
      <c r="AK29" s="2168"/>
      <c r="AL29" s="2168"/>
      <c r="AM29" s="2168"/>
      <c r="AN29" s="2168"/>
      <c r="AO29" s="2153"/>
      <c r="AP29" s="2153"/>
      <c r="AQ29" s="2155"/>
    </row>
    <row r="30" spans="1:43" ht="67.5" customHeight="1" x14ac:dyDescent="0.2">
      <c r="A30" s="740"/>
      <c r="D30" s="741"/>
      <c r="G30" s="741"/>
      <c r="J30" s="2184"/>
      <c r="K30" s="2147"/>
      <c r="L30" s="2147"/>
      <c r="M30" s="2229"/>
      <c r="N30" s="2232"/>
      <c r="O30" s="2147"/>
      <c r="P30" s="2147"/>
      <c r="Q30" s="2164"/>
      <c r="R30" s="2228"/>
      <c r="S30" s="2167"/>
      <c r="T30" s="2147" t="s">
        <v>771</v>
      </c>
      <c r="U30" s="626" t="s">
        <v>772</v>
      </c>
      <c r="V30" s="742">
        <v>3500000</v>
      </c>
      <c r="W30" s="2149"/>
      <c r="X30" s="2155"/>
      <c r="Y30" s="2168"/>
      <c r="Z30" s="2231"/>
      <c r="AA30" s="2168"/>
      <c r="AB30" s="2168"/>
      <c r="AC30" s="2168"/>
      <c r="AD30" s="2168"/>
      <c r="AE30" s="2168"/>
      <c r="AF30" s="2168"/>
      <c r="AG30" s="2168"/>
      <c r="AH30" s="2168"/>
      <c r="AI30" s="2168"/>
      <c r="AJ30" s="2168"/>
      <c r="AK30" s="2168"/>
      <c r="AL30" s="2168"/>
      <c r="AM30" s="2168"/>
      <c r="AN30" s="2168"/>
      <c r="AO30" s="2153"/>
      <c r="AP30" s="2153"/>
      <c r="AQ30" s="2155"/>
    </row>
    <row r="31" spans="1:43" ht="95.25" customHeight="1" x14ac:dyDescent="0.2">
      <c r="A31" s="740"/>
      <c r="D31" s="741"/>
      <c r="G31" s="743"/>
      <c r="J31" s="2184"/>
      <c r="K31" s="2147"/>
      <c r="L31" s="2147"/>
      <c r="M31" s="2229"/>
      <c r="N31" s="2232"/>
      <c r="O31" s="2147"/>
      <c r="P31" s="2147"/>
      <c r="Q31" s="2164"/>
      <c r="R31" s="2228"/>
      <c r="S31" s="2167"/>
      <c r="T31" s="2147"/>
      <c r="U31" s="626" t="s">
        <v>754</v>
      </c>
      <c r="V31" s="742">
        <v>7500000</v>
      </c>
      <c r="W31" s="2149"/>
      <c r="X31" s="2155"/>
      <c r="Y31" s="2168"/>
      <c r="Z31" s="2231"/>
      <c r="AA31" s="2168"/>
      <c r="AB31" s="2168"/>
      <c r="AC31" s="2168"/>
      <c r="AD31" s="2168"/>
      <c r="AE31" s="2168"/>
      <c r="AF31" s="2168"/>
      <c r="AG31" s="2168"/>
      <c r="AH31" s="2168"/>
      <c r="AI31" s="2168"/>
      <c r="AJ31" s="2168"/>
      <c r="AK31" s="2168"/>
      <c r="AL31" s="2168"/>
      <c r="AM31" s="2168"/>
      <c r="AN31" s="2168"/>
      <c r="AO31" s="2153"/>
      <c r="AP31" s="2153"/>
      <c r="AQ31" s="2155"/>
    </row>
    <row r="32" spans="1:43" ht="27" customHeight="1" x14ac:dyDescent="0.2">
      <c r="A32" s="727"/>
      <c r="B32" s="199"/>
      <c r="C32" s="199"/>
      <c r="D32" s="744">
        <v>27</v>
      </c>
      <c r="E32" s="2230" t="s">
        <v>773</v>
      </c>
      <c r="F32" s="2230"/>
      <c r="G32" s="2230"/>
      <c r="H32" s="2230"/>
      <c r="I32" s="2230"/>
      <c r="J32" s="2230"/>
      <c r="K32" s="2230"/>
      <c r="L32" s="745"/>
      <c r="M32" s="746"/>
      <c r="N32" s="745"/>
      <c r="O32" s="745"/>
      <c r="P32" s="745"/>
      <c r="Q32" s="747"/>
      <c r="R32" s="748"/>
      <c r="S32" s="745"/>
      <c r="T32" s="749"/>
      <c r="U32" s="750"/>
      <c r="V32" s="751"/>
      <c r="W32" s="752"/>
      <c r="X32" s="753"/>
      <c r="Y32" s="754"/>
      <c r="Z32" s="755"/>
      <c r="AA32" s="754"/>
      <c r="AB32" s="754"/>
      <c r="AC32" s="754"/>
      <c r="AD32" s="754"/>
      <c r="AE32" s="754"/>
      <c r="AF32" s="754"/>
      <c r="AG32" s="754"/>
      <c r="AH32" s="754"/>
      <c r="AI32" s="754"/>
      <c r="AJ32" s="754"/>
      <c r="AK32" s="754"/>
      <c r="AL32" s="754"/>
      <c r="AM32" s="754"/>
      <c r="AN32" s="754"/>
      <c r="AO32" s="756"/>
      <c r="AP32" s="757"/>
      <c r="AQ32" s="758"/>
    </row>
    <row r="33" spans="1:43" ht="27" customHeight="1" x14ac:dyDescent="0.2">
      <c r="A33" s="727"/>
      <c r="B33" s="199"/>
      <c r="C33" s="759"/>
      <c r="D33" s="728"/>
      <c r="E33" s="199"/>
      <c r="F33" s="759"/>
      <c r="G33" s="710">
        <v>85</v>
      </c>
      <c r="H33" s="2226" t="s">
        <v>774</v>
      </c>
      <c r="I33" s="2226"/>
      <c r="J33" s="2226"/>
      <c r="K33" s="2226"/>
      <c r="L33" s="598"/>
      <c r="M33" s="599"/>
      <c r="N33" s="598"/>
      <c r="O33" s="598"/>
      <c r="P33" s="598"/>
      <c r="Q33" s="711"/>
      <c r="R33" s="760"/>
      <c r="S33" s="598"/>
      <c r="T33" s="731"/>
      <c r="U33" s="713"/>
      <c r="V33" s="714"/>
      <c r="W33" s="733"/>
      <c r="X33" s="734"/>
      <c r="Y33" s="735"/>
      <c r="Z33" s="736"/>
      <c r="AA33" s="735"/>
      <c r="AB33" s="735"/>
      <c r="AC33" s="735"/>
      <c r="AD33" s="735"/>
      <c r="AE33" s="735"/>
      <c r="AF33" s="735"/>
      <c r="AG33" s="735"/>
      <c r="AH33" s="735"/>
      <c r="AI33" s="735"/>
      <c r="AJ33" s="735"/>
      <c r="AK33" s="735"/>
      <c r="AL33" s="735"/>
      <c r="AM33" s="735"/>
      <c r="AN33" s="735"/>
      <c r="AO33" s="737"/>
      <c r="AP33" s="738"/>
      <c r="AQ33" s="739"/>
    </row>
    <row r="34" spans="1:43" ht="77.25" customHeight="1" x14ac:dyDescent="0.2">
      <c r="A34" s="761"/>
      <c r="B34" s="204"/>
      <c r="C34" s="762"/>
      <c r="D34" s="763"/>
      <c r="E34" s="204"/>
      <c r="F34" s="204"/>
      <c r="G34" s="764"/>
      <c r="H34" s="204"/>
      <c r="I34" s="204"/>
      <c r="J34" s="2184">
        <v>249</v>
      </c>
      <c r="K34" s="2147" t="s">
        <v>775</v>
      </c>
      <c r="L34" s="2167" t="s">
        <v>776</v>
      </c>
      <c r="M34" s="2229">
        <v>1</v>
      </c>
      <c r="N34" s="2147" t="s">
        <v>777</v>
      </c>
      <c r="O34" s="2147" t="s">
        <v>778</v>
      </c>
      <c r="P34" s="2147" t="s">
        <v>779</v>
      </c>
      <c r="Q34" s="2164">
        <v>1</v>
      </c>
      <c r="R34" s="2228">
        <f>SUM(V34:V41)</f>
        <v>120000000</v>
      </c>
      <c r="S34" s="2147" t="s">
        <v>780</v>
      </c>
      <c r="T34" s="2147" t="s">
        <v>781</v>
      </c>
      <c r="U34" s="765" t="s">
        <v>782</v>
      </c>
      <c r="V34" s="722">
        <v>9000000</v>
      </c>
      <c r="W34" s="2149">
        <v>20</v>
      </c>
      <c r="X34" s="2184" t="s">
        <v>72</v>
      </c>
      <c r="Y34" s="2227">
        <v>282326</v>
      </c>
      <c r="Z34" s="2192">
        <v>292684</v>
      </c>
      <c r="AA34" s="2149">
        <v>135912</v>
      </c>
      <c r="AB34" s="2149">
        <v>45122</v>
      </c>
      <c r="AC34" s="2149">
        <v>307101</v>
      </c>
      <c r="AD34" s="2149">
        <v>86875</v>
      </c>
      <c r="AE34" s="2149">
        <v>2145</v>
      </c>
      <c r="AF34" s="2149">
        <v>12718</v>
      </c>
      <c r="AG34" s="2149">
        <v>26</v>
      </c>
      <c r="AH34" s="2149">
        <v>37</v>
      </c>
      <c r="AI34" s="2149"/>
      <c r="AJ34" s="2149"/>
      <c r="AK34" s="2149">
        <v>43029</v>
      </c>
      <c r="AL34" s="2149">
        <v>16982</v>
      </c>
      <c r="AM34" s="2149">
        <v>60013</v>
      </c>
      <c r="AN34" s="2149">
        <f>Y34+Z34</f>
        <v>575010</v>
      </c>
      <c r="AO34" s="2153">
        <v>43102</v>
      </c>
      <c r="AP34" s="2153">
        <v>43465</v>
      </c>
      <c r="AQ34" s="2184" t="s">
        <v>742</v>
      </c>
    </row>
    <row r="35" spans="1:43" ht="62.25" customHeight="1" x14ac:dyDescent="0.2">
      <c r="A35" s="761"/>
      <c r="B35" s="204"/>
      <c r="C35" s="762"/>
      <c r="D35" s="763"/>
      <c r="E35" s="204"/>
      <c r="F35" s="204"/>
      <c r="G35" s="763"/>
      <c r="H35" s="204"/>
      <c r="I35" s="204"/>
      <c r="J35" s="2184"/>
      <c r="K35" s="2147"/>
      <c r="L35" s="2167"/>
      <c r="M35" s="2229"/>
      <c r="N35" s="2147"/>
      <c r="O35" s="2147"/>
      <c r="P35" s="2147"/>
      <c r="Q35" s="2164"/>
      <c r="R35" s="2228"/>
      <c r="S35" s="2147"/>
      <c r="T35" s="2147"/>
      <c r="U35" s="765" t="s">
        <v>783</v>
      </c>
      <c r="V35" s="722">
        <v>15000000</v>
      </c>
      <c r="W35" s="2149"/>
      <c r="X35" s="2184"/>
      <c r="Y35" s="2227"/>
      <c r="Z35" s="2192"/>
      <c r="AA35" s="2149"/>
      <c r="AB35" s="2149"/>
      <c r="AC35" s="2149"/>
      <c r="AD35" s="2149"/>
      <c r="AE35" s="2149"/>
      <c r="AF35" s="2149"/>
      <c r="AG35" s="2149"/>
      <c r="AH35" s="2149"/>
      <c r="AI35" s="2149"/>
      <c r="AJ35" s="2149"/>
      <c r="AK35" s="2149"/>
      <c r="AL35" s="2149"/>
      <c r="AM35" s="2149"/>
      <c r="AN35" s="2149"/>
      <c r="AO35" s="2153"/>
      <c r="AP35" s="2153"/>
      <c r="AQ35" s="2184"/>
    </row>
    <row r="36" spans="1:43" ht="81.75" customHeight="1" x14ac:dyDescent="0.2">
      <c r="A36" s="761"/>
      <c r="B36" s="204"/>
      <c r="C36" s="762"/>
      <c r="D36" s="763"/>
      <c r="E36" s="204"/>
      <c r="F36" s="204"/>
      <c r="G36" s="763"/>
      <c r="H36" s="204"/>
      <c r="I36" s="204"/>
      <c r="J36" s="2184"/>
      <c r="K36" s="2147"/>
      <c r="L36" s="2167"/>
      <c r="M36" s="2229"/>
      <c r="N36" s="2147"/>
      <c r="O36" s="2147"/>
      <c r="P36" s="2147"/>
      <c r="Q36" s="2164"/>
      <c r="R36" s="2228"/>
      <c r="S36" s="2147"/>
      <c r="T36" s="2147"/>
      <c r="U36" s="765" t="s">
        <v>784</v>
      </c>
      <c r="V36" s="722">
        <v>18000000</v>
      </c>
      <c r="W36" s="2149"/>
      <c r="X36" s="2184"/>
      <c r="Y36" s="2227"/>
      <c r="Z36" s="2192"/>
      <c r="AA36" s="2149"/>
      <c r="AB36" s="2149"/>
      <c r="AC36" s="2149"/>
      <c r="AD36" s="2149"/>
      <c r="AE36" s="2149"/>
      <c r="AF36" s="2149"/>
      <c r="AG36" s="2149"/>
      <c r="AH36" s="2149"/>
      <c r="AI36" s="2149"/>
      <c r="AJ36" s="2149"/>
      <c r="AK36" s="2149"/>
      <c r="AL36" s="2149"/>
      <c r="AM36" s="2149"/>
      <c r="AN36" s="2149"/>
      <c r="AO36" s="2153"/>
      <c r="AP36" s="2153"/>
      <c r="AQ36" s="2184"/>
    </row>
    <row r="37" spans="1:43" ht="81.75" customHeight="1" x14ac:dyDescent="0.2">
      <c r="A37" s="761"/>
      <c r="B37" s="204"/>
      <c r="C37" s="762"/>
      <c r="D37" s="763"/>
      <c r="E37" s="204"/>
      <c r="F37" s="204"/>
      <c r="G37" s="763"/>
      <c r="H37" s="204"/>
      <c r="I37" s="204"/>
      <c r="J37" s="2184"/>
      <c r="K37" s="2147"/>
      <c r="L37" s="2167"/>
      <c r="M37" s="2229"/>
      <c r="N37" s="2147"/>
      <c r="O37" s="2147"/>
      <c r="P37" s="2147"/>
      <c r="Q37" s="2164"/>
      <c r="R37" s="2228"/>
      <c r="S37" s="2147"/>
      <c r="T37" s="2147"/>
      <c r="U37" s="765" t="s">
        <v>785</v>
      </c>
      <c r="V37" s="722">
        <v>2000000</v>
      </c>
      <c r="W37" s="2149"/>
      <c r="X37" s="2184"/>
      <c r="Y37" s="2227"/>
      <c r="Z37" s="2192"/>
      <c r="AA37" s="2149"/>
      <c r="AB37" s="2149"/>
      <c r="AC37" s="2149"/>
      <c r="AD37" s="2149"/>
      <c r="AE37" s="2149"/>
      <c r="AF37" s="2149"/>
      <c r="AG37" s="2149"/>
      <c r="AH37" s="2149"/>
      <c r="AI37" s="2149"/>
      <c r="AJ37" s="2149"/>
      <c r="AK37" s="2149"/>
      <c r="AL37" s="2149"/>
      <c r="AM37" s="2149"/>
      <c r="AN37" s="2149"/>
      <c r="AO37" s="2153"/>
      <c r="AP37" s="2153"/>
      <c r="AQ37" s="2184"/>
    </row>
    <row r="38" spans="1:43" ht="66.75" customHeight="1" x14ac:dyDescent="0.2">
      <c r="A38" s="761"/>
      <c r="B38" s="204"/>
      <c r="C38" s="762"/>
      <c r="D38" s="763"/>
      <c r="E38" s="204"/>
      <c r="F38" s="204"/>
      <c r="G38" s="763"/>
      <c r="H38" s="204"/>
      <c r="I38" s="204"/>
      <c r="J38" s="2184"/>
      <c r="K38" s="2147"/>
      <c r="L38" s="2167"/>
      <c r="M38" s="2229"/>
      <c r="N38" s="2147"/>
      <c r="O38" s="2147"/>
      <c r="P38" s="2147"/>
      <c r="Q38" s="2164"/>
      <c r="R38" s="2228"/>
      <c r="S38" s="2147"/>
      <c r="T38" s="2147" t="s">
        <v>786</v>
      </c>
      <c r="U38" s="765" t="s">
        <v>787</v>
      </c>
      <c r="V38" s="722">
        <v>21000000</v>
      </c>
      <c r="W38" s="2149"/>
      <c r="X38" s="2184"/>
      <c r="Y38" s="2227"/>
      <c r="Z38" s="2192"/>
      <c r="AA38" s="2149"/>
      <c r="AB38" s="2149"/>
      <c r="AC38" s="2149"/>
      <c r="AD38" s="2149"/>
      <c r="AE38" s="2149"/>
      <c r="AF38" s="2149"/>
      <c r="AG38" s="2149"/>
      <c r="AH38" s="2149"/>
      <c r="AI38" s="2149"/>
      <c r="AJ38" s="2149"/>
      <c r="AK38" s="2149"/>
      <c r="AL38" s="2149"/>
      <c r="AM38" s="2149"/>
      <c r="AN38" s="2149"/>
      <c r="AO38" s="2153"/>
      <c r="AP38" s="2153"/>
      <c r="AQ38" s="2184"/>
    </row>
    <row r="39" spans="1:43" ht="54.75" customHeight="1" x14ac:dyDescent="0.2">
      <c r="A39" s="761"/>
      <c r="B39" s="204"/>
      <c r="C39" s="762"/>
      <c r="D39" s="763"/>
      <c r="E39" s="204"/>
      <c r="F39" s="204"/>
      <c r="G39" s="763"/>
      <c r="H39" s="204"/>
      <c r="I39" s="204"/>
      <c r="J39" s="2184"/>
      <c r="K39" s="2147"/>
      <c r="L39" s="2167"/>
      <c r="M39" s="2229"/>
      <c r="N39" s="2147"/>
      <c r="O39" s="2147"/>
      <c r="P39" s="2147"/>
      <c r="Q39" s="2164"/>
      <c r="R39" s="2228"/>
      <c r="S39" s="2147"/>
      <c r="T39" s="2147"/>
      <c r="U39" s="765" t="s">
        <v>788</v>
      </c>
      <c r="V39" s="722">
        <v>15000000</v>
      </c>
      <c r="W39" s="2149"/>
      <c r="X39" s="2184"/>
      <c r="Y39" s="2227"/>
      <c r="Z39" s="2192"/>
      <c r="AA39" s="2149"/>
      <c r="AB39" s="2149"/>
      <c r="AC39" s="2149"/>
      <c r="AD39" s="2149"/>
      <c r="AE39" s="2149"/>
      <c r="AF39" s="2149"/>
      <c r="AG39" s="2149"/>
      <c r="AH39" s="2149"/>
      <c r="AI39" s="2149"/>
      <c r="AJ39" s="2149"/>
      <c r="AK39" s="2149"/>
      <c r="AL39" s="2149"/>
      <c r="AM39" s="2149"/>
      <c r="AN39" s="2149"/>
      <c r="AO39" s="2153"/>
      <c r="AP39" s="2153"/>
      <c r="AQ39" s="2184"/>
    </row>
    <row r="40" spans="1:43" ht="47.25" customHeight="1" x14ac:dyDescent="0.2">
      <c r="A40" s="761"/>
      <c r="B40" s="204"/>
      <c r="C40" s="762"/>
      <c r="D40" s="763"/>
      <c r="E40" s="204"/>
      <c r="F40" s="204"/>
      <c r="G40" s="763"/>
      <c r="H40" s="204"/>
      <c r="I40" s="204"/>
      <c r="J40" s="2184"/>
      <c r="K40" s="2147"/>
      <c r="L40" s="2167"/>
      <c r="M40" s="2229"/>
      <c r="N40" s="2147"/>
      <c r="O40" s="2147"/>
      <c r="P40" s="2147"/>
      <c r="Q40" s="2164"/>
      <c r="R40" s="2228"/>
      <c r="S40" s="2147"/>
      <c r="T40" s="2147" t="s">
        <v>789</v>
      </c>
      <c r="U40" s="765" t="s">
        <v>790</v>
      </c>
      <c r="V40" s="722">
        <v>20000000</v>
      </c>
      <c r="W40" s="2149"/>
      <c r="X40" s="2184"/>
      <c r="Y40" s="2227"/>
      <c r="Z40" s="2192"/>
      <c r="AA40" s="2149"/>
      <c r="AB40" s="2149"/>
      <c r="AC40" s="2149"/>
      <c r="AD40" s="2149"/>
      <c r="AE40" s="2149"/>
      <c r="AF40" s="2149"/>
      <c r="AG40" s="2149"/>
      <c r="AH40" s="2149"/>
      <c r="AI40" s="2149"/>
      <c r="AJ40" s="2149"/>
      <c r="AK40" s="2149"/>
      <c r="AL40" s="2149"/>
      <c r="AM40" s="2149"/>
      <c r="AN40" s="2149"/>
      <c r="AO40" s="2153"/>
      <c r="AP40" s="2153"/>
      <c r="AQ40" s="2184"/>
    </row>
    <row r="41" spans="1:43" ht="57" customHeight="1" x14ac:dyDescent="0.2">
      <c r="A41" s="761"/>
      <c r="B41" s="204"/>
      <c r="C41" s="762"/>
      <c r="D41" s="763"/>
      <c r="E41" s="204"/>
      <c r="F41" s="204"/>
      <c r="G41" s="763"/>
      <c r="H41" s="204"/>
      <c r="I41" s="204"/>
      <c r="J41" s="2184"/>
      <c r="K41" s="2147"/>
      <c r="L41" s="2167"/>
      <c r="M41" s="2229"/>
      <c r="N41" s="2147"/>
      <c r="O41" s="2147"/>
      <c r="P41" s="2147"/>
      <c r="Q41" s="2164"/>
      <c r="R41" s="2228"/>
      <c r="S41" s="2147"/>
      <c r="T41" s="2147"/>
      <c r="U41" s="765" t="s">
        <v>791</v>
      </c>
      <c r="V41" s="722">
        <v>20000000</v>
      </c>
      <c r="W41" s="2149"/>
      <c r="X41" s="2184"/>
      <c r="Y41" s="2227"/>
      <c r="Z41" s="2192"/>
      <c r="AA41" s="2149"/>
      <c r="AB41" s="2149"/>
      <c r="AC41" s="2149"/>
      <c r="AD41" s="2149"/>
      <c r="AE41" s="2149"/>
      <c r="AF41" s="2149"/>
      <c r="AG41" s="2149"/>
      <c r="AH41" s="2149"/>
      <c r="AI41" s="2149"/>
      <c r="AJ41" s="2149"/>
      <c r="AK41" s="2149"/>
      <c r="AL41" s="2149"/>
      <c r="AM41" s="2149"/>
      <c r="AN41" s="2149"/>
      <c r="AO41" s="2153"/>
      <c r="AP41" s="2153"/>
      <c r="AQ41" s="2184"/>
    </row>
    <row r="42" spans="1:43" ht="27" customHeight="1" x14ac:dyDescent="0.2">
      <c r="A42" s="727"/>
      <c r="B42" s="199"/>
      <c r="C42" s="759"/>
      <c r="D42" s="766">
        <v>28</v>
      </c>
      <c r="E42" s="767"/>
      <c r="F42" s="2225" t="s">
        <v>206</v>
      </c>
      <c r="G42" s="2225"/>
      <c r="H42" s="2225"/>
      <c r="I42" s="2225"/>
      <c r="J42" s="2225"/>
      <c r="K42" s="2225"/>
      <c r="L42" s="768"/>
      <c r="M42" s="769"/>
      <c r="N42" s="768"/>
      <c r="O42" s="768"/>
      <c r="P42" s="768"/>
      <c r="Q42" s="770"/>
      <c r="R42" s="771"/>
      <c r="S42" s="768"/>
      <c r="T42" s="772"/>
      <c r="U42" s="773"/>
      <c r="V42" s="774"/>
      <c r="W42" s="775"/>
      <c r="X42" s="776"/>
      <c r="Y42" s="777"/>
      <c r="Z42" s="778"/>
      <c r="AA42" s="777"/>
      <c r="AB42" s="777"/>
      <c r="AC42" s="777"/>
      <c r="AD42" s="777"/>
      <c r="AE42" s="777"/>
      <c r="AF42" s="777"/>
      <c r="AG42" s="777"/>
      <c r="AH42" s="777"/>
      <c r="AI42" s="777"/>
      <c r="AJ42" s="777"/>
      <c r="AK42" s="777"/>
      <c r="AL42" s="777"/>
      <c r="AM42" s="777"/>
      <c r="AN42" s="777"/>
      <c r="AO42" s="779"/>
      <c r="AP42" s="780"/>
      <c r="AQ42" s="781"/>
    </row>
    <row r="43" spans="1:43" ht="27" customHeight="1" x14ac:dyDescent="0.2">
      <c r="A43" s="727"/>
      <c r="B43" s="199"/>
      <c r="C43" s="199"/>
      <c r="D43" s="782"/>
      <c r="E43" s="783"/>
      <c r="F43" s="784"/>
      <c r="G43" s="710">
        <v>87</v>
      </c>
      <c r="H43" s="2226" t="s">
        <v>792</v>
      </c>
      <c r="I43" s="2226"/>
      <c r="J43" s="2226"/>
      <c r="K43" s="2226"/>
      <c r="L43" s="598"/>
      <c r="M43" s="599"/>
      <c r="N43" s="153"/>
      <c r="O43" s="153"/>
      <c r="P43" s="598"/>
      <c r="Q43" s="711"/>
      <c r="R43" s="760"/>
      <c r="S43" s="598"/>
      <c r="T43" s="731"/>
      <c r="U43" s="713"/>
      <c r="V43" s="714"/>
      <c r="W43" s="785"/>
      <c r="X43" s="786"/>
      <c r="Y43" s="735"/>
      <c r="Z43" s="736"/>
      <c r="AA43" s="735"/>
      <c r="AB43" s="787"/>
      <c r="AC43" s="787"/>
      <c r="AD43" s="787"/>
      <c r="AE43" s="787"/>
      <c r="AF43" s="787"/>
      <c r="AG43" s="735"/>
      <c r="AH43" s="735"/>
      <c r="AI43" s="735"/>
      <c r="AJ43" s="735"/>
      <c r="AK43" s="735"/>
      <c r="AL43" s="735"/>
      <c r="AM43" s="735"/>
      <c r="AN43" s="735"/>
      <c r="AO43" s="737"/>
      <c r="AP43" s="738"/>
      <c r="AQ43" s="739"/>
    </row>
    <row r="44" spans="1:43" ht="48.75" customHeight="1" x14ac:dyDescent="0.2">
      <c r="A44" s="740"/>
      <c r="D44" s="741"/>
      <c r="G44" s="788"/>
      <c r="H44" s="789"/>
      <c r="I44" s="789"/>
      <c r="J44" s="2155">
        <v>257</v>
      </c>
      <c r="K44" s="2147" t="s">
        <v>793</v>
      </c>
      <c r="L44" s="2147" t="s">
        <v>794</v>
      </c>
      <c r="M44" s="2221">
        <v>1</v>
      </c>
      <c r="N44" s="2186" t="s">
        <v>795</v>
      </c>
      <c r="O44" s="2222" t="s">
        <v>796</v>
      </c>
      <c r="P44" s="2212" t="s">
        <v>797</v>
      </c>
      <c r="Q44" s="2164">
        <f>SUM(V44:V46)/R44</f>
        <v>0.29245283018867924</v>
      </c>
      <c r="R44" s="2215">
        <f>SUM(V44:V52)</f>
        <v>212000000</v>
      </c>
      <c r="S44" s="2148" t="s">
        <v>798</v>
      </c>
      <c r="T44" s="2147" t="s">
        <v>799</v>
      </c>
      <c r="U44" s="626" t="s">
        <v>800</v>
      </c>
      <c r="V44" s="790">
        <f>13500000+14220000-1840000</f>
        <v>25880000</v>
      </c>
      <c r="W44" s="2156" t="s">
        <v>67</v>
      </c>
      <c r="X44" s="2156" t="s">
        <v>537</v>
      </c>
      <c r="Y44" s="2206">
        <v>282326</v>
      </c>
      <c r="Z44" s="2202">
        <v>292684</v>
      </c>
      <c r="AA44" s="2209">
        <v>135912</v>
      </c>
      <c r="AB44" s="2205">
        <v>45122</v>
      </c>
      <c r="AC44" s="2205">
        <v>307101</v>
      </c>
      <c r="AD44" s="2205">
        <v>86875</v>
      </c>
      <c r="AE44" s="2205">
        <v>2145</v>
      </c>
      <c r="AF44" s="2205">
        <v>12718</v>
      </c>
      <c r="AG44" s="2202">
        <v>26</v>
      </c>
      <c r="AH44" s="2202">
        <v>37</v>
      </c>
      <c r="AI44" s="2202"/>
      <c r="AJ44" s="2202"/>
      <c r="AK44" s="2202">
        <v>43029</v>
      </c>
      <c r="AL44" s="2202">
        <v>16982</v>
      </c>
      <c r="AM44" s="2202">
        <v>60013</v>
      </c>
      <c r="AN44" s="2202">
        <f>Y44+Z44</f>
        <v>575010</v>
      </c>
      <c r="AO44" s="2154">
        <v>43102</v>
      </c>
      <c r="AP44" s="2154">
        <v>43465</v>
      </c>
      <c r="AQ44" s="2156" t="s">
        <v>742</v>
      </c>
    </row>
    <row r="45" spans="1:43" ht="34.5" customHeight="1" x14ac:dyDescent="0.2">
      <c r="A45" s="740"/>
      <c r="D45" s="741"/>
      <c r="G45" s="741"/>
      <c r="J45" s="2155"/>
      <c r="K45" s="2147"/>
      <c r="L45" s="2147"/>
      <c r="M45" s="2221"/>
      <c r="N45" s="2187"/>
      <c r="O45" s="2223"/>
      <c r="P45" s="2213"/>
      <c r="Q45" s="2164"/>
      <c r="R45" s="2216"/>
      <c r="S45" s="2218"/>
      <c r="T45" s="2147"/>
      <c r="U45" s="626" t="s">
        <v>801</v>
      </c>
      <c r="V45" s="790">
        <f>9300000+14700000-8160000</f>
        <v>15840000</v>
      </c>
      <c r="W45" s="2200"/>
      <c r="X45" s="2200"/>
      <c r="Y45" s="2207"/>
      <c r="Z45" s="2203"/>
      <c r="AA45" s="2210"/>
      <c r="AB45" s="2205"/>
      <c r="AC45" s="2205"/>
      <c r="AD45" s="2205"/>
      <c r="AE45" s="2205"/>
      <c r="AF45" s="2205"/>
      <c r="AG45" s="2203"/>
      <c r="AH45" s="2203"/>
      <c r="AI45" s="2203"/>
      <c r="AJ45" s="2203"/>
      <c r="AK45" s="2203"/>
      <c r="AL45" s="2203"/>
      <c r="AM45" s="2203"/>
      <c r="AN45" s="2203"/>
      <c r="AO45" s="2198"/>
      <c r="AP45" s="2198"/>
      <c r="AQ45" s="2200"/>
    </row>
    <row r="46" spans="1:43" ht="40.5" customHeight="1" x14ac:dyDescent="0.2">
      <c r="A46" s="740"/>
      <c r="D46" s="741"/>
      <c r="G46" s="741"/>
      <c r="I46" s="570"/>
      <c r="J46" s="2155"/>
      <c r="K46" s="2147"/>
      <c r="L46" s="2147"/>
      <c r="M46" s="2221"/>
      <c r="N46" s="2187"/>
      <c r="O46" s="2223"/>
      <c r="P46" s="2213"/>
      <c r="Q46" s="2164"/>
      <c r="R46" s="2216"/>
      <c r="S46" s="2218"/>
      <c r="T46" s="2147"/>
      <c r="U46" s="626" t="s">
        <v>802</v>
      </c>
      <c r="V46" s="790">
        <f>9200000+11080000</f>
        <v>20280000</v>
      </c>
      <c r="W46" s="2200"/>
      <c r="X46" s="2200"/>
      <c r="Y46" s="2207"/>
      <c r="Z46" s="2203"/>
      <c r="AA46" s="2210"/>
      <c r="AB46" s="2205"/>
      <c r="AC46" s="2205"/>
      <c r="AD46" s="2205"/>
      <c r="AE46" s="2205"/>
      <c r="AF46" s="2205"/>
      <c r="AG46" s="2203"/>
      <c r="AH46" s="2203"/>
      <c r="AI46" s="2203"/>
      <c r="AJ46" s="2203"/>
      <c r="AK46" s="2203"/>
      <c r="AL46" s="2203"/>
      <c r="AM46" s="2203"/>
      <c r="AN46" s="2203"/>
      <c r="AO46" s="2198"/>
      <c r="AP46" s="2198"/>
      <c r="AQ46" s="2200"/>
    </row>
    <row r="47" spans="1:43" ht="37.5" customHeight="1" x14ac:dyDescent="0.2">
      <c r="A47" s="740"/>
      <c r="D47" s="741"/>
      <c r="G47" s="741"/>
      <c r="I47" s="570"/>
      <c r="J47" s="2155">
        <v>258</v>
      </c>
      <c r="K47" s="2147" t="s">
        <v>803</v>
      </c>
      <c r="L47" s="2147" t="s">
        <v>804</v>
      </c>
      <c r="M47" s="2201">
        <v>1</v>
      </c>
      <c r="N47" s="2187"/>
      <c r="O47" s="2223"/>
      <c r="P47" s="2213"/>
      <c r="Q47" s="2164">
        <f>(V47+V48)/R44</f>
        <v>0.14150943396226415</v>
      </c>
      <c r="R47" s="2216"/>
      <c r="S47" s="2218"/>
      <c r="T47" s="2147" t="s">
        <v>805</v>
      </c>
      <c r="U47" s="626" t="s">
        <v>806</v>
      </c>
      <c r="V47" s="790">
        <v>18000000</v>
      </c>
      <c r="W47" s="2200"/>
      <c r="X47" s="2200"/>
      <c r="Y47" s="2207"/>
      <c r="Z47" s="2203"/>
      <c r="AA47" s="2210"/>
      <c r="AB47" s="2205"/>
      <c r="AC47" s="2205"/>
      <c r="AD47" s="2205"/>
      <c r="AE47" s="2205"/>
      <c r="AF47" s="2205"/>
      <c r="AG47" s="2203"/>
      <c r="AH47" s="2203"/>
      <c r="AI47" s="2203"/>
      <c r="AJ47" s="2203"/>
      <c r="AK47" s="2203"/>
      <c r="AL47" s="2203"/>
      <c r="AM47" s="2203"/>
      <c r="AN47" s="2203"/>
      <c r="AO47" s="2198"/>
      <c r="AP47" s="2198"/>
      <c r="AQ47" s="2200"/>
    </row>
    <row r="48" spans="1:43" ht="39.75" customHeight="1" x14ac:dyDescent="0.2">
      <c r="A48" s="740"/>
      <c r="D48" s="741"/>
      <c r="G48" s="741"/>
      <c r="J48" s="2155"/>
      <c r="K48" s="2147"/>
      <c r="L48" s="2147"/>
      <c r="M48" s="2201"/>
      <c r="N48" s="2187"/>
      <c r="O48" s="2223"/>
      <c r="P48" s="2213"/>
      <c r="Q48" s="2164"/>
      <c r="R48" s="2216"/>
      <c r="S48" s="2218"/>
      <c r="T48" s="2147"/>
      <c r="U48" s="626" t="s">
        <v>807</v>
      </c>
      <c r="V48" s="790">
        <v>12000000</v>
      </c>
      <c r="W48" s="2200"/>
      <c r="X48" s="2200"/>
      <c r="Y48" s="2207"/>
      <c r="Z48" s="2203"/>
      <c r="AA48" s="2210"/>
      <c r="AB48" s="2205"/>
      <c r="AC48" s="2205"/>
      <c r="AD48" s="2205"/>
      <c r="AE48" s="2205"/>
      <c r="AF48" s="2205"/>
      <c r="AG48" s="2203"/>
      <c r="AH48" s="2203"/>
      <c r="AI48" s="2203"/>
      <c r="AJ48" s="2203"/>
      <c r="AK48" s="2203"/>
      <c r="AL48" s="2203"/>
      <c r="AM48" s="2203"/>
      <c r="AN48" s="2203"/>
      <c r="AO48" s="2198"/>
      <c r="AP48" s="2198"/>
      <c r="AQ48" s="2200"/>
    </row>
    <row r="49" spans="1:43" ht="70.5" customHeight="1" x14ac:dyDescent="0.2">
      <c r="A49" s="740"/>
      <c r="D49" s="741"/>
      <c r="G49" s="741"/>
      <c r="J49" s="607">
        <v>259</v>
      </c>
      <c r="K49" s="586" t="s">
        <v>808</v>
      </c>
      <c r="L49" s="586" t="s">
        <v>809</v>
      </c>
      <c r="M49" s="791">
        <v>1</v>
      </c>
      <c r="N49" s="2187"/>
      <c r="O49" s="2223"/>
      <c r="P49" s="2213"/>
      <c r="Q49" s="792">
        <f>V49/R44</f>
        <v>4.2452830188679243E-2</v>
      </c>
      <c r="R49" s="2216"/>
      <c r="S49" s="2218"/>
      <c r="T49" s="586" t="s">
        <v>810</v>
      </c>
      <c r="U49" s="626" t="s">
        <v>811</v>
      </c>
      <c r="V49" s="790">
        <v>9000000</v>
      </c>
      <c r="W49" s="2200"/>
      <c r="X49" s="2200"/>
      <c r="Y49" s="2207"/>
      <c r="Z49" s="2203"/>
      <c r="AA49" s="2210"/>
      <c r="AB49" s="2205"/>
      <c r="AC49" s="2205"/>
      <c r="AD49" s="2205"/>
      <c r="AE49" s="2205"/>
      <c r="AF49" s="2205"/>
      <c r="AG49" s="2203"/>
      <c r="AH49" s="2203"/>
      <c r="AI49" s="2203"/>
      <c r="AJ49" s="2203"/>
      <c r="AK49" s="2203"/>
      <c r="AL49" s="2203"/>
      <c r="AM49" s="2203"/>
      <c r="AN49" s="2203"/>
      <c r="AO49" s="2198"/>
      <c r="AP49" s="2198"/>
      <c r="AQ49" s="2200"/>
    </row>
    <row r="50" spans="1:43" ht="63.75" customHeight="1" x14ac:dyDescent="0.2">
      <c r="A50" s="740"/>
      <c r="D50" s="741"/>
      <c r="G50" s="741"/>
      <c r="J50" s="607">
        <v>263</v>
      </c>
      <c r="K50" s="586" t="s">
        <v>812</v>
      </c>
      <c r="L50" s="586" t="s">
        <v>813</v>
      </c>
      <c r="M50" s="791">
        <v>1</v>
      </c>
      <c r="N50" s="2187"/>
      <c r="O50" s="2223"/>
      <c r="P50" s="2213"/>
      <c r="Q50" s="792">
        <f>V50/R44</f>
        <v>0.37735849056603776</v>
      </c>
      <c r="R50" s="2216"/>
      <c r="S50" s="2218"/>
      <c r="T50" s="586" t="s">
        <v>814</v>
      </c>
      <c r="U50" s="626" t="s">
        <v>815</v>
      </c>
      <c r="V50" s="790">
        <v>80000000</v>
      </c>
      <c r="W50" s="2200"/>
      <c r="X50" s="2200"/>
      <c r="Y50" s="2207"/>
      <c r="Z50" s="2203"/>
      <c r="AA50" s="2210"/>
      <c r="AB50" s="2205"/>
      <c r="AC50" s="2205"/>
      <c r="AD50" s="2205"/>
      <c r="AE50" s="2205"/>
      <c r="AF50" s="2205"/>
      <c r="AG50" s="2203"/>
      <c r="AH50" s="2203"/>
      <c r="AI50" s="2203"/>
      <c r="AJ50" s="2203"/>
      <c r="AK50" s="2203"/>
      <c r="AL50" s="2203"/>
      <c r="AM50" s="2203"/>
      <c r="AN50" s="2203"/>
      <c r="AO50" s="2198"/>
      <c r="AP50" s="2198"/>
      <c r="AQ50" s="2200"/>
    </row>
    <row r="51" spans="1:43" ht="45" customHeight="1" x14ac:dyDescent="0.2">
      <c r="A51" s="740"/>
      <c r="D51" s="741"/>
      <c r="G51" s="741"/>
      <c r="J51" s="2156">
        <v>261</v>
      </c>
      <c r="K51" s="2148" t="s">
        <v>816</v>
      </c>
      <c r="L51" s="2148" t="s">
        <v>817</v>
      </c>
      <c r="M51" s="2150">
        <v>2</v>
      </c>
      <c r="N51" s="2187"/>
      <c r="O51" s="2223"/>
      <c r="P51" s="2213"/>
      <c r="Q51" s="2219">
        <f>(V51+V52)/R44</f>
        <v>0.14622641509433962</v>
      </c>
      <c r="R51" s="2216"/>
      <c r="S51" s="2218"/>
      <c r="T51" s="2186" t="s">
        <v>818</v>
      </c>
      <c r="U51" s="626" t="s">
        <v>819</v>
      </c>
      <c r="V51" s="790">
        <f>21000000</f>
        <v>21000000</v>
      </c>
      <c r="W51" s="2200"/>
      <c r="X51" s="2200"/>
      <c r="Y51" s="2207"/>
      <c r="Z51" s="2203"/>
      <c r="AA51" s="2210"/>
      <c r="AB51" s="2205"/>
      <c r="AC51" s="2205"/>
      <c r="AD51" s="2205"/>
      <c r="AE51" s="2205"/>
      <c r="AF51" s="2205"/>
      <c r="AG51" s="2203"/>
      <c r="AH51" s="2203"/>
      <c r="AI51" s="2203"/>
      <c r="AJ51" s="2203"/>
      <c r="AK51" s="2203"/>
      <c r="AL51" s="2203"/>
      <c r="AM51" s="2203"/>
      <c r="AN51" s="2203"/>
      <c r="AO51" s="2198"/>
      <c r="AP51" s="2198"/>
      <c r="AQ51" s="2200"/>
    </row>
    <row r="52" spans="1:43" ht="57" customHeight="1" x14ac:dyDescent="0.2">
      <c r="A52" s="740"/>
      <c r="D52" s="741"/>
      <c r="G52" s="741"/>
      <c r="J52" s="2177"/>
      <c r="K52" s="2179"/>
      <c r="L52" s="2179"/>
      <c r="M52" s="2176"/>
      <c r="N52" s="2188"/>
      <c r="O52" s="2224"/>
      <c r="P52" s="2214"/>
      <c r="Q52" s="2220"/>
      <c r="R52" s="2217"/>
      <c r="S52" s="2179"/>
      <c r="T52" s="2188"/>
      <c r="U52" s="626" t="s">
        <v>820</v>
      </c>
      <c r="V52" s="793">
        <f>0+10000000</f>
        <v>10000000</v>
      </c>
      <c r="W52" s="2177"/>
      <c r="X52" s="2177"/>
      <c r="Y52" s="2208"/>
      <c r="Z52" s="2204"/>
      <c r="AA52" s="2211"/>
      <c r="AB52" s="2205"/>
      <c r="AC52" s="2205"/>
      <c r="AD52" s="2205"/>
      <c r="AE52" s="2205"/>
      <c r="AF52" s="2205"/>
      <c r="AG52" s="2204"/>
      <c r="AH52" s="2204"/>
      <c r="AI52" s="2204"/>
      <c r="AJ52" s="2204"/>
      <c r="AK52" s="2204"/>
      <c r="AL52" s="2204"/>
      <c r="AM52" s="2204"/>
      <c r="AN52" s="2204"/>
      <c r="AO52" s="2199"/>
      <c r="AP52" s="2199"/>
      <c r="AQ52" s="2177"/>
    </row>
    <row r="53" spans="1:43" ht="124.5" customHeight="1" x14ac:dyDescent="0.2">
      <c r="A53" s="716"/>
      <c r="D53" s="717"/>
      <c r="E53" s="2196"/>
      <c r="F53" s="2196"/>
      <c r="G53" s="2197"/>
      <c r="H53" s="2196"/>
      <c r="I53" s="2196"/>
      <c r="J53" s="2184">
        <v>262</v>
      </c>
      <c r="K53" s="2147" t="s">
        <v>821</v>
      </c>
      <c r="L53" s="2147" t="s">
        <v>822</v>
      </c>
      <c r="M53" s="2184">
        <v>1</v>
      </c>
      <c r="N53" s="2179" t="s">
        <v>823</v>
      </c>
      <c r="O53" s="2193" t="s">
        <v>824</v>
      </c>
      <c r="P53" s="2147" t="s">
        <v>825</v>
      </c>
      <c r="Q53" s="2195">
        <v>1</v>
      </c>
      <c r="R53" s="2182">
        <f>SUM(V53:V59)</f>
        <v>108000000</v>
      </c>
      <c r="S53" s="2190" t="s">
        <v>826</v>
      </c>
      <c r="T53" s="2191" t="s">
        <v>827</v>
      </c>
      <c r="U53" s="586" t="s">
        <v>828</v>
      </c>
      <c r="V53" s="794">
        <f>6000000+6600000</f>
        <v>12600000</v>
      </c>
      <c r="W53" s="2177" t="s">
        <v>67</v>
      </c>
      <c r="X53" s="2177" t="s">
        <v>829</v>
      </c>
      <c r="Y53" s="2149">
        <v>282326</v>
      </c>
      <c r="Z53" s="2192">
        <v>292684</v>
      </c>
      <c r="AA53" s="2149">
        <v>135912</v>
      </c>
      <c r="AB53" s="2176">
        <v>45122</v>
      </c>
      <c r="AC53" s="2176">
        <v>307101</v>
      </c>
      <c r="AD53" s="2176">
        <v>86875</v>
      </c>
      <c r="AE53" s="2176">
        <v>2145</v>
      </c>
      <c r="AF53" s="2176">
        <v>12718</v>
      </c>
      <c r="AG53" s="2149">
        <v>26</v>
      </c>
      <c r="AH53" s="2189">
        <v>37</v>
      </c>
      <c r="AI53" s="2149"/>
      <c r="AJ53" s="2149"/>
      <c r="AK53" s="2149">
        <v>43029</v>
      </c>
      <c r="AL53" s="2149">
        <v>16982</v>
      </c>
      <c r="AM53" s="2149">
        <v>60013</v>
      </c>
      <c r="AN53" s="2149">
        <f>Y53+Z53</f>
        <v>575010</v>
      </c>
      <c r="AO53" s="2153">
        <v>43102</v>
      </c>
      <c r="AP53" s="2153">
        <v>43465</v>
      </c>
      <c r="AQ53" s="2155" t="s">
        <v>830</v>
      </c>
    </row>
    <row r="54" spans="1:43" ht="96.75" customHeight="1" x14ac:dyDescent="0.2">
      <c r="A54" s="716"/>
      <c r="D54" s="717"/>
      <c r="E54" s="2196"/>
      <c r="F54" s="2196"/>
      <c r="G54" s="2197"/>
      <c r="H54" s="2196"/>
      <c r="I54" s="2196"/>
      <c r="J54" s="2184"/>
      <c r="K54" s="2147"/>
      <c r="L54" s="2147"/>
      <c r="M54" s="2184"/>
      <c r="N54" s="2147"/>
      <c r="O54" s="2194"/>
      <c r="P54" s="2147"/>
      <c r="Q54" s="2195"/>
      <c r="R54" s="2182"/>
      <c r="S54" s="2190"/>
      <c r="T54" s="2191"/>
      <c r="U54" s="586" t="s">
        <v>831</v>
      </c>
      <c r="V54" s="794">
        <f>4500000+4500000</f>
        <v>9000000</v>
      </c>
      <c r="W54" s="2149"/>
      <c r="X54" s="2155"/>
      <c r="Y54" s="2149"/>
      <c r="Z54" s="2192"/>
      <c r="AA54" s="2149"/>
      <c r="AB54" s="2149"/>
      <c r="AC54" s="2149"/>
      <c r="AD54" s="2149"/>
      <c r="AE54" s="2149"/>
      <c r="AF54" s="2149"/>
      <c r="AG54" s="2149"/>
      <c r="AH54" s="2189"/>
      <c r="AI54" s="2149"/>
      <c r="AJ54" s="2149"/>
      <c r="AK54" s="2149"/>
      <c r="AL54" s="2149"/>
      <c r="AM54" s="2149"/>
      <c r="AN54" s="2149"/>
      <c r="AO54" s="2153"/>
      <c r="AP54" s="2153"/>
      <c r="AQ54" s="2155"/>
    </row>
    <row r="55" spans="1:43" ht="66" customHeight="1" x14ac:dyDescent="0.2">
      <c r="A55" s="716"/>
      <c r="D55" s="717"/>
      <c r="E55" s="2196"/>
      <c r="F55" s="2196"/>
      <c r="G55" s="2197"/>
      <c r="H55" s="2196"/>
      <c r="I55" s="2196"/>
      <c r="J55" s="2184"/>
      <c r="K55" s="2147"/>
      <c r="L55" s="2147"/>
      <c r="M55" s="2184"/>
      <c r="N55" s="2147"/>
      <c r="O55" s="2194"/>
      <c r="P55" s="2147"/>
      <c r="Q55" s="2195"/>
      <c r="R55" s="2182"/>
      <c r="S55" s="2190"/>
      <c r="T55" s="2186" t="s">
        <v>832</v>
      </c>
      <c r="U55" s="586" t="s">
        <v>833</v>
      </c>
      <c r="V55" s="794">
        <v>13200000</v>
      </c>
      <c r="W55" s="2149"/>
      <c r="X55" s="2155"/>
      <c r="Y55" s="2149"/>
      <c r="Z55" s="2192"/>
      <c r="AA55" s="2149"/>
      <c r="AB55" s="2149"/>
      <c r="AC55" s="2149"/>
      <c r="AD55" s="2149"/>
      <c r="AE55" s="2149"/>
      <c r="AF55" s="2149"/>
      <c r="AG55" s="2149"/>
      <c r="AH55" s="2189"/>
      <c r="AI55" s="2149"/>
      <c r="AJ55" s="2149"/>
      <c r="AK55" s="2149"/>
      <c r="AL55" s="2149"/>
      <c r="AM55" s="2149"/>
      <c r="AN55" s="2149"/>
      <c r="AO55" s="2153"/>
      <c r="AP55" s="2153"/>
      <c r="AQ55" s="2155"/>
    </row>
    <row r="56" spans="1:43" ht="80.25" customHeight="1" x14ac:dyDescent="0.2">
      <c r="A56" s="716"/>
      <c r="D56" s="717"/>
      <c r="E56" s="2196"/>
      <c r="F56" s="2196"/>
      <c r="G56" s="2197"/>
      <c r="H56" s="2196"/>
      <c r="I56" s="2196"/>
      <c r="J56" s="2184"/>
      <c r="K56" s="2147"/>
      <c r="L56" s="2147"/>
      <c r="M56" s="2184"/>
      <c r="N56" s="2147"/>
      <c r="O56" s="2194"/>
      <c r="P56" s="2147"/>
      <c r="Q56" s="2195"/>
      <c r="R56" s="2182"/>
      <c r="S56" s="2190"/>
      <c r="T56" s="2187"/>
      <c r="U56" s="626" t="s">
        <v>834</v>
      </c>
      <c r="V56" s="794">
        <f>8000000+48000000</f>
        <v>56000000</v>
      </c>
      <c r="W56" s="2149"/>
      <c r="X56" s="2155"/>
      <c r="Y56" s="2149"/>
      <c r="Z56" s="2192"/>
      <c r="AA56" s="2149"/>
      <c r="AB56" s="2149"/>
      <c r="AC56" s="2149"/>
      <c r="AD56" s="2149"/>
      <c r="AE56" s="2149"/>
      <c r="AF56" s="2149"/>
      <c r="AG56" s="2149"/>
      <c r="AH56" s="2189"/>
      <c r="AI56" s="2149"/>
      <c r="AJ56" s="2149"/>
      <c r="AK56" s="2149"/>
      <c r="AL56" s="2149"/>
      <c r="AM56" s="2149"/>
      <c r="AN56" s="2149"/>
      <c r="AO56" s="2153"/>
      <c r="AP56" s="2153"/>
      <c r="AQ56" s="2155"/>
    </row>
    <row r="57" spans="1:43" ht="58.5" customHeight="1" x14ac:dyDescent="0.2">
      <c r="A57" s="716"/>
      <c r="D57" s="717"/>
      <c r="E57" s="2196"/>
      <c r="F57" s="2196"/>
      <c r="G57" s="2197"/>
      <c r="H57" s="2196"/>
      <c r="I57" s="2196"/>
      <c r="J57" s="2184"/>
      <c r="K57" s="2147"/>
      <c r="L57" s="2147"/>
      <c r="M57" s="2184"/>
      <c r="N57" s="2147"/>
      <c r="O57" s="2194"/>
      <c r="P57" s="2147"/>
      <c r="Q57" s="2195"/>
      <c r="R57" s="2182"/>
      <c r="S57" s="2190"/>
      <c r="T57" s="2187"/>
      <c r="U57" s="626" t="s">
        <v>835</v>
      </c>
      <c r="V57" s="795">
        <f>3700000+1900000</f>
        <v>5600000</v>
      </c>
      <c r="W57" s="2149"/>
      <c r="X57" s="2155"/>
      <c r="Y57" s="2149"/>
      <c r="Z57" s="2192"/>
      <c r="AA57" s="2149"/>
      <c r="AB57" s="2149"/>
      <c r="AC57" s="2149"/>
      <c r="AD57" s="2149"/>
      <c r="AE57" s="2149"/>
      <c r="AF57" s="2149"/>
      <c r="AG57" s="2149"/>
      <c r="AH57" s="2189"/>
      <c r="AI57" s="2149"/>
      <c r="AJ57" s="2149"/>
      <c r="AK57" s="2149"/>
      <c r="AL57" s="2149"/>
      <c r="AM57" s="2149"/>
      <c r="AN57" s="2149"/>
      <c r="AO57" s="2153"/>
      <c r="AP57" s="2153"/>
      <c r="AQ57" s="2155"/>
    </row>
    <row r="58" spans="1:43" ht="32.25" customHeight="1" x14ac:dyDescent="0.2">
      <c r="A58" s="716"/>
      <c r="D58" s="717"/>
      <c r="E58" s="2196"/>
      <c r="F58" s="2196"/>
      <c r="G58" s="2197"/>
      <c r="H58" s="2196"/>
      <c r="I58" s="2196"/>
      <c r="J58" s="2184"/>
      <c r="K58" s="2147"/>
      <c r="L58" s="2147"/>
      <c r="M58" s="2184"/>
      <c r="N58" s="2147"/>
      <c r="O58" s="2194"/>
      <c r="P58" s="2147"/>
      <c r="Q58" s="2195"/>
      <c r="R58" s="2182"/>
      <c r="S58" s="2190"/>
      <c r="T58" s="2187"/>
      <c r="U58" s="626" t="s">
        <v>836</v>
      </c>
      <c r="V58" s="794">
        <f>4800000+3900000</f>
        <v>8700000</v>
      </c>
      <c r="W58" s="2149"/>
      <c r="X58" s="2155"/>
      <c r="Y58" s="2149"/>
      <c r="Z58" s="2192"/>
      <c r="AA58" s="2149"/>
      <c r="AB58" s="2149"/>
      <c r="AC58" s="2149"/>
      <c r="AD58" s="2149"/>
      <c r="AE58" s="2149"/>
      <c r="AF58" s="2149"/>
      <c r="AG58" s="2149"/>
      <c r="AH58" s="2189"/>
      <c r="AI58" s="2149"/>
      <c r="AJ58" s="2149"/>
      <c r="AK58" s="2149"/>
      <c r="AL58" s="2149"/>
      <c r="AM58" s="2149"/>
      <c r="AN58" s="2149"/>
      <c r="AO58" s="2153"/>
      <c r="AP58" s="2153"/>
      <c r="AQ58" s="2155"/>
    </row>
    <row r="59" spans="1:43" ht="48" customHeight="1" x14ac:dyDescent="0.2">
      <c r="A59" s="716"/>
      <c r="D59" s="717"/>
      <c r="E59" s="2196"/>
      <c r="F59" s="2196"/>
      <c r="G59" s="2197"/>
      <c r="H59" s="2196"/>
      <c r="I59" s="2196"/>
      <c r="J59" s="2184"/>
      <c r="K59" s="2147"/>
      <c r="L59" s="2147"/>
      <c r="M59" s="2184"/>
      <c r="N59" s="2147"/>
      <c r="O59" s="2194"/>
      <c r="P59" s="2147"/>
      <c r="Q59" s="2195"/>
      <c r="R59" s="2182"/>
      <c r="S59" s="2190"/>
      <c r="T59" s="2188"/>
      <c r="U59" s="626" t="s">
        <v>837</v>
      </c>
      <c r="V59" s="794">
        <f>3000000-100000</f>
        <v>2900000</v>
      </c>
      <c r="W59" s="2149"/>
      <c r="X59" s="2155"/>
      <c r="Y59" s="2149"/>
      <c r="Z59" s="2192"/>
      <c r="AA59" s="2149"/>
      <c r="AB59" s="2149"/>
      <c r="AC59" s="2149"/>
      <c r="AD59" s="2149"/>
      <c r="AE59" s="2149"/>
      <c r="AF59" s="2149"/>
      <c r="AG59" s="2149"/>
      <c r="AH59" s="2189"/>
      <c r="AI59" s="2149"/>
      <c r="AJ59" s="2149"/>
      <c r="AK59" s="2149"/>
      <c r="AL59" s="2149"/>
      <c r="AM59" s="2149"/>
      <c r="AN59" s="2149"/>
      <c r="AO59" s="2153"/>
      <c r="AP59" s="2153"/>
      <c r="AQ59" s="2155"/>
    </row>
    <row r="60" spans="1:43" ht="50.25" customHeight="1" x14ac:dyDescent="0.2">
      <c r="A60" s="716"/>
      <c r="D60" s="717"/>
      <c r="E60" s="571"/>
      <c r="F60" s="571"/>
      <c r="G60" s="717"/>
      <c r="H60" s="571"/>
      <c r="I60" s="571"/>
      <c r="J60" s="2184">
        <v>264</v>
      </c>
      <c r="K60" s="2147" t="s">
        <v>838</v>
      </c>
      <c r="L60" s="2147" t="s">
        <v>839</v>
      </c>
      <c r="M60" s="2184">
        <v>1</v>
      </c>
      <c r="N60" s="2185" t="s">
        <v>840</v>
      </c>
      <c r="O60" s="2147" t="s">
        <v>841</v>
      </c>
      <c r="P60" s="2179" t="s">
        <v>842</v>
      </c>
      <c r="Q60" s="2180">
        <v>1</v>
      </c>
      <c r="R60" s="2181">
        <f>SUM(V60:V70)</f>
        <v>250000000</v>
      </c>
      <c r="S60" s="2147" t="s">
        <v>843</v>
      </c>
      <c r="T60" s="2147" t="s">
        <v>844</v>
      </c>
      <c r="U60" s="455" t="s">
        <v>845</v>
      </c>
      <c r="V60" s="722">
        <v>5000000</v>
      </c>
      <c r="W60" s="2177" t="s">
        <v>67</v>
      </c>
      <c r="X60" s="2177" t="s">
        <v>846</v>
      </c>
      <c r="Y60" s="2176">
        <v>282326</v>
      </c>
      <c r="Z60" s="2178">
        <v>292684</v>
      </c>
      <c r="AA60" s="2176">
        <v>135912</v>
      </c>
      <c r="AB60" s="2176">
        <v>45122</v>
      </c>
      <c r="AC60" s="2176">
        <v>307101</v>
      </c>
      <c r="AD60" s="2176">
        <v>86875</v>
      </c>
      <c r="AE60" s="2176">
        <v>2145</v>
      </c>
      <c r="AF60" s="2176">
        <v>12718</v>
      </c>
      <c r="AG60" s="2176">
        <v>26</v>
      </c>
      <c r="AH60" s="2149">
        <v>37</v>
      </c>
      <c r="AI60" s="2149"/>
      <c r="AJ60" s="2149"/>
      <c r="AK60" s="2149">
        <v>43029</v>
      </c>
      <c r="AL60" s="2149">
        <v>16982</v>
      </c>
      <c r="AM60" s="2149">
        <v>60013</v>
      </c>
      <c r="AN60" s="2149">
        <v>575010</v>
      </c>
      <c r="AO60" s="2153">
        <v>43102</v>
      </c>
      <c r="AP60" s="2153">
        <v>43465</v>
      </c>
      <c r="AQ60" s="2155" t="s">
        <v>742</v>
      </c>
    </row>
    <row r="61" spans="1:43" ht="57" customHeight="1" x14ac:dyDescent="0.2">
      <c r="A61" s="716"/>
      <c r="D61" s="717"/>
      <c r="E61" s="571"/>
      <c r="F61" s="571"/>
      <c r="G61" s="717"/>
      <c r="H61" s="571"/>
      <c r="I61" s="571"/>
      <c r="J61" s="2184"/>
      <c r="K61" s="2147"/>
      <c r="L61" s="2147"/>
      <c r="M61" s="2184"/>
      <c r="N61" s="2185"/>
      <c r="O61" s="2147"/>
      <c r="P61" s="2147"/>
      <c r="Q61" s="2180"/>
      <c r="R61" s="2182"/>
      <c r="S61" s="2147"/>
      <c r="T61" s="2147"/>
      <c r="U61" s="586" t="s">
        <v>847</v>
      </c>
      <c r="V61" s="722">
        <v>7500000</v>
      </c>
      <c r="W61" s="2149"/>
      <c r="X61" s="2155"/>
      <c r="Y61" s="2149"/>
      <c r="Z61" s="2157"/>
      <c r="AA61" s="2149"/>
      <c r="AB61" s="2149"/>
      <c r="AC61" s="2149"/>
      <c r="AD61" s="2149"/>
      <c r="AE61" s="2149"/>
      <c r="AF61" s="2149"/>
      <c r="AG61" s="2149"/>
      <c r="AH61" s="2149"/>
      <c r="AI61" s="2149"/>
      <c r="AJ61" s="2149"/>
      <c r="AK61" s="2149"/>
      <c r="AL61" s="2149"/>
      <c r="AM61" s="2149"/>
      <c r="AN61" s="2149"/>
      <c r="AO61" s="2153"/>
      <c r="AP61" s="2153"/>
      <c r="AQ61" s="2155"/>
    </row>
    <row r="62" spans="1:43" ht="72.75" customHeight="1" x14ac:dyDescent="0.2">
      <c r="A62" s="716"/>
      <c r="D62" s="717"/>
      <c r="E62" s="571"/>
      <c r="F62" s="571"/>
      <c r="G62" s="717"/>
      <c r="H62" s="571"/>
      <c r="I62" s="571"/>
      <c r="J62" s="2184"/>
      <c r="K62" s="2147"/>
      <c r="L62" s="2147"/>
      <c r="M62" s="2184"/>
      <c r="N62" s="2185"/>
      <c r="O62" s="2147"/>
      <c r="P62" s="2147"/>
      <c r="Q62" s="2180"/>
      <c r="R62" s="2182"/>
      <c r="S62" s="2147"/>
      <c r="T62" s="2147"/>
      <c r="U62" s="626" t="s">
        <v>848</v>
      </c>
      <c r="V62" s="722">
        <v>12000000</v>
      </c>
      <c r="W62" s="2149"/>
      <c r="X62" s="2155"/>
      <c r="Y62" s="2149"/>
      <c r="Z62" s="2157"/>
      <c r="AA62" s="2149"/>
      <c r="AB62" s="2149"/>
      <c r="AC62" s="2149"/>
      <c r="AD62" s="2149"/>
      <c r="AE62" s="2149"/>
      <c r="AF62" s="2149"/>
      <c r="AG62" s="2149"/>
      <c r="AH62" s="2149"/>
      <c r="AI62" s="2149"/>
      <c r="AJ62" s="2149"/>
      <c r="AK62" s="2149"/>
      <c r="AL62" s="2149"/>
      <c r="AM62" s="2149"/>
      <c r="AN62" s="2149"/>
      <c r="AO62" s="2153"/>
      <c r="AP62" s="2153"/>
      <c r="AQ62" s="2155"/>
    </row>
    <row r="63" spans="1:43" ht="68.25" customHeight="1" x14ac:dyDescent="0.2">
      <c r="A63" s="716"/>
      <c r="D63" s="717"/>
      <c r="E63" s="571"/>
      <c r="F63" s="571"/>
      <c r="G63" s="717"/>
      <c r="H63" s="571"/>
      <c r="I63" s="571"/>
      <c r="J63" s="2184"/>
      <c r="K63" s="2147"/>
      <c r="L63" s="2147"/>
      <c r="M63" s="2184"/>
      <c r="N63" s="2185"/>
      <c r="O63" s="2147"/>
      <c r="P63" s="2147"/>
      <c r="Q63" s="2180"/>
      <c r="R63" s="2182"/>
      <c r="S63" s="2147"/>
      <c r="T63" s="2147"/>
      <c r="U63" s="626" t="s">
        <v>849</v>
      </c>
      <c r="V63" s="722">
        <v>15200000</v>
      </c>
      <c r="W63" s="2149"/>
      <c r="X63" s="2155"/>
      <c r="Y63" s="2149"/>
      <c r="Z63" s="2157"/>
      <c r="AA63" s="2149"/>
      <c r="AB63" s="2149"/>
      <c r="AC63" s="2149"/>
      <c r="AD63" s="2149"/>
      <c r="AE63" s="2149"/>
      <c r="AF63" s="2149"/>
      <c r="AG63" s="2149"/>
      <c r="AH63" s="2149"/>
      <c r="AI63" s="2149"/>
      <c r="AJ63" s="2149"/>
      <c r="AK63" s="2149"/>
      <c r="AL63" s="2149"/>
      <c r="AM63" s="2149"/>
      <c r="AN63" s="2149"/>
      <c r="AO63" s="2153"/>
      <c r="AP63" s="2153"/>
      <c r="AQ63" s="2155"/>
    </row>
    <row r="64" spans="1:43" ht="57" customHeight="1" x14ac:dyDescent="0.2">
      <c r="A64" s="716"/>
      <c r="D64" s="717"/>
      <c r="E64" s="571"/>
      <c r="F64" s="571"/>
      <c r="G64" s="717"/>
      <c r="H64" s="571"/>
      <c r="I64" s="571"/>
      <c r="J64" s="2184"/>
      <c r="K64" s="2147"/>
      <c r="L64" s="2147"/>
      <c r="M64" s="2184"/>
      <c r="N64" s="2185"/>
      <c r="O64" s="2147"/>
      <c r="P64" s="2147"/>
      <c r="Q64" s="2180"/>
      <c r="R64" s="2182"/>
      <c r="S64" s="2147"/>
      <c r="T64" s="2147"/>
      <c r="U64" s="626" t="s">
        <v>850</v>
      </c>
      <c r="V64" s="722">
        <v>40000000</v>
      </c>
      <c r="W64" s="2149"/>
      <c r="X64" s="2155"/>
      <c r="Y64" s="2149"/>
      <c r="Z64" s="2157"/>
      <c r="AA64" s="2149"/>
      <c r="AB64" s="2149"/>
      <c r="AC64" s="2149"/>
      <c r="AD64" s="2149"/>
      <c r="AE64" s="2149"/>
      <c r="AF64" s="2149"/>
      <c r="AG64" s="2149"/>
      <c r="AH64" s="2149"/>
      <c r="AI64" s="2149"/>
      <c r="AJ64" s="2149"/>
      <c r="AK64" s="2149"/>
      <c r="AL64" s="2149"/>
      <c r="AM64" s="2149"/>
      <c r="AN64" s="2149"/>
      <c r="AO64" s="2153"/>
      <c r="AP64" s="2153"/>
      <c r="AQ64" s="2155"/>
    </row>
    <row r="65" spans="1:43" ht="47.25" customHeight="1" x14ac:dyDescent="0.2">
      <c r="A65" s="716"/>
      <c r="D65" s="717"/>
      <c r="E65" s="571"/>
      <c r="F65" s="571"/>
      <c r="G65" s="717"/>
      <c r="H65" s="571"/>
      <c r="I65" s="571"/>
      <c r="J65" s="2184"/>
      <c r="K65" s="2147"/>
      <c r="L65" s="2147"/>
      <c r="M65" s="2184"/>
      <c r="N65" s="2185"/>
      <c r="O65" s="2147"/>
      <c r="P65" s="2147"/>
      <c r="Q65" s="2180"/>
      <c r="R65" s="2182"/>
      <c r="S65" s="2147"/>
      <c r="T65" s="2147"/>
      <c r="U65" s="626" t="s">
        <v>851</v>
      </c>
      <c r="V65" s="722">
        <v>18000000</v>
      </c>
      <c r="W65" s="2149"/>
      <c r="X65" s="2155"/>
      <c r="Y65" s="2149"/>
      <c r="Z65" s="2157"/>
      <c r="AA65" s="2149"/>
      <c r="AB65" s="2149"/>
      <c r="AC65" s="2149"/>
      <c r="AD65" s="2149"/>
      <c r="AE65" s="2149"/>
      <c r="AF65" s="2149"/>
      <c r="AG65" s="2149"/>
      <c r="AH65" s="2149"/>
      <c r="AI65" s="2149"/>
      <c r="AJ65" s="2149"/>
      <c r="AK65" s="2149"/>
      <c r="AL65" s="2149"/>
      <c r="AM65" s="2149"/>
      <c r="AN65" s="2149"/>
      <c r="AO65" s="2153"/>
      <c r="AP65" s="2153"/>
      <c r="AQ65" s="2155"/>
    </row>
    <row r="66" spans="1:43" ht="141.75" customHeight="1" x14ac:dyDescent="0.2">
      <c r="A66" s="716"/>
      <c r="D66" s="717"/>
      <c r="E66" s="571"/>
      <c r="F66" s="571"/>
      <c r="G66" s="717"/>
      <c r="H66" s="571"/>
      <c r="I66" s="571"/>
      <c r="J66" s="2184"/>
      <c r="K66" s="2147"/>
      <c r="L66" s="2147"/>
      <c r="M66" s="2184"/>
      <c r="N66" s="2185"/>
      <c r="O66" s="2147"/>
      <c r="P66" s="2147"/>
      <c r="Q66" s="2180"/>
      <c r="R66" s="2182"/>
      <c r="S66" s="2147"/>
      <c r="T66" s="2147"/>
      <c r="U66" s="626" t="s">
        <v>852</v>
      </c>
      <c r="V66" s="722">
        <v>24000000</v>
      </c>
      <c r="W66" s="2149"/>
      <c r="X66" s="2155"/>
      <c r="Y66" s="2149"/>
      <c r="Z66" s="2157"/>
      <c r="AA66" s="2149"/>
      <c r="AB66" s="2149"/>
      <c r="AC66" s="2149"/>
      <c r="AD66" s="2149"/>
      <c r="AE66" s="2149"/>
      <c r="AF66" s="2149"/>
      <c r="AG66" s="2149"/>
      <c r="AH66" s="2149"/>
      <c r="AI66" s="2149"/>
      <c r="AJ66" s="2149"/>
      <c r="AK66" s="2149"/>
      <c r="AL66" s="2149"/>
      <c r="AM66" s="2149"/>
      <c r="AN66" s="2149"/>
      <c r="AO66" s="2153"/>
      <c r="AP66" s="2153"/>
      <c r="AQ66" s="2155"/>
    </row>
    <row r="67" spans="1:43" ht="70.5" customHeight="1" x14ac:dyDescent="0.2">
      <c r="A67" s="716"/>
      <c r="D67" s="717"/>
      <c r="E67" s="571"/>
      <c r="F67" s="571"/>
      <c r="G67" s="717"/>
      <c r="H67" s="571"/>
      <c r="I67" s="571"/>
      <c r="J67" s="2184"/>
      <c r="K67" s="2147"/>
      <c r="L67" s="2147"/>
      <c r="M67" s="2184"/>
      <c r="N67" s="2185"/>
      <c r="O67" s="2147"/>
      <c r="P67" s="2147"/>
      <c r="Q67" s="2180"/>
      <c r="R67" s="2182"/>
      <c r="S67" s="2147"/>
      <c r="T67" s="2147"/>
      <c r="U67" s="626" t="s">
        <v>853</v>
      </c>
      <c r="V67" s="722">
        <v>10500000</v>
      </c>
      <c r="W67" s="2149"/>
      <c r="X67" s="2155"/>
      <c r="Y67" s="2149"/>
      <c r="Z67" s="2157"/>
      <c r="AA67" s="2149"/>
      <c r="AB67" s="2149"/>
      <c r="AC67" s="2149"/>
      <c r="AD67" s="2149"/>
      <c r="AE67" s="2149"/>
      <c r="AF67" s="2149"/>
      <c r="AG67" s="2149"/>
      <c r="AH67" s="2149"/>
      <c r="AI67" s="2149"/>
      <c r="AJ67" s="2149"/>
      <c r="AK67" s="2149"/>
      <c r="AL67" s="2149"/>
      <c r="AM67" s="2149"/>
      <c r="AN67" s="2149"/>
      <c r="AO67" s="2153"/>
      <c r="AP67" s="2153"/>
      <c r="AQ67" s="2155"/>
    </row>
    <row r="68" spans="1:43" ht="54.75" customHeight="1" x14ac:dyDescent="0.2">
      <c r="A68" s="716"/>
      <c r="D68" s="717"/>
      <c r="E68" s="571"/>
      <c r="F68" s="571"/>
      <c r="G68" s="717"/>
      <c r="H68" s="571"/>
      <c r="I68" s="571"/>
      <c r="J68" s="2184"/>
      <c r="K68" s="2147"/>
      <c r="L68" s="2147"/>
      <c r="M68" s="2184"/>
      <c r="N68" s="2185"/>
      <c r="O68" s="2147"/>
      <c r="P68" s="2147"/>
      <c r="Q68" s="2180"/>
      <c r="R68" s="2182"/>
      <c r="S68" s="2147"/>
      <c r="T68" s="2147"/>
      <c r="U68" s="626" t="s">
        <v>854</v>
      </c>
      <c r="V68" s="722">
        <v>7500000</v>
      </c>
      <c r="W68" s="2149"/>
      <c r="X68" s="2155"/>
      <c r="Y68" s="2149"/>
      <c r="Z68" s="2157"/>
      <c r="AA68" s="2149"/>
      <c r="AB68" s="2149"/>
      <c r="AC68" s="2149"/>
      <c r="AD68" s="2149"/>
      <c r="AE68" s="2149"/>
      <c r="AF68" s="2149"/>
      <c r="AG68" s="2149"/>
      <c r="AH68" s="2149"/>
      <c r="AI68" s="2149"/>
      <c r="AJ68" s="2149"/>
      <c r="AK68" s="2149"/>
      <c r="AL68" s="2149"/>
      <c r="AM68" s="2149"/>
      <c r="AN68" s="2149"/>
      <c r="AO68" s="2153"/>
      <c r="AP68" s="2153"/>
      <c r="AQ68" s="2155"/>
    </row>
    <row r="69" spans="1:43" ht="60" customHeight="1" x14ac:dyDescent="0.2">
      <c r="A69" s="716"/>
      <c r="D69" s="717"/>
      <c r="E69" s="571"/>
      <c r="F69" s="571"/>
      <c r="G69" s="717"/>
      <c r="H69" s="571"/>
      <c r="I69" s="571"/>
      <c r="J69" s="2184"/>
      <c r="K69" s="2147"/>
      <c r="L69" s="2147"/>
      <c r="M69" s="2184"/>
      <c r="N69" s="2185"/>
      <c r="O69" s="2147"/>
      <c r="P69" s="2147"/>
      <c r="Q69" s="2180"/>
      <c r="R69" s="2183"/>
      <c r="S69" s="2147"/>
      <c r="T69" s="2147"/>
      <c r="U69" s="626" t="s">
        <v>855</v>
      </c>
      <c r="V69" s="790">
        <v>100000000</v>
      </c>
      <c r="W69" s="2149"/>
      <c r="X69" s="2155"/>
      <c r="Y69" s="2149"/>
      <c r="Z69" s="2157"/>
      <c r="AA69" s="2149"/>
      <c r="AB69" s="2149"/>
      <c r="AC69" s="2149"/>
      <c r="AD69" s="2149"/>
      <c r="AE69" s="2149"/>
      <c r="AF69" s="2149"/>
      <c r="AG69" s="2149"/>
      <c r="AH69" s="2149"/>
      <c r="AI69" s="2149"/>
      <c r="AJ69" s="2149"/>
      <c r="AK69" s="2149"/>
      <c r="AL69" s="2149"/>
      <c r="AM69" s="2149"/>
      <c r="AN69" s="2149"/>
      <c r="AO69" s="2153"/>
      <c r="AP69" s="2153"/>
      <c r="AQ69" s="2155"/>
    </row>
    <row r="70" spans="1:43" ht="99" customHeight="1" x14ac:dyDescent="0.2">
      <c r="A70" s="716"/>
      <c r="D70" s="717"/>
      <c r="E70" s="571"/>
      <c r="F70" s="571"/>
      <c r="G70" s="717"/>
      <c r="H70" s="571"/>
      <c r="I70" s="571"/>
      <c r="J70" s="2184"/>
      <c r="K70" s="2147"/>
      <c r="L70" s="2147"/>
      <c r="M70" s="2184"/>
      <c r="N70" s="2185"/>
      <c r="O70" s="2147"/>
      <c r="P70" s="2147"/>
      <c r="Q70" s="2180"/>
      <c r="R70" s="2183"/>
      <c r="S70" s="2147"/>
      <c r="T70" s="2147"/>
      <c r="U70" s="626" t="s">
        <v>856</v>
      </c>
      <c r="V70" s="722">
        <v>10300000</v>
      </c>
      <c r="W70" s="2149"/>
      <c r="X70" s="2155"/>
      <c r="Y70" s="2149"/>
      <c r="Z70" s="2157"/>
      <c r="AA70" s="2149"/>
      <c r="AB70" s="2149"/>
      <c r="AC70" s="2149"/>
      <c r="AD70" s="2149"/>
      <c r="AE70" s="2149"/>
      <c r="AF70" s="2149"/>
      <c r="AG70" s="2149"/>
      <c r="AH70" s="2149"/>
      <c r="AI70" s="2149"/>
      <c r="AJ70" s="2149"/>
      <c r="AK70" s="2149"/>
      <c r="AL70" s="2149"/>
      <c r="AM70" s="2149"/>
      <c r="AN70" s="2149"/>
      <c r="AO70" s="2153"/>
      <c r="AP70" s="2153"/>
      <c r="AQ70" s="2155" t="s">
        <v>857</v>
      </c>
    </row>
    <row r="71" spans="1:43" ht="110.25" customHeight="1" x14ac:dyDescent="0.2">
      <c r="A71" s="2172"/>
      <c r="B71" s="2173"/>
      <c r="C71" s="2173"/>
      <c r="D71" s="2174"/>
      <c r="E71" s="2173"/>
      <c r="F71" s="2173"/>
      <c r="G71" s="2174"/>
      <c r="H71" s="2175"/>
      <c r="I71" s="2175"/>
      <c r="J71" s="2155">
        <v>265</v>
      </c>
      <c r="K71" s="2147" t="s">
        <v>858</v>
      </c>
      <c r="L71" s="2147" t="s">
        <v>859</v>
      </c>
      <c r="M71" s="2149">
        <v>1</v>
      </c>
      <c r="N71" s="2147" t="s">
        <v>860</v>
      </c>
      <c r="O71" s="2159" t="s">
        <v>861</v>
      </c>
      <c r="P71" s="2159" t="s">
        <v>862</v>
      </c>
      <c r="Q71" s="2171">
        <v>1</v>
      </c>
      <c r="R71" s="2161">
        <f>SUM(V71:V84)</f>
        <v>591500000</v>
      </c>
      <c r="S71" s="2170" t="s">
        <v>863</v>
      </c>
      <c r="T71" s="2147" t="s">
        <v>864</v>
      </c>
      <c r="U71" s="626" t="s">
        <v>865</v>
      </c>
      <c r="V71" s="722">
        <v>18000000</v>
      </c>
      <c r="W71" s="2155" t="s">
        <v>67</v>
      </c>
      <c r="X71" s="2155" t="s">
        <v>82</v>
      </c>
      <c r="Y71" s="2168">
        <v>282326</v>
      </c>
      <c r="Z71" s="2169">
        <v>292684</v>
      </c>
      <c r="AA71" s="2168">
        <v>135912</v>
      </c>
      <c r="AB71" s="2168">
        <v>45122</v>
      </c>
      <c r="AC71" s="2168">
        <v>307101</v>
      </c>
      <c r="AD71" s="2168">
        <v>86875</v>
      </c>
      <c r="AE71" s="2168">
        <v>2145</v>
      </c>
      <c r="AF71" s="2168">
        <v>12718</v>
      </c>
      <c r="AG71" s="2168">
        <v>26</v>
      </c>
      <c r="AH71" s="2168">
        <v>37</v>
      </c>
      <c r="AI71" s="2168"/>
      <c r="AJ71" s="2168"/>
      <c r="AK71" s="2168">
        <v>43029</v>
      </c>
      <c r="AL71" s="2168">
        <v>16982</v>
      </c>
      <c r="AM71" s="2168">
        <v>60013</v>
      </c>
      <c r="AN71" s="2168" t="e">
        <f>#REF!</f>
        <v>#REF!</v>
      </c>
      <c r="AO71" s="2153">
        <v>43102</v>
      </c>
      <c r="AP71" s="2153">
        <v>43465</v>
      </c>
      <c r="AQ71" s="2155" t="s">
        <v>830</v>
      </c>
    </row>
    <row r="72" spans="1:43" ht="192" customHeight="1" x14ac:dyDescent="0.2">
      <c r="A72" s="2172"/>
      <c r="B72" s="2173"/>
      <c r="C72" s="2173"/>
      <c r="D72" s="2174"/>
      <c r="E72" s="2173"/>
      <c r="F72" s="2173"/>
      <c r="G72" s="2174"/>
      <c r="H72" s="2175"/>
      <c r="I72" s="2175"/>
      <c r="J72" s="2155"/>
      <c r="K72" s="2147"/>
      <c r="L72" s="2147"/>
      <c r="M72" s="2149"/>
      <c r="N72" s="2147"/>
      <c r="O72" s="2159"/>
      <c r="P72" s="2159"/>
      <c r="Q72" s="2171"/>
      <c r="R72" s="2161"/>
      <c r="S72" s="2170"/>
      <c r="T72" s="2147"/>
      <c r="U72" s="626" t="s">
        <v>866</v>
      </c>
      <c r="V72" s="722">
        <v>58000000</v>
      </c>
      <c r="W72" s="2149"/>
      <c r="X72" s="2155"/>
      <c r="Y72" s="2168"/>
      <c r="Z72" s="2169"/>
      <c r="AA72" s="2168"/>
      <c r="AB72" s="2168"/>
      <c r="AC72" s="2168"/>
      <c r="AD72" s="2168"/>
      <c r="AE72" s="2168"/>
      <c r="AF72" s="2168"/>
      <c r="AG72" s="2168"/>
      <c r="AH72" s="2168"/>
      <c r="AI72" s="2168"/>
      <c r="AJ72" s="2168"/>
      <c r="AK72" s="2168"/>
      <c r="AL72" s="2168"/>
      <c r="AM72" s="2168"/>
      <c r="AN72" s="2168"/>
      <c r="AO72" s="2153"/>
      <c r="AP72" s="2153"/>
      <c r="AQ72" s="2155"/>
    </row>
    <row r="73" spans="1:43" ht="107.25" customHeight="1" x14ac:dyDescent="0.2">
      <c r="A73" s="2172"/>
      <c r="B73" s="2173"/>
      <c r="C73" s="2173"/>
      <c r="D73" s="2174"/>
      <c r="E73" s="2173"/>
      <c r="F73" s="2173"/>
      <c r="G73" s="2174"/>
      <c r="H73" s="2175"/>
      <c r="I73" s="2175"/>
      <c r="J73" s="2155"/>
      <c r="K73" s="2147"/>
      <c r="L73" s="2147"/>
      <c r="M73" s="2149"/>
      <c r="N73" s="2147"/>
      <c r="O73" s="2159"/>
      <c r="P73" s="2159"/>
      <c r="Q73" s="2171"/>
      <c r="R73" s="2161"/>
      <c r="S73" s="2170"/>
      <c r="T73" s="2147"/>
      <c r="U73" s="796" t="s">
        <v>867</v>
      </c>
      <c r="V73" s="722">
        <v>89100000</v>
      </c>
      <c r="W73" s="2149"/>
      <c r="X73" s="2155"/>
      <c r="Y73" s="2168"/>
      <c r="Z73" s="2169"/>
      <c r="AA73" s="2168"/>
      <c r="AB73" s="2168"/>
      <c r="AC73" s="2168"/>
      <c r="AD73" s="2168"/>
      <c r="AE73" s="2168"/>
      <c r="AF73" s="2168"/>
      <c r="AG73" s="2168"/>
      <c r="AH73" s="2168"/>
      <c r="AI73" s="2168"/>
      <c r="AJ73" s="2168"/>
      <c r="AK73" s="2168"/>
      <c r="AL73" s="2168"/>
      <c r="AM73" s="2168"/>
      <c r="AN73" s="2168"/>
      <c r="AO73" s="2153"/>
      <c r="AP73" s="2153"/>
      <c r="AQ73" s="2155"/>
    </row>
    <row r="74" spans="1:43" ht="50.25" customHeight="1" x14ac:dyDescent="0.2">
      <c r="A74" s="2172"/>
      <c r="B74" s="2173"/>
      <c r="C74" s="2173"/>
      <c r="D74" s="2174"/>
      <c r="E74" s="2173"/>
      <c r="F74" s="2173"/>
      <c r="G74" s="2174"/>
      <c r="H74" s="2175"/>
      <c r="I74" s="2175"/>
      <c r="J74" s="2155"/>
      <c r="K74" s="2147"/>
      <c r="L74" s="2147"/>
      <c r="M74" s="2149"/>
      <c r="N74" s="2147"/>
      <c r="O74" s="2159"/>
      <c r="P74" s="2159"/>
      <c r="Q74" s="2171"/>
      <c r="R74" s="2161"/>
      <c r="S74" s="2170"/>
      <c r="T74" s="2147"/>
      <c r="U74" s="626" t="s">
        <v>868</v>
      </c>
      <c r="V74" s="722">
        <f>62400000+65120000</f>
        <v>127520000</v>
      </c>
      <c r="W74" s="2149"/>
      <c r="X74" s="2155"/>
      <c r="Y74" s="2168"/>
      <c r="Z74" s="2169"/>
      <c r="AA74" s="2168"/>
      <c r="AB74" s="2168"/>
      <c r="AC74" s="2168"/>
      <c r="AD74" s="2168"/>
      <c r="AE74" s="2168"/>
      <c r="AF74" s="2168"/>
      <c r="AG74" s="2168"/>
      <c r="AH74" s="2168"/>
      <c r="AI74" s="2168"/>
      <c r="AJ74" s="2168"/>
      <c r="AK74" s="2168"/>
      <c r="AL74" s="2168"/>
      <c r="AM74" s="2168"/>
      <c r="AN74" s="2168"/>
      <c r="AO74" s="2153"/>
      <c r="AP74" s="2153"/>
      <c r="AQ74" s="2155"/>
    </row>
    <row r="75" spans="1:43" ht="45.75" customHeight="1" x14ac:dyDescent="0.2">
      <c r="A75" s="2172"/>
      <c r="B75" s="2173"/>
      <c r="C75" s="2173"/>
      <c r="D75" s="2174"/>
      <c r="E75" s="2173"/>
      <c r="F75" s="2173"/>
      <c r="G75" s="2174"/>
      <c r="H75" s="2175"/>
      <c r="I75" s="2175"/>
      <c r="J75" s="2155"/>
      <c r="K75" s="2147"/>
      <c r="L75" s="2147"/>
      <c r="M75" s="2149"/>
      <c r="N75" s="2147"/>
      <c r="O75" s="2159"/>
      <c r="P75" s="2159"/>
      <c r="Q75" s="2171"/>
      <c r="R75" s="2161"/>
      <c r="S75" s="2170"/>
      <c r="T75" s="2147"/>
      <c r="U75" s="626" t="s">
        <v>869</v>
      </c>
      <c r="V75" s="722">
        <f>20800000+39520000</f>
        <v>60320000</v>
      </c>
      <c r="W75" s="2149"/>
      <c r="X75" s="2155"/>
      <c r="Y75" s="2168"/>
      <c r="Z75" s="2169"/>
      <c r="AA75" s="2168"/>
      <c r="AB75" s="2168"/>
      <c r="AC75" s="2168"/>
      <c r="AD75" s="2168"/>
      <c r="AE75" s="2168"/>
      <c r="AF75" s="2168"/>
      <c r="AG75" s="2168"/>
      <c r="AH75" s="2168"/>
      <c r="AI75" s="2168"/>
      <c r="AJ75" s="2168"/>
      <c r="AK75" s="2168"/>
      <c r="AL75" s="2168"/>
      <c r="AM75" s="2168"/>
      <c r="AN75" s="2168"/>
      <c r="AO75" s="2153"/>
      <c r="AP75" s="2153"/>
      <c r="AQ75" s="2155"/>
    </row>
    <row r="76" spans="1:43" ht="111" customHeight="1" x14ac:dyDescent="0.2">
      <c r="A76" s="2172"/>
      <c r="B76" s="2173"/>
      <c r="C76" s="2173"/>
      <c r="D76" s="2174"/>
      <c r="E76" s="2173"/>
      <c r="F76" s="2173"/>
      <c r="G76" s="2174"/>
      <c r="H76" s="2175"/>
      <c r="I76" s="2175"/>
      <c r="J76" s="2155"/>
      <c r="K76" s="2147"/>
      <c r="L76" s="2147"/>
      <c r="M76" s="2149"/>
      <c r="N76" s="2147"/>
      <c r="O76" s="2159"/>
      <c r="P76" s="2159"/>
      <c r="Q76" s="2171"/>
      <c r="R76" s="2161"/>
      <c r="S76" s="2170"/>
      <c r="T76" s="2147"/>
      <c r="U76" s="796" t="s">
        <v>870</v>
      </c>
      <c r="V76" s="722">
        <v>5760000</v>
      </c>
      <c r="W76" s="2149"/>
      <c r="X76" s="2155"/>
      <c r="Y76" s="2168"/>
      <c r="Z76" s="2169"/>
      <c r="AA76" s="2168"/>
      <c r="AB76" s="2168"/>
      <c r="AC76" s="2168"/>
      <c r="AD76" s="2168"/>
      <c r="AE76" s="2168"/>
      <c r="AF76" s="2168"/>
      <c r="AG76" s="2168"/>
      <c r="AH76" s="2168"/>
      <c r="AI76" s="2168"/>
      <c r="AJ76" s="2168"/>
      <c r="AK76" s="2168"/>
      <c r="AL76" s="2168"/>
      <c r="AM76" s="2168"/>
      <c r="AN76" s="2168"/>
      <c r="AO76" s="2153"/>
      <c r="AP76" s="2153"/>
      <c r="AQ76" s="2155"/>
    </row>
    <row r="77" spans="1:43" ht="103.5" customHeight="1" x14ac:dyDescent="0.2">
      <c r="A77" s="2172"/>
      <c r="B77" s="2173"/>
      <c r="C77" s="2173"/>
      <c r="D77" s="2174"/>
      <c r="E77" s="2173"/>
      <c r="F77" s="2173"/>
      <c r="G77" s="2174"/>
      <c r="H77" s="2175"/>
      <c r="I77" s="2175"/>
      <c r="J77" s="2155"/>
      <c r="K77" s="2147"/>
      <c r="L77" s="2147"/>
      <c r="M77" s="2149"/>
      <c r="N77" s="2147"/>
      <c r="O77" s="2159"/>
      <c r="P77" s="2159"/>
      <c r="Q77" s="2171"/>
      <c r="R77" s="2161"/>
      <c r="S77" s="2170"/>
      <c r="T77" s="2147"/>
      <c r="U77" s="796" t="s">
        <v>871</v>
      </c>
      <c r="V77" s="722">
        <v>5760000</v>
      </c>
      <c r="W77" s="2149"/>
      <c r="X77" s="2155"/>
      <c r="Y77" s="2168"/>
      <c r="Z77" s="2169"/>
      <c r="AA77" s="2168"/>
      <c r="AB77" s="2168"/>
      <c r="AC77" s="2168"/>
      <c r="AD77" s="2168"/>
      <c r="AE77" s="2168"/>
      <c r="AF77" s="2168"/>
      <c r="AG77" s="2168"/>
      <c r="AH77" s="2168"/>
      <c r="AI77" s="2168"/>
      <c r="AJ77" s="2168"/>
      <c r="AK77" s="2168"/>
      <c r="AL77" s="2168"/>
      <c r="AM77" s="2168"/>
      <c r="AN77" s="2168"/>
      <c r="AO77" s="2153"/>
      <c r="AP77" s="2153"/>
      <c r="AQ77" s="2155"/>
    </row>
    <row r="78" spans="1:43" ht="85.5" customHeight="1" x14ac:dyDescent="0.2">
      <c r="A78" s="2172"/>
      <c r="B78" s="2173"/>
      <c r="C78" s="2173"/>
      <c r="D78" s="2174"/>
      <c r="E78" s="2173"/>
      <c r="F78" s="2173"/>
      <c r="G78" s="2174"/>
      <c r="H78" s="2175"/>
      <c r="I78" s="2175"/>
      <c r="J78" s="2155"/>
      <c r="K78" s="2147"/>
      <c r="L78" s="2147"/>
      <c r="M78" s="2149"/>
      <c r="N78" s="2147"/>
      <c r="O78" s="2159"/>
      <c r="P78" s="2159"/>
      <c r="Q78" s="2171"/>
      <c r="R78" s="2161"/>
      <c r="S78" s="2170"/>
      <c r="T78" s="2147"/>
      <c r="U78" s="796" t="s">
        <v>872</v>
      </c>
      <c r="V78" s="722">
        <v>5760000</v>
      </c>
      <c r="W78" s="2149"/>
      <c r="X78" s="2155"/>
      <c r="Y78" s="2168"/>
      <c r="Z78" s="2169"/>
      <c r="AA78" s="2168"/>
      <c r="AB78" s="2168"/>
      <c r="AC78" s="2168"/>
      <c r="AD78" s="2168"/>
      <c r="AE78" s="2168"/>
      <c r="AF78" s="2168"/>
      <c r="AG78" s="2168"/>
      <c r="AH78" s="2168"/>
      <c r="AI78" s="2168"/>
      <c r="AJ78" s="2168"/>
      <c r="AK78" s="2168"/>
      <c r="AL78" s="2168"/>
      <c r="AM78" s="2168"/>
      <c r="AN78" s="2168"/>
      <c r="AO78" s="2153"/>
      <c r="AP78" s="2153"/>
      <c r="AQ78" s="2155"/>
    </row>
    <row r="79" spans="1:43" ht="78.75" customHeight="1" x14ac:dyDescent="0.2">
      <c r="A79" s="2172"/>
      <c r="B79" s="2173"/>
      <c r="C79" s="2173"/>
      <c r="D79" s="2174"/>
      <c r="E79" s="2173"/>
      <c r="F79" s="2173"/>
      <c r="G79" s="2174"/>
      <c r="H79" s="2175"/>
      <c r="I79" s="2175"/>
      <c r="J79" s="2155"/>
      <c r="K79" s="2147"/>
      <c r="L79" s="2147"/>
      <c r="M79" s="2149"/>
      <c r="N79" s="2147"/>
      <c r="O79" s="2159"/>
      <c r="P79" s="2159"/>
      <c r="Q79" s="2171"/>
      <c r="R79" s="2161"/>
      <c r="S79" s="2170"/>
      <c r="T79" s="2147"/>
      <c r="U79" s="796" t="s">
        <v>873</v>
      </c>
      <c r="V79" s="722">
        <v>14480000</v>
      </c>
      <c r="W79" s="2149"/>
      <c r="X79" s="2155"/>
      <c r="Y79" s="2168"/>
      <c r="Z79" s="2169"/>
      <c r="AA79" s="2168"/>
      <c r="AB79" s="2168"/>
      <c r="AC79" s="2168"/>
      <c r="AD79" s="2168"/>
      <c r="AE79" s="2168"/>
      <c r="AF79" s="2168"/>
      <c r="AG79" s="2168"/>
      <c r="AH79" s="2168"/>
      <c r="AI79" s="2168"/>
      <c r="AJ79" s="2168"/>
      <c r="AK79" s="2168"/>
      <c r="AL79" s="2168"/>
      <c r="AM79" s="2168"/>
      <c r="AN79" s="2168"/>
      <c r="AO79" s="2153"/>
      <c r="AP79" s="2153"/>
      <c r="AQ79" s="2155"/>
    </row>
    <row r="80" spans="1:43" ht="48" customHeight="1" x14ac:dyDescent="0.2">
      <c r="A80" s="2172"/>
      <c r="B80" s="2173"/>
      <c r="C80" s="2173"/>
      <c r="D80" s="2174"/>
      <c r="E80" s="2173"/>
      <c r="F80" s="2173"/>
      <c r="G80" s="2174"/>
      <c r="H80" s="2175"/>
      <c r="I80" s="2175"/>
      <c r="J80" s="2155"/>
      <c r="K80" s="2147"/>
      <c r="L80" s="2147"/>
      <c r="M80" s="2149"/>
      <c r="N80" s="2147"/>
      <c r="O80" s="2159"/>
      <c r="P80" s="2159"/>
      <c r="Q80" s="2171"/>
      <c r="R80" s="2161"/>
      <c r="S80" s="2170"/>
      <c r="T80" s="2147" t="s">
        <v>874</v>
      </c>
      <c r="U80" s="626" t="s">
        <v>875</v>
      </c>
      <c r="V80" s="722">
        <v>8000000</v>
      </c>
      <c r="W80" s="2149"/>
      <c r="X80" s="2155"/>
      <c r="Y80" s="2168"/>
      <c r="Z80" s="2169"/>
      <c r="AA80" s="2168"/>
      <c r="AB80" s="2168"/>
      <c r="AC80" s="2168"/>
      <c r="AD80" s="2168"/>
      <c r="AE80" s="2168"/>
      <c r="AF80" s="2168"/>
      <c r="AG80" s="2168"/>
      <c r="AH80" s="2168"/>
      <c r="AI80" s="2168"/>
      <c r="AJ80" s="2168"/>
      <c r="AK80" s="2168"/>
      <c r="AL80" s="2168"/>
      <c r="AM80" s="2168"/>
      <c r="AN80" s="2168"/>
      <c r="AO80" s="2153"/>
      <c r="AP80" s="2153"/>
      <c r="AQ80" s="2155"/>
    </row>
    <row r="81" spans="1:43" ht="42" customHeight="1" x14ac:dyDescent="0.2">
      <c r="A81" s="2172"/>
      <c r="B81" s="2173"/>
      <c r="C81" s="2173"/>
      <c r="D81" s="2174"/>
      <c r="E81" s="2173"/>
      <c r="F81" s="2173"/>
      <c r="G81" s="2174"/>
      <c r="H81" s="2175"/>
      <c r="I81" s="2175"/>
      <c r="J81" s="2155"/>
      <c r="K81" s="2147"/>
      <c r="L81" s="2147"/>
      <c r="M81" s="2149"/>
      <c r="N81" s="2147"/>
      <c r="O81" s="2159"/>
      <c r="P81" s="2159"/>
      <c r="Q81" s="2171"/>
      <c r="R81" s="2161"/>
      <c r="S81" s="2170"/>
      <c r="T81" s="2147"/>
      <c r="U81" s="626" t="s">
        <v>876</v>
      </c>
      <c r="V81" s="722">
        <v>6500000</v>
      </c>
      <c r="W81" s="2149"/>
      <c r="X81" s="2155"/>
      <c r="Y81" s="2168"/>
      <c r="Z81" s="2169"/>
      <c r="AA81" s="2168"/>
      <c r="AB81" s="2168"/>
      <c r="AC81" s="2168"/>
      <c r="AD81" s="2168"/>
      <c r="AE81" s="2168"/>
      <c r="AF81" s="2168"/>
      <c r="AG81" s="2168"/>
      <c r="AH81" s="2168"/>
      <c r="AI81" s="2168"/>
      <c r="AJ81" s="2168"/>
      <c r="AK81" s="2168"/>
      <c r="AL81" s="2168"/>
      <c r="AM81" s="2168"/>
      <c r="AN81" s="2168"/>
      <c r="AO81" s="2153"/>
      <c r="AP81" s="2153"/>
      <c r="AQ81" s="2155"/>
    </row>
    <row r="82" spans="1:43" ht="39.75" customHeight="1" x14ac:dyDescent="0.2">
      <c r="A82" s="2172"/>
      <c r="B82" s="2173"/>
      <c r="C82" s="2173"/>
      <c r="D82" s="2174"/>
      <c r="E82" s="2173"/>
      <c r="F82" s="2173"/>
      <c r="G82" s="2174"/>
      <c r="H82" s="2175"/>
      <c r="I82" s="2175"/>
      <c r="J82" s="2155"/>
      <c r="K82" s="2147"/>
      <c r="L82" s="2147"/>
      <c r="M82" s="2149"/>
      <c r="N82" s="2147"/>
      <c r="O82" s="2159"/>
      <c r="P82" s="2159"/>
      <c r="Q82" s="2171"/>
      <c r="R82" s="2161"/>
      <c r="S82" s="2170"/>
      <c r="T82" s="2147"/>
      <c r="U82" s="626" t="s">
        <v>877</v>
      </c>
      <c r="V82" s="722">
        <v>18000000</v>
      </c>
      <c r="W82" s="2149"/>
      <c r="X82" s="2155"/>
      <c r="Y82" s="2168"/>
      <c r="Z82" s="2169"/>
      <c r="AA82" s="2168"/>
      <c r="AB82" s="2168"/>
      <c r="AC82" s="2168"/>
      <c r="AD82" s="2168"/>
      <c r="AE82" s="2168"/>
      <c r="AF82" s="2168"/>
      <c r="AG82" s="2168"/>
      <c r="AH82" s="2168"/>
      <c r="AI82" s="2168"/>
      <c r="AJ82" s="2168"/>
      <c r="AK82" s="2168"/>
      <c r="AL82" s="2168"/>
      <c r="AM82" s="2168"/>
      <c r="AN82" s="2168"/>
      <c r="AO82" s="2153"/>
      <c r="AP82" s="2153"/>
      <c r="AQ82" s="2155"/>
    </row>
    <row r="83" spans="1:43" ht="141.75" customHeight="1" x14ac:dyDescent="0.2">
      <c r="A83" s="2172"/>
      <c r="B83" s="2173"/>
      <c r="C83" s="2173"/>
      <c r="D83" s="2174"/>
      <c r="E83" s="2173"/>
      <c r="F83" s="2173"/>
      <c r="G83" s="2174"/>
      <c r="H83" s="2175"/>
      <c r="I83" s="2175"/>
      <c r="J83" s="2155"/>
      <c r="K83" s="2147"/>
      <c r="L83" s="2147"/>
      <c r="M83" s="2149"/>
      <c r="N83" s="2147"/>
      <c r="O83" s="2159"/>
      <c r="P83" s="2159"/>
      <c r="Q83" s="2171"/>
      <c r="R83" s="2161"/>
      <c r="S83" s="2170"/>
      <c r="T83" s="2147" t="s">
        <v>878</v>
      </c>
      <c r="U83" s="796" t="s">
        <v>879</v>
      </c>
      <c r="V83" s="722">
        <v>90000000</v>
      </c>
      <c r="W83" s="2149"/>
      <c r="X83" s="2155"/>
      <c r="Y83" s="2168"/>
      <c r="Z83" s="2169"/>
      <c r="AA83" s="2168"/>
      <c r="AB83" s="2168"/>
      <c r="AC83" s="2168"/>
      <c r="AD83" s="2168"/>
      <c r="AE83" s="2168"/>
      <c r="AF83" s="2168"/>
      <c r="AG83" s="2168"/>
      <c r="AH83" s="2168"/>
      <c r="AI83" s="2168"/>
      <c r="AJ83" s="2168"/>
      <c r="AK83" s="2168"/>
      <c r="AL83" s="2168"/>
      <c r="AM83" s="2168"/>
      <c r="AN83" s="2168"/>
      <c r="AO83" s="2153"/>
      <c r="AP83" s="2153"/>
      <c r="AQ83" s="2155"/>
    </row>
    <row r="84" spans="1:43" ht="43.5" customHeight="1" x14ac:dyDescent="0.2">
      <c r="A84" s="2172"/>
      <c r="B84" s="2173"/>
      <c r="C84" s="2173"/>
      <c r="D84" s="2174"/>
      <c r="E84" s="2173"/>
      <c r="F84" s="2173"/>
      <c r="G84" s="2174"/>
      <c r="H84" s="2175"/>
      <c r="I84" s="2175"/>
      <c r="J84" s="2155"/>
      <c r="K84" s="2147"/>
      <c r="L84" s="2147"/>
      <c r="M84" s="2149"/>
      <c r="N84" s="2147"/>
      <c r="O84" s="2159"/>
      <c r="P84" s="2159"/>
      <c r="Q84" s="2171"/>
      <c r="R84" s="2161"/>
      <c r="S84" s="2170"/>
      <c r="T84" s="2147"/>
      <c r="U84" s="796" t="s">
        <v>880</v>
      </c>
      <c r="V84" s="722">
        <f>53940000+30360000</f>
        <v>84300000</v>
      </c>
      <c r="W84" s="2149"/>
      <c r="X84" s="2155"/>
      <c r="Y84" s="2168"/>
      <c r="Z84" s="2169"/>
      <c r="AA84" s="2168"/>
      <c r="AB84" s="2168"/>
      <c r="AC84" s="2168"/>
      <c r="AD84" s="2168"/>
      <c r="AE84" s="2168"/>
      <c r="AF84" s="2168"/>
      <c r="AG84" s="2168"/>
      <c r="AH84" s="2168"/>
      <c r="AI84" s="2168"/>
      <c r="AJ84" s="2168"/>
      <c r="AK84" s="2168"/>
      <c r="AL84" s="2168"/>
      <c r="AM84" s="2168"/>
      <c r="AN84" s="2168"/>
      <c r="AO84" s="2153"/>
      <c r="AP84" s="2153"/>
      <c r="AQ84" s="2155"/>
    </row>
    <row r="85" spans="1:43" ht="55.5" customHeight="1" x14ac:dyDescent="0.2">
      <c r="A85" s="740"/>
      <c r="D85" s="741"/>
      <c r="G85" s="741"/>
      <c r="J85" s="2155">
        <v>266</v>
      </c>
      <c r="K85" s="2147" t="s">
        <v>881</v>
      </c>
      <c r="L85" s="2167" t="s">
        <v>882</v>
      </c>
      <c r="M85" s="2149">
        <v>1</v>
      </c>
      <c r="N85" s="2147" t="s">
        <v>883</v>
      </c>
      <c r="O85" s="2159" t="s">
        <v>884</v>
      </c>
      <c r="P85" s="2159" t="s">
        <v>885</v>
      </c>
      <c r="Q85" s="2164">
        <v>1</v>
      </c>
      <c r="R85" s="2165">
        <f>SUM(V85:V100)</f>
        <v>38500000</v>
      </c>
      <c r="S85" s="2147" t="s">
        <v>886</v>
      </c>
      <c r="T85" s="2147" t="s">
        <v>887</v>
      </c>
      <c r="U85" s="724" t="s">
        <v>888</v>
      </c>
      <c r="V85" s="722">
        <v>1020000</v>
      </c>
      <c r="W85" s="2149">
        <v>20</v>
      </c>
      <c r="X85" s="2155" t="s">
        <v>537</v>
      </c>
      <c r="Y85" s="2149">
        <v>282326</v>
      </c>
      <c r="Z85" s="2157">
        <v>292684</v>
      </c>
      <c r="AA85" s="2149">
        <v>135912</v>
      </c>
      <c r="AB85" s="2149">
        <v>45122</v>
      </c>
      <c r="AC85" s="2149">
        <v>307101</v>
      </c>
      <c r="AD85" s="2149">
        <v>86875</v>
      </c>
      <c r="AE85" s="2149">
        <v>2145</v>
      </c>
      <c r="AF85" s="2149">
        <v>12718</v>
      </c>
      <c r="AG85" s="2149">
        <v>26</v>
      </c>
      <c r="AH85" s="2149">
        <v>37</v>
      </c>
      <c r="AI85" s="2149"/>
      <c r="AJ85" s="2149"/>
      <c r="AK85" s="2149">
        <v>43029</v>
      </c>
      <c r="AL85" s="2163">
        <f>AL71</f>
        <v>16982</v>
      </c>
      <c r="AM85" s="2149">
        <v>60013</v>
      </c>
      <c r="AN85" s="2163">
        <f>Y85+Z85</f>
        <v>575010</v>
      </c>
      <c r="AO85" s="2153">
        <v>43102</v>
      </c>
      <c r="AP85" s="2153">
        <v>43465</v>
      </c>
      <c r="AQ85" s="2155" t="s">
        <v>830</v>
      </c>
    </row>
    <row r="86" spans="1:43" ht="60.75" customHeight="1" x14ac:dyDescent="0.2">
      <c r="A86" s="740"/>
      <c r="D86" s="741"/>
      <c r="G86" s="741"/>
      <c r="J86" s="2155"/>
      <c r="K86" s="2147"/>
      <c r="L86" s="2167"/>
      <c r="M86" s="2149"/>
      <c r="N86" s="2147"/>
      <c r="O86" s="2159"/>
      <c r="P86" s="2159"/>
      <c r="Q86" s="2164"/>
      <c r="R86" s="2166"/>
      <c r="S86" s="2147"/>
      <c r="T86" s="2147"/>
      <c r="U86" s="724" t="s">
        <v>889</v>
      </c>
      <c r="V86" s="722">
        <v>3300000</v>
      </c>
      <c r="W86" s="2149"/>
      <c r="X86" s="2155"/>
      <c r="Y86" s="2149"/>
      <c r="Z86" s="2157"/>
      <c r="AA86" s="2149"/>
      <c r="AB86" s="2149"/>
      <c r="AC86" s="2149"/>
      <c r="AD86" s="2149"/>
      <c r="AE86" s="2149"/>
      <c r="AF86" s="2149"/>
      <c r="AG86" s="2149"/>
      <c r="AH86" s="2149"/>
      <c r="AI86" s="2149"/>
      <c r="AJ86" s="2149"/>
      <c r="AK86" s="2149"/>
      <c r="AL86" s="2163"/>
      <c r="AM86" s="2149"/>
      <c r="AN86" s="2163"/>
      <c r="AO86" s="2153"/>
      <c r="AP86" s="2153"/>
      <c r="AQ86" s="2155"/>
    </row>
    <row r="87" spans="1:43" ht="52.5" customHeight="1" x14ac:dyDescent="0.2">
      <c r="A87" s="740"/>
      <c r="D87" s="741"/>
      <c r="G87" s="741"/>
      <c r="J87" s="2155"/>
      <c r="K87" s="2147"/>
      <c r="L87" s="2167"/>
      <c r="M87" s="2149"/>
      <c r="N87" s="2147"/>
      <c r="O87" s="2159"/>
      <c r="P87" s="2159"/>
      <c r="Q87" s="2164"/>
      <c r="R87" s="2166"/>
      <c r="S87" s="2147"/>
      <c r="T87" s="2147"/>
      <c r="U87" s="724" t="s">
        <v>890</v>
      </c>
      <c r="V87" s="722"/>
      <c r="W87" s="2149"/>
      <c r="X87" s="2155"/>
      <c r="Y87" s="2149"/>
      <c r="Z87" s="2157"/>
      <c r="AA87" s="2149"/>
      <c r="AB87" s="2149"/>
      <c r="AC87" s="2149"/>
      <c r="AD87" s="2149"/>
      <c r="AE87" s="2149"/>
      <c r="AF87" s="2149"/>
      <c r="AG87" s="2149"/>
      <c r="AH87" s="2149"/>
      <c r="AI87" s="2149"/>
      <c r="AJ87" s="2149"/>
      <c r="AK87" s="2149"/>
      <c r="AL87" s="2163"/>
      <c r="AM87" s="2149"/>
      <c r="AN87" s="2163"/>
      <c r="AO87" s="2153"/>
      <c r="AP87" s="2153"/>
      <c r="AQ87" s="2155"/>
    </row>
    <row r="88" spans="1:43" ht="38.25" customHeight="1" x14ac:dyDescent="0.2">
      <c r="A88" s="740"/>
      <c r="D88" s="741"/>
      <c r="G88" s="741"/>
      <c r="J88" s="2155"/>
      <c r="K88" s="2147"/>
      <c r="L88" s="2167"/>
      <c r="M88" s="2149"/>
      <c r="N88" s="2147"/>
      <c r="O88" s="2159"/>
      <c r="P88" s="2159"/>
      <c r="Q88" s="2164"/>
      <c r="R88" s="2166"/>
      <c r="S88" s="2147"/>
      <c r="T88" s="2147"/>
      <c r="U88" s="724" t="s">
        <v>891</v>
      </c>
      <c r="V88" s="722">
        <v>600000</v>
      </c>
      <c r="W88" s="2149"/>
      <c r="X88" s="2155"/>
      <c r="Y88" s="2149"/>
      <c r="Z88" s="2157"/>
      <c r="AA88" s="2149"/>
      <c r="AB88" s="2149"/>
      <c r="AC88" s="2149"/>
      <c r="AD88" s="2149"/>
      <c r="AE88" s="2149"/>
      <c r="AF88" s="2149"/>
      <c r="AG88" s="2149"/>
      <c r="AH88" s="2149"/>
      <c r="AI88" s="2149"/>
      <c r="AJ88" s="2149"/>
      <c r="AK88" s="2149"/>
      <c r="AL88" s="2163"/>
      <c r="AM88" s="2149"/>
      <c r="AN88" s="2163"/>
      <c r="AO88" s="2153"/>
      <c r="AP88" s="2153"/>
      <c r="AQ88" s="2155"/>
    </row>
    <row r="89" spans="1:43" ht="38.25" customHeight="1" x14ac:dyDescent="0.2">
      <c r="A89" s="740"/>
      <c r="D89" s="741"/>
      <c r="G89" s="741"/>
      <c r="J89" s="2155"/>
      <c r="K89" s="2147"/>
      <c r="L89" s="2167"/>
      <c r="M89" s="2149"/>
      <c r="N89" s="2147"/>
      <c r="O89" s="2159"/>
      <c r="P89" s="2159"/>
      <c r="Q89" s="2164"/>
      <c r="R89" s="2166"/>
      <c r="S89" s="2147"/>
      <c r="T89" s="2147"/>
      <c r="U89" s="724" t="s">
        <v>892</v>
      </c>
      <c r="V89" s="722">
        <v>600000</v>
      </c>
      <c r="W89" s="2149"/>
      <c r="X89" s="2155"/>
      <c r="Y89" s="2149"/>
      <c r="Z89" s="2157"/>
      <c r="AA89" s="2149"/>
      <c r="AB89" s="2149"/>
      <c r="AC89" s="2149"/>
      <c r="AD89" s="2149"/>
      <c r="AE89" s="2149"/>
      <c r="AF89" s="2149"/>
      <c r="AG89" s="2149"/>
      <c r="AH89" s="2149"/>
      <c r="AI89" s="2149"/>
      <c r="AJ89" s="2149"/>
      <c r="AK89" s="2149"/>
      <c r="AL89" s="2163"/>
      <c r="AM89" s="2149"/>
      <c r="AN89" s="2163"/>
      <c r="AO89" s="2153"/>
      <c r="AP89" s="2153"/>
      <c r="AQ89" s="2155"/>
    </row>
    <row r="90" spans="1:43" ht="38.25" customHeight="1" x14ac:dyDescent="0.2">
      <c r="A90" s="740"/>
      <c r="D90" s="741"/>
      <c r="G90" s="741"/>
      <c r="J90" s="2155"/>
      <c r="K90" s="2147"/>
      <c r="L90" s="2167"/>
      <c r="M90" s="2149"/>
      <c r="N90" s="2147"/>
      <c r="O90" s="2159"/>
      <c r="P90" s="2159"/>
      <c r="Q90" s="2164"/>
      <c r="R90" s="2166"/>
      <c r="S90" s="2147"/>
      <c r="T90" s="2147"/>
      <c r="U90" s="724" t="s">
        <v>893</v>
      </c>
      <c r="V90" s="722">
        <v>600000</v>
      </c>
      <c r="W90" s="2149"/>
      <c r="X90" s="2155"/>
      <c r="Y90" s="2149"/>
      <c r="Z90" s="2157"/>
      <c r="AA90" s="2149"/>
      <c r="AB90" s="2149"/>
      <c r="AC90" s="2149"/>
      <c r="AD90" s="2149"/>
      <c r="AE90" s="2149"/>
      <c r="AF90" s="2149"/>
      <c r="AG90" s="2149"/>
      <c r="AH90" s="2149"/>
      <c r="AI90" s="2149"/>
      <c r="AJ90" s="2149"/>
      <c r="AK90" s="2149"/>
      <c r="AL90" s="2163"/>
      <c r="AM90" s="2149"/>
      <c r="AN90" s="2163"/>
      <c r="AO90" s="2153"/>
      <c r="AP90" s="2153"/>
      <c r="AQ90" s="2155"/>
    </row>
    <row r="91" spans="1:43" ht="38.25" customHeight="1" x14ac:dyDescent="0.2">
      <c r="A91" s="740"/>
      <c r="D91" s="741"/>
      <c r="G91" s="741"/>
      <c r="J91" s="2155"/>
      <c r="K91" s="2147"/>
      <c r="L91" s="2167"/>
      <c r="M91" s="2149"/>
      <c r="N91" s="2147"/>
      <c r="O91" s="2159"/>
      <c r="P91" s="2159"/>
      <c r="Q91" s="2164"/>
      <c r="R91" s="2166"/>
      <c r="S91" s="2147"/>
      <c r="T91" s="2147"/>
      <c r="U91" s="724" t="s">
        <v>894</v>
      </c>
      <c r="V91" s="722">
        <v>2700000</v>
      </c>
      <c r="W91" s="2149"/>
      <c r="X91" s="2155"/>
      <c r="Y91" s="2149"/>
      <c r="Z91" s="2157"/>
      <c r="AA91" s="2149"/>
      <c r="AB91" s="2149"/>
      <c r="AC91" s="2149"/>
      <c r="AD91" s="2149"/>
      <c r="AE91" s="2149"/>
      <c r="AF91" s="2149"/>
      <c r="AG91" s="2149"/>
      <c r="AH91" s="2149"/>
      <c r="AI91" s="2149"/>
      <c r="AJ91" s="2149"/>
      <c r="AK91" s="2149"/>
      <c r="AL91" s="2163"/>
      <c r="AM91" s="2149"/>
      <c r="AN91" s="2163"/>
      <c r="AO91" s="2153"/>
      <c r="AP91" s="2153"/>
      <c r="AQ91" s="2155"/>
    </row>
    <row r="92" spans="1:43" ht="38.25" customHeight="1" x14ac:dyDescent="0.2">
      <c r="A92" s="740"/>
      <c r="D92" s="741"/>
      <c r="G92" s="741"/>
      <c r="J92" s="2155"/>
      <c r="K92" s="2147"/>
      <c r="L92" s="2167"/>
      <c r="M92" s="2149"/>
      <c r="N92" s="2147"/>
      <c r="O92" s="2159"/>
      <c r="P92" s="2159"/>
      <c r="Q92" s="2164"/>
      <c r="R92" s="2166"/>
      <c r="S92" s="2147"/>
      <c r="T92" s="2147"/>
      <c r="U92" s="797" t="s">
        <v>895</v>
      </c>
      <c r="V92" s="722">
        <v>2700000</v>
      </c>
      <c r="W92" s="2149"/>
      <c r="X92" s="2155"/>
      <c r="Y92" s="2149"/>
      <c r="Z92" s="2157"/>
      <c r="AA92" s="2149"/>
      <c r="AB92" s="2149"/>
      <c r="AC92" s="2149"/>
      <c r="AD92" s="2149"/>
      <c r="AE92" s="2149"/>
      <c r="AF92" s="2149"/>
      <c r="AG92" s="2149"/>
      <c r="AH92" s="2149"/>
      <c r="AI92" s="2149"/>
      <c r="AJ92" s="2149"/>
      <c r="AK92" s="2149"/>
      <c r="AL92" s="2163"/>
      <c r="AM92" s="2149"/>
      <c r="AN92" s="2163"/>
      <c r="AO92" s="2153"/>
      <c r="AP92" s="2153"/>
      <c r="AQ92" s="2155"/>
    </row>
    <row r="93" spans="1:43" ht="38.25" customHeight="1" x14ac:dyDescent="0.2">
      <c r="A93" s="740"/>
      <c r="D93" s="741"/>
      <c r="G93" s="741"/>
      <c r="J93" s="2155"/>
      <c r="K93" s="2147"/>
      <c r="L93" s="2167"/>
      <c r="M93" s="2149"/>
      <c r="N93" s="2147"/>
      <c r="O93" s="2159"/>
      <c r="P93" s="2159"/>
      <c r="Q93" s="2164"/>
      <c r="R93" s="2166"/>
      <c r="S93" s="2147"/>
      <c r="T93" s="2147"/>
      <c r="U93" s="797" t="s">
        <v>896</v>
      </c>
      <c r="V93" s="722">
        <v>2700000</v>
      </c>
      <c r="W93" s="2149"/>
      <c r="X93" s="2155"/>
      <c r="Y93" s="2149"/>
      <c r="Z93" s="2157"/>
      <c r="AA93" s="2149"/>
      <c r="AB93" s="2149"/>
      <c r="AC93" s="2149"/>
      <c r="AD93" s="2149"/>
      <c r="AE93" s="2149"/>
      <c r="AF93" s="2149"/>
      <c r="AG93" s="2149"/>
      <c r="AH93" s="2149"/>
      <c r="AI93" s="2149"/>
      <c r="AJ93" s="2149"/>
      <c r="AK93" s="2149"/>
      <c r="AL93" s="2163"/>
      <c r="AM93" s="2149"/>
      <c r="AN93" s="2163"/>
      <c r="AO93" s="2153"/>
      <c r="AP93" s="2153"/>
      <c r="AQ93" s="2155"/>
    </row>
    <row r="94" spans="1:43" ht="38.25" customHeight="1" x14ac:dyDescent="0.2">
      <c r="A94" s="740"/>
      <c r="D94" s="741"/>
      <c r="G94" s="741"/>
      <c r="J94" s="2155"/>
      <c r="K94" s="2147"/>
      <c r="L94" s="2167"/>
      <c r="M94" s="2149"/>
      <c r="N94" s="2147"/>
      <c r="O94" s="2159"/>
      <c r="P94" s="2159"/>
      <c r="Q94" s="2164"/>
      <c r="R94" s="2166"/>
      <c r="S94" s="2147"/>
      <c r="T94" s="2147"/>
      <c r="U94" s="797" t="s">
        <v>897</v>
      </c>
      <c r="V94" s="722">
        <v>2700000</v>
      </c>
      <c r="W94" s="2149"/>
      <c r="X94" s="2155"/>
      <c r="Y94" s="2149"/>
      <c r="Z94" s="2157"/>
      <c r="AA94" s="2149"/>
      <c r="AB94" s="2149"/>
      <c r="AC94" s="2149"/>
      <c r="AD94" s="2149"/>
      <c r="AE94" s="2149"/>
      <c r="AF94" s="2149"/>
      <c r="AG94" s="2149"/>
      <c r="AH94" s="2149"/>
      <c r="AI94" s="2149"/>
      <c r="AJ94" s="2149"/>
      <c r="AK94" s="2149"/>
      <c r="AL94" s="2163"/>
      <c r="AM94" s="2149"/>
      <c r="AN94" s="2163"/>
      <c r="AO94" s="2153"/>
      <c r="AP94" s="2153"/>
      <c r="AQ94" s="2155"/>
    </row>
    <row r="95" spans="1:43" ht="38.25" customHeight="1" x14ac:dyDescent="0.2">
      <c r="A95" s="740"/>
      <c r="D95" s="741"/>
      <c r="G95" s="741"/>
      <c r="J95" s="2155"/>
      <c r="K95" s="2147"/>
      <c r="L95" s="2167"/>
      <c r="M95" s="2149"/>
      <c r="N95" s="2147"/>
      <c r="O95" s="2159"/>
      <c r="P95" s="2159"/>
      <c r="Q95" s="2164"/>
      <c r="R95" s="2166"/>
      <c r="S95" s="2147"/>
      <c r="T95" s="2147"/>
      <c r="U95" s="797" t="s">
        <v>898</v>
      </c>
      <c r="V95" s="722">
        <v>2700000</v>
      </c>
      <c r="W95" s="2149"/>
      <c r="X95" s="2155"/>
      <c r="Y95" s="2149"/>
      <c r="Z95" s="2157"/>
      <c r="AA95" s="2149"/>
      <c r="AB95" s="2149"/>
      <c r="AC95" s="2149"/>
      <c r="AD95" s="2149"/>
      <c r="AE95" s="2149"/>
      <c r="AF95" s="2149"/>
      <c r="AG95" s="2149"/>
      <c r="AH95" s="2149"/>
      <c r="AI95" s="2149"/>
      <c r="AJ95" s="2149"/>
      <c r="AK95" s="2149"/>
      <c r="AL95" s="2163"/>
      <c r="AM95" s="2149"/>
      <c r="AN95" s="2163"/>
      <c r="AO95" s="2153"/>
      <c r="AP95" s="2153"/>
      <c r="AQ95" s="2155"/>
    </row>
    <row r="96" spans="1:43" ht="38.25" customHeight="1" x14ac:dyDescent="0.2">
      <c r="A96" s="740"/>
      <c r="D96" s="741"/>
      <c r="G96" s="741"/>
      <c r="J96" s="2155"/>
      <c r="K96" s="2147"/>
      <c r="L96" s="2167"/>
      <c r="M96" s="2149"/>
      <c r="N96" s="2147"/>
      <c r="O96" s="2159"/>
      <c r="P96" s="2159"/>
      <c r="Q96" s="2164"/>
      <c r="R96" s="2166"/>
      <c r="S96" s="2147"/>
      <c r="T96" s="2147"/>
      <c r="U96" s="797" t="s">
        <v>899</v>
      </c>
      <c r="V96" s="722">
        <v>2700000</v>
      </c>
      <c r="W96" s="2149"/>
      <c r="X96" s="2155"/>
      <c r="Y96" s="2149"/>
      <c r="Z96" s="2157"/>
      <c r="AA96" s="2149"/>
      <c r="AB96" s="2149"/>
      <c r="AC96" s="2149"/>
      <c r="AD96" s="2149"/>
      <c r="AE96" s="2149"/>
      <c r="AF96" s="2149"/>
      <c r="AG96" s="2149"/>
      <c r="AH96" s="2149"/>
      <c r="AI96" s="2149"/>
      <c r="AJ96" s="2149"/>
      <c r="AK96" s="2149"/>
      <c r="AL96" s="2163"/>
      <c r="AM96" s="2149"/>
      <c r="AN96" s="2163"/>
      <c r="AO96" s="2153"/>
      <c r="AP96" s="2153"/>
      <c r="AQ96" s="2155"/>
    </row>
    <row r="97" spans="1:63" ht="38.25" customHeight="1" x14ac:dyDescent="0.2">
      <c r="A97" s="740"/>
      <c r="D97" s="741"/>
      <c r="G97" s="741"/>
      <c r="J97" s="2155"/>
      <c r="K97" s="2147"/>
      <c r="L97" s="2167"/>
      <c r="M97" s="2149"/>
      <c r="N97" s="2147"/>
      <c r="O97" s="2159"/>
      <c r="P97" s="2159"/>
      <c r="Q97" s="2164"/>
      <c r="R97" s="2166"/>
      <c r="S97" s="2147"/>
      <c r="T97" s="2147"/>
      <c r="U97" s="797" t="s">
        <v>900</v>
      </c>
      <c r="V97" s="722">
        <v>450000</v>
      </c>
      <c r="W97" s="2149"/>
      <c r="X97" s="2155"/>
      <c r="Y97" s="2149"/>
      <c r="Z97" s="2157"/>
      <c r="AA97" s="2149"/>
      <c r="AB97" s="2149"/>
      <c r="AC97" s="2149"/>
      <c r="AD97" s="2149"/>
      <c r="AE97" s="2149"/>
      <c r="AF97" s="2149"/>
      <c r="AG97" s="2149"/>
      <c r="AH97" s="2149"/>
      <c r="AI97" s="2149"/>
      <c r="AJ97" s="2149"/>
      <c r="AK97" s="2149"/>
      <c r="AL97" s="2163"/>
      <c r="AM97" s="2149"/>
      <c r="AN97" s="2163"/>
      <c r="AO97" s="2153"/>
      <c r="AP97" s="2153"/>
      <c r="AQ97" s="2155"/>
    </row>
    <row r="98" spans="1:63" ht="55.5" customHeight="1" x14ac:dyDescent="0.2">
      <c r="A98" s="740"/>
      <c r="D98" s="741"/>
      <c r="G98" s="741"/>
      <c r="J98" s="2155"/>
      <c r="K98" s="2147"/>
      <c r="L98" s="2167"/>
      <c r="M98" s="2149"/>
      <c r="N98" s="2147"/>
      <c r="O98" s="2159"/>
      <c r="P98" s="2159"/>
      <c r="Q98" s="2164"/>
      <c r="R98" s="2166"/>
      <c r="S98" s="2147"/>
      <c r="T98" s="2147"/>
      <c r="U98" s="797" t="s">
        <v>901</v>
      </c>
      <c r="V98" s="722">
        <v>4800000</v>
      </c>
      <c r="W98" s="2149"/>
      <c r="X98" s="2155"/>
      <c r="Y98" s="2149"/>
      <c r="Z98" s="2157"/>
      <c r="AA98" s="2149"/>
      <c r="AB98" s="2149"/>
      <c r="AC98" s="2149"/>
      <c r="AD98" s="2149"/>
      <c r="AE98" s="2149"/>
      <c r="AF98" s="2149"/>
      <c r="AG98" s="2149"/>
      <c r="AH98" s="2149"/>
      <c r="AI98" s="2149"/>
      <c r="AJ98" s="2149"/>
      <c r="AK98" s="2149"/>
      <c r="AL98" s="2163"/>
      <c r="AM98" s="2149"/>
      <c r="AN98" s="2163"/>
      <c r="AO98" s="2153"/>
      <c r="AP98" s="2153"/>
      <c r="AQ98" s="2155"/>
    </row>
    <row r="99" spans="1:63" ht="38.25" customHeight="1" x14ac:dyDescent="0.2">
      <c r="A99" s="740"/>
      <c r="D99" s="741"/>
      <c r="G99" s="741"/>
      <c r="J99" s="2155"/>
      <c r="K99" s="2147"/>
      <c r="L99" s="2167"/>
      <c r="M99" s="2149"/>
      <c r="N99" s="2147"/>
      <c r="O99" s="2159"/>
      <c r="P99" s="2159"/>
      <c r="Q99" s="2164"/>
      <c r="R99" s="2166"/>
      <c r="S99" s="2147"/>
      <c r="T99" s="2147"/>
      <c r="U99" s="797" t="s">
        <v>902</v>
      </c>
      <c r="V99" s="722">
        <v>1000000</v>
      </c>
      <c r="W99" s="2149"/>
      <c r="X99" s="2155"/>
      <c r="Y99" s="2149"/>
      <c r="Z99" s="2157"/>
      <c r="AA99" s="2149"/>
      <c r="AB99" s="2149"/>
      <c r="AC99" s="2149"/>
      <c r="AD99" s="2149"/>
      <c r="AE99" s="2149"/>
      <c r="AF99" s="2149"/>
      <c r="AG99" s="2149"/>
      <c r="AH99" s="2149"/>
      <c r="AI99" s="2149"/>
      <c r="AJ99" s="2149"/>
      <c r="AK99" s="2149"/>
      <c r="AL99" s="2163"/>
      <c r="AM99" s="2149"/>
      <c r="AN99" s="2163"/>
      <c r="AO99" s="2153"/>
      <c r="AP99" s="2153"/>
      <c r="AQ99" s="2155"/>
    </row>
    <row r="100" spans="1:63" ht="114" customHeight="1" x14ac:dyDescent="0.2">
      <c r="A100" s="740"/>
      <c r="D100" s="741"/>
      <c r="G100" s="741"/>
      <c r="J100" s="2155"/>
      <c r="K100" s="2147"/>
      <c r="L100" s="2167"/>
      <c r="M100" s="2149"/>
      <c r="N100" s="2147"/>
      <c r="O100" s="2159"/>
      <c r="P100" s="2159"/>
      <c r="Q100" s="2164"/>
      <c r="R100" s="2166"/>
      <c r="S100" s="2159"/>
      <c r="T100" s="586" t="s">
        <v>903</v>
      </c>
      <c r="U100" s="724" t="s">
        <v>904</v>
      </c>
      <c r="V100" s="722">
        <v>9930000</v>
      </c>
      <c r="W100" s="2149"/>
      <c r="X100" s="2155"/>
      <c r="Y100" s="2149"/>
      <c r="Z100" s="2157"/>
      <c r="AA100" s="2149"/>
      <c r="AB100" s="2149"/>
      <c r="AC100" s="2149"/>
      <c r="AD100" s="2149"/>
      <c r="AE100" s="2149"/>
      <c r="AF100" s="2149"/>
      <c r="AG100" s="2149"/>
      <c r="AH100" s="2149"/>
      <c r="AI100" s="2149"/>
      <c r="AJ100" s="2149"/>
      <c r="AK100" s="2149"/>
      <c r="AL100" s="2163"/>
      <c r="AM100" s="2149"/>
      <c r="AN100" s="2163"/>
      <c r="AO100" s="2153"/>
      <c r="AP100" s="2153"/>
      <c r="AQ100" s="2155"/>
    </row>
    <row r="101" spans="1:63" ht="132" customHeight="1" x14ac:dyDescent="0.2">
      <c r="A101" s="740"/>
      <c r="D101" s="741"/>
      <c r="G101" s="741"/>
      <c r="I101" s="798"/>
      <c r="J101" s="607">
        <v>267</v>
      </c>
      <c r="K101" s="586" t="s">
        <v>905</v>
      </c>
      <c r="L101" s="586" t="s">
        <v>906</v>
      </c>
      <c r="M101" s="799">
        <v>1</v>
      </c>
      <c r="N101" s="2147" t="s">
        <v>907</v>
      </c>
      <c r="O101" s="2159" t="s">
        <v>908</v>
      </c>
      <c r="P101" s="2159" t="s">
        <v>909</v>
      </c>
      <c r="Q101" s="792">
        <f t="shared" ref="Q101:Q109" si="0">+V101/SUM($V$101:$V$109)</f>
        <v>0.04</v>
      </c>
      <c r="R101" s="2161">
        <f>SUM(V101:V109)</f>
        <v>250000000</v>
      </c>
      <c r="S101" s="2147" t="s">
        <v>910</v>
      </c>
      <c r="T101" s="586" t="s">
        <v>911</v>
      </c>
      <c r="U101" s="800" t="s">
        <v>912</v>
      </c>
      <c r="V101" s="722">
        <v>10000000</v>
      </c>
      <c r="W101" s="2155" t="s">
        <v>67</v>
      </c>
      <c r="X101" s="2155" t="s">
        <v>82</v>
      </c>
      <c r="Y101" s="2149">
        <v>282326</v>
      </c>
      <c r="Z101" s="2157">
        <v>292684</v>
      </c>
      <c r="AA101" s="2149">
        <v>135912</v>
      </c>
      <c r="AB101" s="2149">
        <v>45122</v>
      </c>
      <c r="AC101" s="2149">
        <v>307101</v>
      </c>
      <c r="AD101" s="2149">
        <v>86875</v>
      </c>
      <c r="AE101" s="2149">
        <v>2145</v>
      </c>
      <c r="AF101" s="2149">
        <v>12718</v>
      </c>
      <c r="AG101" s="2149">
        <v>26</v>
      </c>
      <c r="AH101" s="2149">
        <v>37</v>
      </c>
      <c r="AI101" s="2149"/>
      <c r="AJ101" s="2149"/>
      <c r="AK101" s="2149">
        <v>43029</v>
      </c>
      <c r="AL101" s="2149">
        <v>16982</v>
      </c>
      <c r="AM101" s="2150">
        <v>60013</v>
      </c>
      <c r="AN101" s="2149">
        <f>Y101+Z101</f>
        <v>575010</v>
      </c>
      <c r="AO101" s="2153">
        <v>43102</v>
      </c>
      <c r="AP101" s="2153">
        <v>43465</v>
      </c>
      <c r="AQ101" s="2155" t="s">
        <v>830</v>
      </c>
    </row>
    <row r="102" spans="1:63" ht="99.75" customHeight="1" x14ac:dyDescent="0.2">
      <c r="A102" s="740"/>
      <c r="D102" s="741"/>
      <c r="G102" s="741"/>
      <c r="I102" s="798"/>
      <c r="J102" s="607">
        <v>268</v>
      </c>
      <c r="K102" s="586" t="s">
        <v>913</v>
      </c>
      <c r="L102" s="586" t="s">
        <v>914</v>
      </c>
      <c r="M102" s="799">
        <v>12</v>
      </c>
      <c r="N102" s="2147"/>
      <c r="O102" s="2159"/>
      <c r="P102" s="2159"/>
      <c r="Q102" s="792">
        <f t="shared" si="0"/>
        <v>0.28000000000000003</v>
      </c>
      <c r="R102" s="2161"/>
      <c r="S102" s="2147"/>
      <c r="T102" s="2147" t="s">
        <v>915</v>
      </c>
      <c r="U102" s="800" t="s">
        <v>916</v>
      </c>
      <c r="V102" s="722">
        <f>21000000+9000000+40000000</f>
        <v>70000000</v>
      </c>
      <c r="W102" s="2149"/>
      <c r="X102" s="2155"/>
      <c r="Y102" s="2149"/>
      <c r="Z102" s="2157"/>
      <c r="AA102" s="2149"/>
      <c r="AB102" s="2149"/>
      <c r="AC102" s="2149"/>
      <c r="AD102" s="2149"/>
      <c r="AE102" s="2149"/>
      <c r="AF102" s="2149"/>
      <c r="AG102" s="2149"/>
      <c r="AH102" s="2149"/>
      <c r="AI102" s="2149"/>
      <c r="AJ102" s="2149"/>
      <c r="AK102" s="2149"/>
      <c r="AL102" s="2149"/>
      <c r="AM102" s="2151"/>
      <c r="AN102" s="2149"/>
      <c r="AO102" s="2153"/>
      <c r="AP102" s="2153"/>
      <c r="AQ102" s="2155"/>
    </row>
    <row r="103" spans="1:63" ht="110.25" customHeight="1" x14ac:dyDescent="0.2">
      <c r="A103" s="740"/>
      <c r="D103" s="741"/>
      <c r="G103" s="741"/>
      <c r="I103" s="798"/>
      <c r="J103" s="607">
        <v>269</v>
      </c>
      <c r="K103" s="586" t="s">
        <v>917</v>
      </c>
      <c r="L103" s="586" t="s">
        <v>918</v>
      </c>
      <c r="M103" s="799">
        <v>12</v>
      </c>
      <c r="N103" s="2147"/>
      <c r="O103" s="2159"/>
      <c r="P103" s="2159"/>
      <c r="Q103" s="792">
        <f t="shared" si="0"/>
        <v>0.12</v>
      </c>
      <c r="R103" s="2161"/>
      <c r="S103" s="2147"/>
      <c r="T103" s="2147"/>
      <c r="U103" s="800" t="s">
        <v>919</v>
      </c>
      <c r="V103" s="722">
        <f>21000000+9000000</f>
        <v>30000000</v>
      </c>
      <c r="W103" s="2149"/>
      <c r="X103" s="2155"/>
      <c r="Y103" s="2149"/>
      <c r="Z103" s="2157"/>
      <c r="AA103" s="2149"/>
      <c r="AB103" s="2149"/>
      <c r="AC103" s="2149"/>
      <c r="AD103" s="2149"/>
      <c r="AE103" s="2149"/>
      <c r="AF103" s="2149"/>
      <c r="AG103" s="2149"/>
      <c r="AH103" s="2149"/>
      <c r="AI103" s="2149"/>
      <c r="AJ103" s="2149"/>
      <c r="AK103" s="2149"/>
      <c r="AL103" s="2149"/>
      <c r="AM103" s="2151"/>
      <c r="AN103" s="2149"/>
      <c r="AO103" s="2153"/>
      <c r="AP103" s="2153"/>
      <c r="AQ103" s="2155"/>
    </row>
    <row r="104" spans="1:63" ht="122.25" customHeight="1" x14ac:dyDescent="0.2">
      <c r="A104" s="740"/>
      <c r="D104" s="741"/>
      <c r="G104" s="741"/>
      <c r="I104" s="798"/>
      <c r="J104" s="607">
        <v>270</v>
      </c>
      <c r="K104" s="586" t="s">
        <v>920</v>
      </c>
      <c r="L104" s="586" t="s">
        <v>921</v>
      </c>
      <c r="M104" s="799">
        <v>12</v>
      </c>
      <c r="N104" s="2147"/>
      <c r="O104" s="2159"/>
      <c r="P104" s="2159"/>
      <c r="Q104" s="792">
        <f t="shared" si="0"/>
        <v>8.4000000000000005E-2</v>
      </c>
      <c r="R104" s="2161"/>
      <c r="S104" s="2147"/>
      <c r="T104" s="2147"/>
      <c r="U104" s="800" t="s">
        <v>922</v>
      </c>
      <c r="V104" s="722">
        <v>21000000</v>
      </c>
      <c r="W104" s="2149"/>
      <c r="X104" s="2155"/>
      <c r="Y104" s="2149"/>
      <c r="Z104" s="2157"/>
      <c r="AA104" s="2149"/>
      <c r="AB104" s="2149"/>
      <c r="AC104" s="2149"/>
      <c r="AD104" s="2149"/>
      <c r="AE104" s="2149"/>
      <c r="AF104" s="2149"/>
      <c r="AG104" s="2149"/>
      <c r="AH104" s="2149"/>
      <c r="AI104" s="2149"/>
      <c r="AJ104" s="2149"/>
      <c r="AK104" s="2149"/>
      <c r="AL104" s="2149"/>
      <c r="AM104" s="2151"/>
      <c r="AN104" s="2149"/>
      <c r="AO104" s="2153"/>
      <c r="AP104" s="2153"/>
      <c r="AQ104" s="2155"/>
    </row>
    <row r="105" spans="1:63" ht="133.5" customHeight="1" x14ac:dyDescent="0.2">
      <c r="A105" s="740"/>
      <c r="D105" s="741"/>
      <c r="G105" s="741"/>
      <c r="I105" s="798"/>
      <c r="J105" s="607">
        <v>271</v>
      </c>
      <c r="K105" s="586" t="s">
        <v>923</v>
      </c>
      <c r="L105" s="586" t="s">
        <v>921</v>
      </c>
      <c r="M105" s="799">
        <v>12</v>
      </c>
      <c r="N105" s="2147"/>
      <c r="O105" s="2159"/>
      <c r="P105" s="2159"/>
      <c r="Q105" s="792">
        <f t="shared" si="0"/>
        <v>0.154</v>
      </c>
      <c r="R105" s="2161"/>
      <c r="S105" s="2147"/>
      <c r="T105" s="2147"/>
      <c r="U105" s="801" t="s">
        <v>924</v>
      </c>
      <c r="V105" s="722">
        <v>38500000</v>
      </c>
      <c r="W105" s="2149"/>
      <c r="X105" s="2155"/>
      <c r="Y105" s="2149"/>
      <c r="Z105" s="2157"/>
      <c r="AA105" s="2149"/>
      <c r="AB105" s="2149"/>
      <c r="AC105" s="2149"/>
      <c r="AD105" s="2149"/>
      <c r="AE105" s="2149"/>
      <c r="AF105" s="2149"/>
      <c r="AG105" s="2149"/>
      <c r="AH105" s="2149"/>
      <c r="AI105" s="2149"/>
      <c r="AJ105" s="2149"/>
      <c r="AK105" s="2149"/>
      <c r="AL105" s="2149"/>
      <c r="AM105" s="2151"/>
      <c r="AN105" s="2149"/>
      <c r="AO105" s="2153"/>
      <c r="AP105" s="2153"/>
      <c r="AQ105" s="2155"/>
    </row>
    <row r="106" spans="1:63" ht="108" customHeight="1" x14ac:dyDescent="0.2">
      <c r="A106" s="740"/>
      <c r="D106" s="741"/>
      <c r="G106" s="741"/>
      <c r="I106" s="798"/>
      <c r="J106" s="607">
        <v>272</v>
      </c>
      <c r="K106" s="586" t="s">
        <v>925</v>
      </c>
      <c r="L106" s="586" t="s">
        <v>921</v>
      </c>
      <c r="M106" s="799">
        <v>12</v>
      </c>
      <c r="N106" s="2147"/>
      <c r="O106" s="2159"/>
      <c r="P106" s="2159"/>
      <c r="Q106" s="792">
        <f t="shared" si="0"/>
        <v>0.154</v>
      </c>
      <c r="R106" s="2161"/>
      <c r="S106" s="2147"/>
      <c r="T106" s="2147"/>
      <c r="U106" s="801" t="s">
        <v>926</v>
      </c>
      <c r="V106" s="722">
        <v>38500000</v>
      </c>
      <c r="W106" s="2149"/>
      <c r="X106" s="2155"/>
      <c r="Y106" s="2149"/>
      <c r="Z106" s="2157"/>
      <c r="AA106" s="2149"/>
      <c r="AB106" s="2149"/>
      <c r="AC106" s="2149"/>
      <c r="AD106" s="2149"/>
      <c r="AE106" s="2149"/>
      <c r="AF106" s="2149"/>
      <c r="AG106" s="2149"/>
      <c r="AH106" s="2149"/>
      <c r="AI106" s="2149"/>
      <c r="AJ106" s="2149"/>
      <c r="AK106" s="2149"/>
      <c r="AL106" s="2149"/>
      <c r="AM106" s="2151"/>
      <c r="AN106" s="2149"/>
      <c r="AO106" s="2153"/>
      <c r="AP106" s="2153"/>
      <c r="AQ106" s="2155"/>
    </row>
    <row r="107" spans="1:63" ht="104.25" customHeight="1" x14ac:dyDescent="0.2">
      <c r="A107" s="740"/>
      <c r="D107" s="741"/>
      <c r="G107" s="741"/>
      <c r="I107" s="798"/>
      <c r="J107" s="607">
        <v>273</v>
      </c>
      <c r="K107" s="586" t="s">
        <v>927</v>
      </c>
      <c r="L107" s="586" t="s">
        <v>918</v>
      </c>
      <c r="M107" s="799">
        <v>12</v>
      </c>
      <c r="N107" s="2147"/>
      <c r="O107" s="2159"/>
      <c r="P107" s="2159"/>
      <c r="Q107" s="792">
        <f t="shared" si="0"/>
        <v>8.0000000000000002E-3</v>
      </c>
      <c r="R107" s="2161"/>
      <c r="S107" s="2147"/>
      <c r="T107" s="2147"/>
      <c r="U107" s="800" t="s">
        <v>928</v>
      </c>
      <c r="V107" s="722">
        <v>2000000</v>
      </c>
      <c r="W107" s="2149"/>
      <c r="X107" s="2155"/>
      <c r="Y107" s="2149"/>
      <c r="Z107" s="2157"/>
      <c r="AA107" s="2149"/>
      <c r="AB107" s="2149"/>
      <c r="AC107" s="2149"/>
      <c r="AD107" s="2149"/>
      <c r="AE107" s="2149"/>
      <c r="AF107" s="2149"/>
      <c r="AG107" s="2149"/>
      <c r="AH107" s="2149"/>
      <c r="AI107" s="2149"/>
      <c r="AJ107" s="2149"/>
      <c r="AK107" s="2149"/>
      <c r="AL107" s="2149"/>
      <c r="AM107" s="2151"/>
      <c r="AN107" s="2149"/>
      <c r="AO107" s="2153"/>
      <c r="AP107" s="2153"/>
      <c r="AQ107" s="2155"/>
    </row>
    <row r="108" spans="1:63" ht="89.25" customHeight="1" x14ac:dyDescent="0.2">
      <c r="A108" s="740"/>
      <c r="D108" s="741"/>
      <c r="G108" s="741"/>
      <c r="I108" s="798"/>
      <c r="J108" s="607">
        <v>274</v>
      </c>
      <c r="K108" s="586" t="s">
        <v>929</v>
      </c>
      <c r="L108" s="586" t="s">
        <v>918</v>
      </c>
      <c r="M108" s="799">
        <v>12</v>
      </c>
      <c r="N108" s="2147"/>
      <c r="O108" s="2159"/>
      <c r="P108" s="2159"/>
      <c r="Q108" s="792">
        <f t="shared" si="0"/>
        <v>0.12</v>
      </c>
      <c r="R108" s="2161"/>
      <c r="S108" s="2147"/>
      <c r="T108" s="2147"/>
      <c r="U108" s="800" t="s">
        <v>930</v>
      </c>
      <c r="V108" s="722">
        <f>21000000+9000000</f>
        <v>30000000</v>
      </c>
      <c r="W108" s="2149"/>
      <c r="X108" s="2155"/>
      <c r="Y108" s="2149"/>
      <c r="Z108" s="2157"/>
      <c r="AA108" s="2149"/>
      <c r="AB108" s="2149"/>
      <c r="AC108" s="2149"/>
      <c r="AD108" s="2149"/>
      <c r="AE108" s="2149"/>
      <c r="AF108" s="2149"/>
      <c r="AG108" s="2149"/>
      <c r="AH108" s="2149"/>
      <c r="AI108" s="2149"/>
      <c r="AJ108" s="2149"/>
      <c r="AK108" s="2149"/>
      <c r="AL108" s="2149"/>
      <c r="AM108" s="2151"/>
      <c r="AN108" s="2149"/>
      <c r="AO108" s="2153"/>
      <c r="AP108" s="2153"/>
      <c r="AQ108" s="2155"/>
    </row>
    <row r="109" spans="1:63" ht="90" customHeight="1" thickBot="1" x14ac:dyDescent="0.25">
      <c r="A109" s="740"/>
      <c r="D109" s="741"/>
      <c r="G109" s="741"/>
      <c r="I109" s="798"/>
      <c r="J109" s="605">
        <v>260</v>
      </c>
      <c r="K109" s="587" t="s">
        <v>931</v>
      </c>
      <c r="L109" s="587" t="s">
        <v>932</v>
      </c>
      <c r="M109" s="802">
        <v>12</v>
      </c>
      <c r="N109" s="2148"/>
      <c r="O109" s="2160"/>
      <c r="P109" s="2160"/>
      <c r="Q109" s="803">
        <f t="shared" si="0"/>
        <v>0.04</v>
      </c>
      <c r="R109" s="2162"/>
      <c r="S109" s="2148"/>
      <c r="T109" s="2148"/>
      <c r="U109" s="804" t="s">
        <v>933</v>
      </c>
      <c r="V109" s="805">
        <v>10000000</v>
      </c>
      <c r="W109" s="2150"/>
      <c r="X109" s="2156"/>
      <c r="Y109" s="2150"/>
      <c r="Z109" s="2158"/>
      <c r="AA109" s="2150"/>
      <c r="AB109" s="2150"/>
      <c r="AC109" s="2150"/>
      <c r="AD109" s="2150"/>
      <c r="AE109" s="2150"/>
      <c r="AF109" s="2150"/>
      <c r="AG109" s="2150"/>
      <c r="AH109" s="2150"/>
      <c r="AI109" s="2150"/>
      <c r="AJ109" s="2150"/>
      <c r="AK109" s="2150"/>
      <c r="AL109" s="2150"/>
      <c r="AM109" s="2152"/>
      <c r="AN109" s="2150"/>
      <c r="AO109" s="2154"/>
      <c r="AP109" s="2154"/>
      <c r="AQ109" s="2156"/>
    </row>
    <row r="110" spans="1:63" ht="27" customHeight="1" thickBot="1" x14ac:dyDescent="0.25">
      <c r="A110" s="806"/>
      <c r="B110" s="680"/>
      <c r="C110" s="680"/>
      <c r="D110" s="680"/>
      <c r="E110" s="680"/>
      <c r="F110" s="680"/>
      <c r="G110" s="680"/>
      <c r="H110" s="680"/>
      <c r="I110" s="680"/>
      <c r="J110" s="185"/>
      <c r="K110" s="192"/>
      <c r="L110" s="807"/>
      <c r="M110" s="807"/>
      <c r="N110" s="298" t="s">
        <v>221</v>
      </c>
      <c r="O110" s="807"/>
      <c r="P110" s="192"/>
      <c r="Q110" s="808"/>
      <c r="R110" s="809">
        <f>SUM(R9:R109)</f>
        <v>1617000000</v>
      </c>
      <c r="S110" s="810"/>
      <c r="T110" s="192"/>
      <c r="U110" s="811"/>
      <c r="V110" s="812">
        <f>SUM(V9:V109)</f>
        <v>1617000000</v>
      </c>
      <c r="W110" s="191"/>
      <c r="X110" s="813"/>
      <c r="Y110" s="679"/>
      <c r="Z110" s="679"/>
      <c r="AA110" s="679"/>
      <c r="AB110" s="679"/>
      <c r="AC110" s="679"/>
      <c r="AD110" s="679"/>
      <c r="AE110" s="679"/>
      <c r="AF110" s="679"/>
      <c r="AG110" s="679"/>
      <c r="AH110" s="679"/>
      <c r="AI110" s="679"/>
      <c r="AJ110" s="679"/>
      <c r="AK110" s="679"/>
      <c r="AL110" s="679"/>
      <c r="AM110" s="679"/>
      <c r="AN110" s="679"/>
      <c r="AO110" s="193"/>
      <c r="AP110" s="814"/>
      <c r="AQ110" s="189"/>
    </row>
    <row r="111" spans="1:63" ht="27" customHeight="1" x14ac:dyDescent="0.25">
      <c r="C111" s="584"/>
      <c r="D111" s="584"/>
      <c r="V111" s="818"/>
    </row>
    <row r="112" spans="1:63" s="210" customFormat="1" ht="27" customHeight="1" x14ac:dyDescent="0.2">
      <c r="A112" s="815"/>
      <c r="B112" s="585"/>
      <c r="C112" s="585"/>
      <c r="D112" s="585"/>
      <c r="E112" s="585"/>
      <c r="F112" s="585"/>
      <c r="G112" s="585"/>
      <c r="H112" s="585"/>
      <c r="I112" s="585"/>
      <c r="J112" s="593"/>
      <c r="L112" s="199"/>
      <c r="M112" s="199"/>
      <c r="N112" s="199"/>
      <c r="O112" s="585"/>
      <c r="P112" s="585"/>
      <c r="Q112" s="204"/>
      <c r="R112" s="819"/>
      <c r="S112" s="820"/>
      <c r="V112" s="821"/>
      <c r="W112" s="209"/>
      <c r="X112" s="691"/>
      <c r="Y112" s="110"/>
      <c r="Z112" s="110"/>
      <c r="AA112" s="110"/>
      <c r="AB112" s="110"/>
      <c r="AC112" s="110"/>
      <c r="AD112" s="110"/>
      <c r="AE112" s="110"/>
      <c r="AF112" s="110"/>
      <c r="AG112" s="110"/>
      <c r="AH112" s="110"/>
      <c r="AI112" s="110"/>
      <c r="AJ112" s="110"/>
      <c r="AK112" s="110"/>
      <c r="AL112" s="110"/>
      <c r="AM112" s="110"/>
      <c r="AN112" s="110"/>
      <c r="AO112" s="211"/>
      <c r="AP112" s="212"/>
      <c r="AQ112" s="204"/>
      <c r="AR112" s="110"/>
      <c r="AS112" s="110"/>
      <c r="AT112" s="110"/>
      <c r="AU112" s="110"/>
      <c r="AV112" s="110"/>
      <c r="AW112" s="110"/>
      <c r="AX112" s="110"/>
      <c r="AY112" s="110"/>
      <c r="AZ112" s="110"/>
      <c r="BA112" s="110"/>
      <c r="BB112" s="110"/>
      <c r="BC112" s="110"/>
      <c r="BD112" s="110"/>
      <c r="BE112" s="110"/>
      <c r="BF112" s="110"/>
      <c r="BG112" s="110"/>
      <c r="BH112" s="110"/>
      <c r="BI112" s="110"/>
      <c r="BJ112" s="110"/>
      <c r="BK112" s="110"/>
    </row>
    <row r="113" spans="1:63" s="210" customFormat="1" ht="21" customHeight="1" x14ac:dyDescent="0.25">
      <c r="A113" s="815"/>
      <c r="B113" s="585"/>
      <c r="C113" s="585"/>
      <c r="D113" s="585"/>
      <c r="E113" s="585"/>
      <c r="F113" s="585"/>
      <c r="G113" s="585"/>
      <c r="H113" s="585"/>
      <c r="I113" s="585"/>
      <c r="J113" s="593"/>
      <c r="L113" s="199"/>
      <c r="M113" s="199"/>
      <c r="N113" s="307" t="s">
        <v>934</v>
      </c>
      <c r="O113" s="307"/>
      <c r="P113" s="307"/>
      <c r="Q113" s="308"/>
      <c r="R113" s="308"/>
      <c r="S113" s="308"/>
      <c r="V113" s="821"/>
      <c r="W113" s="209"/>
      <c r="X113" s="691"/>
      <c r="Y113" s="110"/>
      <c r="Z113" s="110"/>
      <c r="AA113" s="110"/>
      <c r="AB113" s="110"/>
      <c r="AC113" s="110"/>
      <c r="AD113" s="110"/>
      <c r="AE113" s="110"/>
      <c r="AF113" s="110"/>
      <c r="AG113" s="110"/>
      <c r="AH113" s="110"/>
      <c r="AI113" s="110"/>
      <c r="AJ113" s="110"/>
      <c r="AK113" s="110"/>
      <c r="AL113" s="110"/>
      <c r="AM113" s="110"/>
      <c r="AN113" s="110"/>
      <c r="AO113" s="211"/>
      <c r="AP113" s="212"/>
      <c r="AQ113" s="204"/>
      <c r="AR113" s="110"/>
      <c r="AS113" s="110"/>
      <c r="AT113" s="110"/>
      <c r="AU113" s="110"/>
      <c r="AV113" s="110"/>
      <c r="AW113" s="110"/>
      <c r="AX113" s="110"/>
      <c r="AY113" s="110"/>
      <c r="AZ113" s="110"/>
      <c r="BA113" s="110"/>
      <c r="BB113" s="110"/>
      <c r="BC113" s="110"/>
      <c r="BD113" s="110"/>
      <c r="BE113" s="110"/>
      <c r="BF113" s="110"/>
      <c r="BG113" s="110"/>
      <c r="BH113" s="110"/>
      <c r="BI113" s="110"/>
      <c r="BJ113" s="110"/>
      <c r="BK113" s="110"/>
    </row>
    <row r="114" spans="1:63" s="210" customFormat="1" ht="21" customHeight="1" x14ac:dyDescent="0.25">
      <c r="A114" s="815"/>
      <c r="B114" s="585"/>
      <c r="C114" s="585"/>
      <c r="D114" s="585"/>
      <c r="E114" s="585"/>
      <c r="F114" s="585"/>
      <c r="G114" s="585"/>
      <c r="H114" s="585"/>
      <c r="I114" s="585"/>
      <c r="J114" s="593"/>
      <c r="L114" s="199"/>
      <c r="M114" s="199"/>
      <c r="N114" s="308" t="s">
        <v>935</v>
      </c>
      <c r="O114" s="308"/>
      <c r="P114" s="308"/>
      <c r="Q114" s="308"/>
      <c r="R114" s="308"/>
      <c r="S114" s="308"/>
      <c r="V114" s="821"/>
      <c r="W114" s="209"/>
      <c r="X114" s="691"/>
      <c r="Y114" s="110"/>
      <c r="Z114" s="110"/>
      <c r="AA114" s="110"/>
      <c r="AB114" s="110"/>
      <c r="AC114" s="110"/>
      <c r="AD114" s="110"/>
      <c r="AE114" s="110"/>
      <c r="AF114" s="110"/>
      <c r="AG114" s="110"/>
      <c r="AH114" s="110"/>
      <c r="AI114" s="110"/>
      <c r="AJ114" s="110"/>
      <c r="AK114" s="110"/>
      <c r="AL114" s="110"/>
      <c r="AM114" s="110"/>
      <c r="AN114" s="110"/>
      <c r="AO114" s="211"/>
      <c r="AP114" s="212"/>
      <c r="AQ114" s="204"/>
      <c r="AR114" s="110"/>
      <c r="AS114" s="110"/>
      <c r="AT114" s="110"/>
      <c r="AU114" s="110"/>
      <c r="AV114" s="110"/>
      <c r="AW114" s="110"/>
      <c r="AX114" s="110"/>
      <c r="AY114" s="110"/>
      <c r="AZ114" s="110"/>
      <c r="BA114" s="110"/>
      <c r="BB114" s="110"/>
      <c r="BC114" s="110"/>
      <c r="BD114" s="110"/>
      <c r="BE114" s="110"/>
      <c r="BF114" s="110"/>
      <c r="BG114" s="110"/>
      <c r="BH114" s="110"/>
      <c r="BI114" s="110"/>
      <c r="BJ114" s="110"/>
      <c r="BK114" s="110"/>
    </row>
  </sheetData>
  <sheetProtection password="CBEB" sheet="1" objects="1" scenarios="1"/>
  <mergeCells count="351">
    <mergeCell ref="A1:AO4"/>
    <mergeCell ref="A5:M6"/>
    <mergeCell ref="N5:AQ5"/>
    <mergeCell ref="Y6:AN6"/>
    <mergeCell ref="A7:A8"/>
    <mergeCell ref="B7:C8"/>
    <mergeCell ref="D7:D8"/>
    <mergeCell ref="E7:F8"/>
    <mergeCell ref="G7:G8"/>
    <mergeCell ref="H7:I8"/>
    <mergeCell ref="AQ7:AQ8"/>
    <mergeCell ref="AN7:AN8"/>
    <mergeCell ref="AO7:AO8"/>
    <mergeCell ref="AP7:AP8"/>
    <mergeCell ref="B9:K9"/>
    <mergeCell ref="E10:K10"/>
    <mergeCell ref="V7:W7"/>
    <mergeCell ref="X7:X8"/>
    <mergeCell ref="Y7:Z7"/>
    <mergeCell ref="AA7:AD7"/>
    <mergeCell ref="AE7:AJ7"/>
    <mergeCell ref="AK7:AM7"/>
    <mergeCell ref="P7:P8"/>
    <mergeCell ref="Q7:Q8"/>
    <mergeCell ref="R7:R8"/>
    <mergeCell ref="S7:S8"/>
    <mergeCell ref="T7:T8"/>
    <mergeCell ref="U7:U8"/>
    <mergeCell ref="J7:J8"/>
    <mergeCell ref="K7:K8"/>
    <mergeCell ref="L7:L8"/>
    <mergeCell ref="M7:M8"/>
    <mergeCell ref="N7:N8"/>
    <mergeCell ref="O7:O8"/>
    <mergeCell ref="O12:O22"/>
    <mergeCell ref="P12:P22"/>
    <mergeCell ref="Q12:Q22"/>
    <mergeCell ref="H11:K11"/>
    <mergeCell ref="J12:J22"/>
    <mergeCell ref="K12:K22"/>
    <mergeCell ref="L12:L22"/>
    <mergeCell ref="M12:M22"/>
    <mergeCell ref="N12:N22"/>
    <mergeCell ref="R12:R22"/>
    <mergeCell ref="S12:S22"/>
    <mergeCell ref="W12:W22"/>
    <mergeCell ref="AO24:AO31"/>
    <mergeCell ref="AP24:AP31"/>
    <mergeCell ref="AQ24:AQ31"/>
    <mergeCell ref="T30:T31"/>
    <mergeCell ref="H23:K23"/>
    <mergeCell ref="J24:J31"/>
    <mergeCell ref="K24:K31"/>
    <mergeCell ref="L24:L31"/>
    <mergeCell ref="M24:M31"/>
    <mergeCell ref="N24:N31"/>
    <mergeCell ref="AJ12:AJ22"/>
    <mergeCell ref="AK12:AK22"/>
    <mergeCell ref="AL12:AL22"/>
    <mergeCell ref="AD12:AD22"/>
    <mergeCell ref="AE12:AE22"/>
    <mergeCell ref="AF12:AF22"/>
    <mergeCell ref="AG12:AG22"/>
    <mergeCell ref="AH12:AH22"/>
    <mergeCell ref="AI12:AI22"/>
    <mergeCell ref="X12:X22"/>
    <mergeCell ref="Y12:Y22"/>
    <mergeCell ref="S24:S31"/>
    <mergeCell ref="T24:T28"/>
    <mergeCell ref="AP12:AP22"/>
    <mergeCell ref="AQ12:AQ22"/>
    <mergeCell ref="T13:T18"/>
    <mergeCell ref="T19:T22"/>
    <mergeCell ref="AM12:AM22"/>
    <mergeCell ref="AN12:AN22"/>
    <mergeCell ref="AO12:AO22"/>
    <mergeCell ref="Z12:Z22"/>
    <mergeCell ref="AA12:AA22"/>
    <mergeCell ref="AB12:AB22"/>
    <mergeCell ref="AC12:AC22"/>
    <mergeCell ref="E32:K32"/>
    <mergeCell ref="H33:K33"/>
    <mergeCell ref="AI24:AI31"/>
    <mergeCell ref="AJ24:AJ31"/>
    <mergeCell ref="AK24:AK31"/>
    <mergeCell ref="AL24:AL31"/>
    <mergeCell ref="AM24:AM31"/>
    <mergeCell ref="AN24:AN31"/>
    <mergeCell ref="AC24:AC31"/>
    <mergeCell ref="AD24:AD31"/>
    <mergeCell ref="AE24:AE31"/>
    <mergeCell ref="AF24:AF31"/>
    <mergeCell ref="AG24:AG31"/>
    <mergeCell ref="AH24:AH31"/>
    <mergeCell ref="W24:W31"/>
    <mergeCell ref="X24:X31"/>
    <mergeCell ref="Y24:Y31"/>
    <mergeCell ref="Z24:Z31"/>
    <mergeCell ref="AA24:AA31"/>
    <mergeCell ref="AB24:AB31"/>
    <mergeCell ref="O24:O31"/>
    <mergeCell ref="P24:P31"/>
    <mergeCell ref="Q24:Q31"/>
    <mergeCell ref="R24:R31"/>
    <mergeCell ref="P34:P41"/>
    <mergeCell ref="Q34:Q41"/>
    <mergeCell ref="R34:R41"/>
    <mergeCell ref="S34:S41"/>
    <mergeCell ref="T34:T37"/>
    <mergeCell ref="W34:W41"/>
    <mergeCell ref="J34:J41"/>
    <mergeCell ref="K34:K41"/>
    <mergeCell ref="L34:L41"/>
    <mergeCell ref="M34:M41"/>
    <mergeCell ref="N34:N41"/>
    <mergeCell ref="O34:O41"/>
    <mergeCell ref="AP34:AP41"/>
    <mergeCell ref="AQ34:AQ41"/>
    <mergeCell ref="T38:T39"/>
    <mergeCell ref="T40:T41"/>
    <mergeCell ref="F42:K42"/>
    <mergeCell ref="H43:K43"/>
    <mergeCell ref="AJ34:AJ41"/>
    <mergeCell ref="AK34:AK41"/>
    <mergeCell ref="AL34:AL41"/>
    <mergeCell ref="AM34:AM41"/>
    <mergeCell ref="AN34:AN41"/>
    <mergeCell ref="AO34:AO41"/>
    <mergeCell ref="AD34:AD41"/>
    <mergeCell ref="AE34:AE41"/>
    <mergeCell ref="AF34:AF41"/>
    <mergeCell ref="AG34:AG41"/>
    <mergeCell ref="AH34:AH41"/>
    <mergeCell ref="AI34:AI41"/>
    <mergeCell ref="X34:X41"/>
    <mergeCell ref="Y34:Y41"/>
    <mergeCell ref="Z34:Z41"/>
    <mergeCell ref="AA34:AA41"/>
    <mergeCell ref="AB34:AB41"/>
    <mergeCell ref="AC34:AC41"/>
    <mergeCell ref="P44:P52"/>
    <mergeCell ref="Q44:Q46"/>
    <mergeCell ref="R44:R52"/>
    <mergeCell ref="S44:S52"/>
    <mergeCell ref="T44:T46"/>
    <mergeCell ref="W44:W52"/>
    <mergeCell ref="Q51:Q52"/>
    <mergeCell ref="T51:T52"/>
    <mergeCell ref="J44:J46"/>
    <mergeCell ref="K44:K46"/>
    <mergeCell ref="L44:L46"/>
    <mergeCell ref="M44:M46"/>
    <mergeCell ref="N44:N52"/>
    <mergeCell ref="O44:O52"/>
    <mergeCell ref="L51:L52"/>
    <mergeCell ref="M51:M52"/>
    <mergeCell ref="AF44:AF52"/>
    <mergeCell ref="AG44:AG52"/>
    <mergeCell ref="AH44:AH52"/>
    <mergeCell ref="AI44:AI52"/>
    <mergeCell ref="X44:X52"/>
    <mergeCell ref="Y44:Y52"/>
    <mergeCell ref="Z44:Z52"/>
    <mergeCell ref="AA44:AA52"/>
    <mergeCell ref="AB44:AB52"/>
    <mergeCell ref="AC44:AC52"/>
    <mergeCell ref="E53:F59"/>
    <mergeCell ref="G53:G59"/>
    <mergeCell ref="H53:I59"/>
    <mergeCell ref="J53:J59"/>
    <mergeCell ref="K53:K59"/>
    <mergeCell ref="L53:L59"/>
    <mergeCell ref="AP44:AP52"/>
    <mergeCell ref="AQ44:AQ52"/>
    <mergeCell ref="J47:J48"/>
    <mergeCell ref="K47:K48"/>
    <mergeCell ref="L47:L48"/>
    <mergeCell ref="M47:M48"/>
    <mergeCell ref="Q47:Q48"/>
    <mergeCell ref="T47:T48"/>
    <mergeCell ref="J51:J52"/>
    <mergeCell ref="K51:K52"/>
    <mergeCell ref="AJ44:AJ52"/>
    <mergeCell ref="AK44:AK52"/>
    <mergeCell ref="AL44:AL52"/>
    <mergeCell ref="AM44:AM52"/>
    <mergeCell ref="AN44:AN52"/>
    <mergeCell ref="AO44:AO52"/>
    <mergeCell ref="AD44:AD52"/>
    <mergeCell ref="AE44:AE52"/>
    <mergeCell ref="S53:S59"/>
    <mergeCell ref="T53:T54"/>
    <mergeCell ref="W53:W59"/>
    <mergeCell ref="X53:X59"/>
    <mergeCell ref="Y53:Y59"/>
    <mergeCell ref="Z53:Z59"/>
    <mergeCell ref="M53:M59"/>
    <mergeCell ref="N53:N59"/>
    <mergeCell ref="O53:O59"/>
    <mergeCell ref="P53:P59"/>
    <mergeCell ref="Q53:Q59"/>
    <mergeCell ref="R53:R59"/>
    <mergeCell ref="AM53:AM59"/>
    <mergeCell ref="AN53:AN59"/>
    <mergeCell ref="AO53:AO59"/>
    <mergeCell ref="AP53:AP59"/>
    <mergeCell ref="AQ53:AQ59"/>
    <mergeCell ref="T55:T59"/>
    <mergeCell ref="AG53:AG59"/>
    <mergeCell ref="AH53:AH59"/>
    <mergeCell ref="AI53:AI59"/>
    <mergeCell ref="AJ53:AJ59"/>
    <mergeCell ref="AK53:AK59"/>
    <mergeCell ref="AL53:AL59"/>
    <mergeCell ref="AA53:AA59"/>
    <mergeCell ref="AB53:AB59"/>
    <mergeCell ref="AC53:AC59"/>
    <mergeCell ref="AD53:AD59"/>
    <mergeCell ref="AE53:AE59"/>
    <mergeCell ref="AF53:AF59"/>
    <mergeCell ref="P60:P70"/>
    <mergeCell ref="Q60:Q70"/>
    <mergeCell ref="R60:R70"/>
    <mergeCell ref="S60:S70"/>
    <mergeCell ref="T60:T70"/>
    <mergeCell ref="W60:W70"/>
    <mergeCell ref="J60:J70"/>
    <mergeCell ref="K60:K70"/>
    <mergeCell ref="L60:L70"/>
    <mergeCell ref="M60:M70"/>
    <mergeCell ref="N60:N70"/>
    <mergeCell ref="O60:O70"/>
    <mergeCell ref="AG60:AG70"/>
    <mergeCell ref="AH60:AH70"/>
    <mergeCell ref="AI60:AI70"/>
    <mergeCell ref="X60:X70"/>
    <mergeCell ref="Y60:Y70"/>
    <mergeCell ref="Z60:Z70"/>
    <mergeCell ref="AA60:AA70"/>
    <mergeCell ref="AB60:AB70"/>
    <mergeCell ref="AC60:AC70"/>
    <mergeCell ref="M71:M84"/>
    <mergeCell ref="N71:N84"/>
    <mergeCell ref="O71:O84"/>
    <mergeCell ref="P71:P84"/>
    <mergeCell ref="Q71:Q84"/>
    <mergeCell ref="AP60:AP70"/>
    <mergeCell ref="AQ60:AQ70"/>
    <mergeCell ref="A71:A84"/>
    <mergeCell ref="B71:C84"/>
    <mergeCell ref="D71:D84"/>
    <mergeCell ref="E71:F84"/>
    <mergeCell ref="G71:G84"/>
    <mergeCell ref="H71:I84"/>
    <mergeCell ref="J71:J84"/>
    <mergeCell ref="K71:K84"/>
    <mergeCell ref="AJ60:AJ70"/>
    <mergeCell ref="AK60:AK70"/>
    <mergeCell ref="AL60:AL70"/>
    <mergeCell ref="AM60:AM70"/>
    <mergeCell ref="AN60:AN70"/>
    <mergeCell ref="AO60:AO70"/>
    <mergeCell ref="AD60:AD70"/>
    <mergeCell ref="AE60:AE70"/>
    <mergeCell ref="AF60:AF70"/>
    <mergeCell ref="AO71:AO84"/>
    <mergeCell ref="AP71:AP84"/>
    <mergeCell ref="AQ71:AQ84"/>
    <mergeCell ref="AF71:AF84"/>
    <mergeCell ref="AG71:AG84"/>
    <mergeCell ref="AH71:AH84"/>
    <mergeCell ref="AI71:AI84"/>
    <mergeCell ref="AJ71:AJ84"/>
    <mergeCell ref="AK71:AK84"/>
    <mergeCell ref="J85:J100"/>
    <mergeCell ref="K85:K100"/>
    <mergeCell ref="L85:L100"/>
    <mergeCell ref="M85:M100"/>
    <mergeCell ref="N85:N100"/>
    <mergeCell ref="O85:O100"/>
    <mergeCell ref="AL71:AL84"/>
    <mergeCell ref="AM71:AM84"/>
    <mergeCell ref="AN71:AN84"/>
    <mergeCell ref="Z71:Z84"/>
    <mergeCell ref="AA71:AA84"/>
    <mergeCell ref="AB71:AB84"/>
    <mergeCell ref="AC71:AC84"/>
    <mergeCell ref="AD71:AD84"/>
    <mergeCell ref="AE71:AE84"/>
    <mergeCell ref="R71:R84"/>
    <mergeCell ref="S71:S84"/>
    <mergeCell ref="T71:T79"/>
    <mergeCell ref="W71:W84"/>
    <mergeCell ref="X71:X84"/>
    <mergeCell ref="Y71:Y84"/>
    <mergeCell ref="T80:T82"/>
    <mergeCell ref="T83:T84"/>
    <mergeCell ref="L71:L84"/>
    <mergeCell ref="Z85:Z100"/>
    <mergeCell ref="AA85:AA100"/>
    <mergeCell ref="AB85:AB100"/>
    <mergeCell ref="AC85:AC100"/>
    <mergeCell ref="P85:P100"/>
    <mergeCell ref="Q85:Q100"/>
    <mergeCell ref="R85:R100"/>
    <mergeCell ref="S85:S100"/>
    <mergeCell ref="T85:T99"/>
    <mergeCell ref="W85:W100"/>
    <mergeCell ref="AP85:AP100"/>
    <mergeCell ref="AQ85:AQ100"/>
    <mergeCell ref="N101:N109"/>
    <mergeCell ref="O101:O109"/>
    <mergeCell ref="P101:P109"/>
    <mergeCell ref="R101:R109"/>
    <mergeCell ref="S101:S109"/>
    <mergeCell ref="W101:W109"/>
    <mergeCell ref="X101:X109"/>
    <mergeCell ref="Y101:Y109"/>
    <mergeCell ref="AJ85:AJ100"/>
    <mergeCell ref="AK85:AK100"/>
    <mergeCell ref="AL85:AL100"/>
    <mergeCell ref="AM85:AM100"/>
    <mergeCell ref="AN85:AN100"/>
    <mergeCell ref="AO85:AO100"/>
    <mergeCell ref="AD85:AD100"/>
    <mergeCell ref="AE85:AE100"/>
    <mergeCell ref="AF85:AF100"/>
    <mergeCell ref="AG85:AG100"/>
    <mergeCell ref="AH85:AH100"/>
    <mergeCell ref="AI85:AI100"/>
    <mergeCell ref="X85:X100"/>
    <mergeCell ref="Y85:Y100"/>
    <mergeCell ref="T102:T109"/>
    <mergeCell ref="AL101:AL109"/>
    <mergeCell ref="AM101:AM109"/>
    <mergeCell ref="AN101:AN109"/>
    <mergeCell ref="AO101:AO109"/>
    <mergeCell ref="AP101:AP109"/>
    <mergeCell ref="AQ101:AQ109"/>
    <mergeCell ref="AF101:AF109"/>
    <mergeCell ref="AG101:AG109"/>
    <mergeCell ref="AH101:AH109"/>
    <mergeCell ref="AI101:AI109"/>
    <mergeCell ref="AJ101:AJ109"/>
    <mergeCell ref="AK101:AK109"/>
    <mergeCell ref="Z101:Z109"/>
    <mergeCell ref="AA101:AA109"/>
    <mergeCell ref="AB101:AB109"/>
    <mergeCell ref="AC101:AC109"/>
    <mergeCell ref="AD101:AD109"/>
    <mergeCell ref="AE101:AE109"/>
  </mergeCells>
  <pageMargins left="1.1023622047244095" right="0.11811023622047245" top="0.35433070866141736" bottom="0.35433070866141736" header="0.31496062992125984" footer="0.31496062992125984"/>
  <pageSetup paperSize="5" scale="6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O36"/>
  <sheetViews>
    <sheetView showGridLines="0" zoomScale="50" zoomScaleNormal="50" workbookViewId="0">
      <selection activeCell="A7" sqref="A7:A8"/>
    </sheetView>
  </sheetViews>
  <sheetFormatPr baseColWidth="10" defaultColWidth="11.42578125" defaultRowHeight="27" customHeight="1" x14ac:dyDescent="0.2"/>
  <cols>
    <col min="1" max="1" width="14.42578125" style="202" customWidth="1"/>
    <col min="2" max="2" width="4" style="110" customWidth="1"/>
    <col min="3" max="3" width="17.5703125" style="110" customWidth="1"/>
    <col min="4" max="4" width="16" style="110" customWidth="1"/>
    <col min="5" max="5" width="20.85546875" style="110" customWidth="1"/>
    <col min="6" max="6" width="0.140625" style="110" customWidth="1"/>
    <col min="7" max="7" width="13.28515625" style="110" customWidth="1"/>
    <col min="8" max="8" width="3.28515625" style="110" customWidth="1"/>
    <col min="9" max="9" width="21.42578125" style="110" customWidth="1"/>
    <col min="10" max="10" width="13" style="110" bestFit="1" customWidth="1"/>
    <col min="11" max="11" width="40.85546875" style="210" customWidth="1"/>
    <col min="12" max="12" width="28.7109375" style="199" customWidth="1"/>
    <col min="13" max="13" width="22.85546875" style="213" customWidth="1"/>
    <col min="14" max="14" width="37.7109375" style="199" customWidth="1"/>
    <col min="15" max="15" width="24.5703125" style="199" customWidth="1"/>
    <col min="16" max="16" width="32.28515625" style="210" customWidth="1"/>
    <col min="17" max="17" width="17.85546875" style="214" customWidth="1"/>
    <col min="18" max="18" width="29.5703125" style="215" customWidth="1"/>
    <col min="19" max="19" width="37.28515625" style="210" customWidth="1"/>
    <col min="20" max="20" width="37" style="210" customWidth="1"/>
    <col min="21" max="21" width="37.140625" style="210" customWidth="1"/>
    <col min="22" max="22" width="27.7109375" style="216" customWidth="1"/>
    <col min="23" max="23" width="18.5703125" style="209" customWidth="1"/>
    <col min="24" max="24" width="16.7109375" style="210" customWidth="1"/>
    <col min="25" max="25" width="10.42578125" style="110" customWidth="1"/>
    <col min="26" max="26" width="10.5703125" style="110" customWidth="1"/>
    <col min="27" max="27" width="9.28515625" style="110" customWidth="1"/>
    <col min="28" max="28" width="10.140625" style="110" customWidth="1"/>
    <col min="29" max="29" width="11" style="110" customWidth="1"/>
    <col min="30" max="30" width="9.5703125" style="110" customWidth="1"/>
    <col min="31" max="31" width="9.28515625" style="110" customWidth="1"/>
    <col min="32" max="32" width="8.85546875" style="110" customWidth="1"/>
    <col min="33" max="35" width="8" style="110" customWidth="1"/>
    <col min="36" max="36" width="8.7109375" style="110" customWidth="1"/>
    <col min="37" max="37" width="8.140625" style="110" customWidth="1"/>
    <col min="38" max="38" width="10.5703125" style="110" customWidth="1"/>
    <col min="39" max="39" width="9.85546875" style="110" customWidth="1"/>
    <col min="40" max="40" width="13.140625" style="110" customWidth="1"/>
    <col min="41" max="41" width="17.42578125" style="211" customWidth="1"/>
    <col min="42" max="42" width="23.85546875" style="212" customWidth="1"/>
    <col min="43" max="43" width="27.42578125" style="204" customWidth="1"/>
    <col min="44" max="256" width="11.42578125" style="110"/>
    <col min="257" max="257" width="13.140625" style="110" customWidth="1"/>
    <col min="258" max="258" width="4" style="110" customWidth="1"/>
    <col min="259" max="259" width="20.7109375" style="110" customWidth="1"/>
    <col min="260" max="260" width="14.7109375" style="110" customWidth="1"/>
    <col min="261" max="261" width="10" style="110" customWidth="1"/>
    <col min="262" max="262" width="6.28515625" style="110" customWidth="1"/>
    <col min="263" max="263" width="12.28515625" style="110" customWidth="1"/>
    <col min="264" max="264" width="8.5703125" style="110" customWidth="1"/>
    <col min="265" max="265" width="13.7109375" style="110" customWidth="1"/>
    <col min="266" max="266" width="11.5703125" style="110" customWidth="1"/>
    <col min="267" max="267" width="20" style="110" customWidth="1"/>
    <col min="268" max="268" width="17.42578125" style="110" customWidth="1"/>
    <col min="269" max="269" width="21.140625" style="110" customWidth="1"/>
    <col min="270" max="270" width="22.140625" style="110" customWidth="1"/>
    <col min="271" max="271" width="8" style="110" customWidth="1"/>
    <col min="272" max="272" width="17" style="110" customWidth="1"/>
    <col min="273" max="273" width="12.7109375" style="110" customWidth="1"/>
    <col min="274" max="274" width="19" style="110" customWidth="1"/>
    <col min="275" max="275" width="23.5703125" style="110" customWidth="1"/>
    <col min="276" max="276" width="31.5703125" style="110" customWidth="1"/>
    <col min="277" max="277" width="19" style="110" customWidth="1"/>
    <col min="278" max="278" width="23.28515625" style="110" customWidth="1"/>
    <col min="279" max="279" width="11.7109375" style="110" customWidth="1"/>
    <col min="280" max="280" width="11.85546875" style="110" customWidth="1"/>
    <col min="281" max="281" width="5.5703125" style="110" customWidth="1"/>
    <col min="282" max="282" width="4.7109375" style="110" customWidth="1"/>
    <col min="283" max="284" width="7.28515625" style="110" customWidth="1"/>
    <col min="285" max="285" width="8.42578125" style="110" customWidth="1"/>
    <col min="286" max="286" width="9.5703125" style="110" customWidth="1"/>
    <col min="287" max="287" width="6.28515625" style="110" customWidth="1"/>
    <col min="288" max="288" width="5.85546875" style="110" customWidth="1"/>
    <col min="289" max="290" width="4.42578125" style="110" customWidth="1"/>
    <col min="291" max="291" width="5" style="110" customWidth="1"/>
    <col min="292" max="292" width="5.85546875" style="110" customWidth="1"/>
    <col min="293" max="293" width="6.140625" style="110" customWidth="1"/>
    <col min="294" max="294" width="6.28515625" style="110" customWidth="1"/>
    <col min="295" max="295" width="4.85546875" style="110" customWidth="1"/>
    <col min="296" max="296" width="8.140625" style="110" customWidth="1"/>
    <col min="297" max="297" width="11.5703125" style="110" customWidth="1"/>
    <col min="298" max="298" width="13.7109375" style="110" customWidth="1"/>
    <col min="299" max="299" width="20.85546875" style="110" customWidth="1"/>
    <col min="300" max="512" width="11.42578125" style="110"/>
    <col min="513" max="513" width="13.140625" style="110" customWidth="1"/>
    <col min="514" max="514" width="4" style="110" customWidth="1"/>
    <col min="515" max="515" width="20.7109375" style="110" customWidth="1"/>
    <col min="516" max="516" width="14.7109375" style="110" customWidth="1"/>
    <col min="517" max="517" width="10" style="110" customWidth="1"/>
    <col min="518" max="518" width="6.28515625" style="110" customWidth="1"/>
    <col min="519" max="519" width="12.28515625" style="110" customWidth="1"/>
    <col min="520" max="520" width="8.5703125" style="110" customWidth="1"/>
    <col min="521" max="521" width="13.7109375" style="110" customWidth="1"/>
    <col min="522" max="522" width="11.5703125" style="110" customWidth="1"/>
    <col min="523" max="523" width="20" style="110" customWidth="1"/>
    <col min="524" max="524" width="17.42578125" style="110" customWidth="1"/>
    <col min="525" max="525" width="21.140625" style="110" customWidth="1"/>
    <col min="526" max="526" width="22.140625" style="110" customWidth="1"/>
    <col min="527" max="527" width="8" style="110" customWidth="1"/>
    <col min="528" max="528" width="17" style="110" customWidth="1"/>
    <col min="529" max="529" width="12.7109375" style="110" customWidth="1"/>
    <col min="530" max="530" width="19" style="110" customWidth="1"/>
    <col min="531" max="531" width="23.5703125" style="110" customWidth="1"/>
    <col min="532" max="532" width="31.5703125" style="110" customWidth="1"/>
    <col min="533" max="533" width="19" style="110" customWidth="1"/>
    <col min="534" max="534" width="23.28515625" style="110" customWidth="1"/>
    <col min="535" max="535" width="11.7109375" style="110" customWidth="1"/>
    <col min="536" max="536" width="11.85546875" style="110" customWidth="1"/>
    <col min="537" max="537" width="5.5703125" style="110" customWidth="1"/>
    <col min="538" max="538" width="4.7109375" style="110" customWidth="1"/>
    <col min="539" max="540" width="7.28515625" style="110" customWidth="1"/>
    <col min="541" max="541" width="8.42578125" style="110" customWidth="1"/>
    <col min="542" max="542" width="9.5703125" style="110" customWidth="1"/>
    <col min="543" max="543" width="6.28515625" style="110" customWidth="1"/>
    <col min="544" max="544" width="5.85546875" style="110" customWidth="1"/>
    <col min="545" max="546" width="4.42578125" style="110" customWidth="1"/>
    <col min="547" max="547" width="5" style="110" customWidth="1"/>
    <col min="548" max="548" width="5.85546875" style="110" customWidth="1"/>
    <col min="549" max="549" width="6.140625" style="110" customWidth="1"/>
    <col min="550" max="550" width="6.28515625" style="110" customWidth="1"/>
    <col min="551" max="551" width="4.85546875" style="110" customWidth="1"/>
    <col min="552" max="552" width="8.140625" style="110" customWidth="1"/>
    <col min="553" max="553" width="11.5703125" style="110" customWidth="1"/>
    <col min="554" max="554" width="13.7109375" style="110" customWidth="1"/>
    <col min="555" max="555" width="20.85546875" style="110" customWidth="1"/>
    <col min="556" max="768" width="11.42578125" style="110"/>
    <col min="769" max="769" width="13.140625" style="110" customWidth="1"/>
    <col min="770" max="770" width="4" style="110" customWidth="1"/>
    <col min="771" max="771" width="20.7109375" style="110" customWidth="1"/>
    <col min="772" max="772" width="14.7109375" style="110" customWidth="1"/>
    <col min="773" max="773" width="10" style="110" customWidth="1"/>
    <col min="774" max="774" width="6.28515625" style="110" customWidth="1"/>
    <col min="775" max="775" width="12.28515625" style="110" customWidth="1"/>
    <col min="776" max="776" width="8.5703125" style="110" customWidth="1"/>
    <col min="777" max="777" width="13.7109375" style="110" customWidth="1"/>
    <col min="778" max="778" width="11.5703125" style="110" customWidth="1"/>
    <col min="779" max="779" width="20" style="110" customWidth="1"/>
    <col min="780" max="780" width="17.42578125" style="110" customWidth="1"/>
    <col min="781" max="781" width="21.140625" style="110" customWidth="1"/>
    <col min="782" max="782" width="22.140625" style="110" customWidth="1"/>
    <col min="783" max="783" width="8" style="110" customWidth="1"/>
    <col min="784" max="784" width="17" style="110" customWidth="1"/>
    <col min="785" max="785" width="12.7109375" style="110" customWidth="1"/>
    <col min="786" max="786" width="19" style="110" customWidth="1"/>
    <col min="787" max="787" width="23.5703125" style="110" customWidth="1"/>
    <col min="788" max="788" width="31.5703125" style="110" customWidth="1"/>
    <col min="789" max="789" width="19" style="110" customWidth="1"/>
    <col min="790" max="790" width="23.28515625" style="110" customWidth="1"/>
    <col min="791" max="791" width="11.7109375" style="110" customWidth="1"/>
    <col min="792" max="792" width="11.85546875" style="110" customWidth="1"/>
    <col min="793" max="793" width="5.5703125" style="110" customWidth="1"/>
    <col min="794" max="794" width="4.7109375" style="110" customWidth="1"/>
    <col min="795" max="796" width="7.28515625" style="110" customWidth="1"/>
    <col min="797" max="797" width="8.42578125" style="110" customWidth="1"/>
    <col min="798" max="798" width="9.5703125" style="110" customWidth="1"/>
    <col min="799" max="799" width="6.28515625" style="110" customWidth="1"/>
    <col min="800" max="800" width="5.85546875" style="110" customWidth="1"/>
    <col min="801" max="802" width="4.42578125" style="110" customWidth="1"/>
    <col min="803" max="803" width="5" style="110" customWidth="1"/>
    <col min="804" max="804" width="5.85546875" style="110" customWidth="1"/>
    <col min="805" max="805" width="6.140625" style="110" customWidth="1"/>
    <col min="806" max="806" width="6.28515625" style="110" customWidth="1"/>
    <col min="807" max="807" width="4.85546875" style="110" customWidth="1"/>
    <col min="808" max="808" width="8.140625" style="110" customWidth="1"/>
    <col min="809" max="809" width="11.5703125" style="110" customWidth="1"/>
    <col min="810" max="810" width="13.7109375" style="110" customWidth="1"/>
    <col min="811" max="811" width="20.85546875" style="110" customWidth="1"/>
    <col min="812" max="1024" width="11.42578125" style="110"/>
    <col min="1025" max="1025" width="13.140625" style="110" customWidth="1"/>
    <col min="1026" max="1026" width="4" style="110" customWidth="1"/>
    <col min="1027" max="1027" width="20.7109375" style="110" customWidth="1"/>
    <col min="1028" max="1028" width="14.7109375" style="110" customWidth="1"/>
    <col min="1029" max="1029" width="10" style="110" customWidth="1"/>
    <col min="1030" max="1030" width="6.28515625" style="110" customWidth="1"/>
    <col min="1031" max="1031" width="12.28515625" style="110" customWidth="1"/>
    <col min="1032" max="1032" width="8.5703125" style="110" customWidth="1"/>
    <col min="1033" max="1033" width="13.7109375" style="110" customWidth="1"/>
    <col min="1034" max="1034" width="11.5703125" style="110" customWidth="1"/>
    <col min="1035" max="1035" width="20" style="110" customWidth="1"/>
    <col min="1036" max="1036" width="17.42578125" style="110" customWidth="1"/>
    <col min="1037" max="1037" width="21.140625" style="110" customWidth="1"/>
    <col min="1038" max="1038" width="22.140625" style="110" customWidth="1"/>
    <col min="1039" max="1039" width="8" style="110" customWidth="1"/>
    <col min="1040" max="1040" width="17" style="110" customWidth="1"/>
    <col min="1041" max="1041" width="12.7109375" style="110" customWidth="1"/>
    <col min="1042" max="1042" width="19" style="110" customWidth="1"/>
    <col min="1043" max="1043" width="23.5703125" style="110" customWidth="1"/>
    <col min="1044" max="1044" width="31.5703125" style="110" customWidth="1"/>
    <col min="1045" max="1045" width="19" style="110" customWidth="1"/>
    <col min="1046" max="1046" width="23.28515625" style="110" customWidth="1"/>
    <col min="1047" max="1047" width="11.7109375" style="110" customWidth="1"/>
    <col min="1048" max="1048" width="11.85546875" style="110" customWidth="1"/>
    <col min="1049" max="1049" width="5.5703125" style="110" customWidth="1"/>
    <col min="1050" max="1050" width="4.7109375" style="110" customWidth="1"/>
    <col min="1051" max="1052" width="7.28515625" style="110" customWidth="1"/>
    <col min="1053" max="1053" width="8.42578125" style="110" customWidth="1"/>
    <col min="1054" max="1054" width="9.5703125" style="110" customWidth="1"/>
    <col min="1055" max="1055" width="6.28515625" style="110" customWidth="1"/>
    <col min="1056" max="1056" width="5.85546875" style="110" customWidth="1"/>
    <col min="1057" max="1058" width="4.42578125" style="110" customWidth="1"/>
    <col min="1059" max="1059" width="5" style="110" customWidth="1"/>
    <col min="1060" max="1060" width="5.85546875" style="110" customWidth="1"/>
    <col min="1061" max="1061" width="6.140625" style="110" customWidth="1"/>
    <col min="1062" max="1062" width="6.28515625" style="110" customWidth="1"/>
    <col min="1063" max="1063" width="4.85546875" style="110" customWidth="1"/>
    <col min="1064" max="1064" width="8.140625" style="110" customWidth="1"/>
    <col min="1065" max="1065" width="11.5703125" style="110" customWidth="1"/>
    <col min="1066" max="1066" width="13.7109375" style="110" customWidth="1"/>
    <col min="1067" max="1067" width="20.85546875" style="110" customWidth="1"/>
    <col min="1068" max="1280" width="11.42578125" style="110"/>
    <col min="1281" max="1281" width="13.140625" style="110" customWidth="1"/>
    <col min="1282" max="1282" width="4" style="110" customWidth="1"/>
    <col min="1283" max="1283" width="20.7109375" style="110" customWidth="1"/>
    <col min="1284" max="1284" width="14.7109375" style="110" customWidth="1"/>
    <col min="1285" max="1285" width="10" style="110" customWidth="1"/>
    <col min="1286" max="1286" width="6.28515625" style="110" customWidth="1"/>
    <col min="1287" max="1287" width="12.28515625" style="110" customWidth="1"/>
    <col min="1288" max="1288" width="8.5703125" style="110" customWidth="1"/>
    <col min="1289" max="1289" width="13.7109375" style="110" customWidth="1"/>
    <col min="1290" max="1290" width="11.5703125" style="110" customWidth="1"/>
    <col min="1291" max="1291" width="20" style="110" customWidth="1"/>
    <col min="1292" max="1292" width="17.42578125" style="110" customWidth="1"/>
    <col min="1293" max="1293" width="21.140625" style="110" customWidth="1"/>
    <col min="1294" max="1294" width="22.140625" style="110" customWidth="1"/>
    <col min="1295" max="1295" width="8" style="110" customWidth="1"/>
    <col min="1296" max="1296" width="17" style="110" customWidth="1"/>
    <col min="1297" max="1297" width="12.7109375" style="110" customWidth="1"/>
    <col min="1298" max="1298" width="19" style="110" customWidth="1"/>
    <col min="1299" max="1299" width="23.5703125" style="110" customWidth="1"/>
    <col min="1300" max="1300" width="31.5703125" style="110" customWidth="1"/>
    <col min="1301" max="1301" width="19" style="110" customWidth="1"/>
    <col min="1302" max="1302" width="23.28515625" style="110" customWidth="1"/>
    <col min="1303" max="1303" width="11.7109375" style="110" customWidth="1"/>
    <col min="1304" max="1304" width="11.85546875" style="110" customWidth="1"/>
    <col min="1305" max="1305" width="5.5703125" style="110" customWidth="1"/>
    <col min="1306" max="1306" width="4.7109375" style="110" customWidth="1"/>
    <col min="1307" max="1308" width="7.28515625" style="110" customWidth="1"/>
    <col min="1309" max="1309" width="8.42578125" style="110" customWidth="1"/>
    <col min="1310" max="1310" width="9.5703125" style="110" customWidth="1"/>
    <col min="1311" max="1311" width="6.28515625" style="110" customWidth="1"/>
    <col min="1312" max="1312" width="5.85546875" style="110" customWidth="1"/>
    <col min="1313" max="1314" width="4.42578125" style="110" customWidth="1"/>
    <col min="1315" max="1315" width="5" style="110" customWidth="1"/>
    <col min="1316" max="1316" width="5.85546875" style="110" customWidth="1"/>
    <col min="1317" max="1317" width="6.140625" style="110" customWidth="1"/>
    <col min="1318" max="1318" width="6.28515625" style="110" customWidth="1"/>
    <col min="1319" max="1319" width="4.85546875" style="110" customWidth="1"/>
    <col min="1320" max="1320" width="8.140625" style="110" customWidth="1"/>
    <col min="1321" max="1321" width="11.5703125" style="110" customWidth="1"/>
    <col min="1322" max="1322" width="13.7109375" style="110" customWidth="1"/>
    <col min="1323" max="1323" width="20.85546875" style="110" customWidth="1"/>
    <col min="1324" max="1536" width="11.42578125" style="110"/>
    <col min="1537" max="1537" width="13.140625" style="110" customWidth="1"/>
    <col min="1538" max="1538" width="4" style="110" customWidth="1"/>
    <col min="1539" max="1539" width="20.7109375" style="110" customWidth="1"/>
    <col min="1540" max="1540" width="14.7109375" style="110" customWidth="1"/>
    <col min="1541" max="1541" width="10" style="110" customWidth="1"/>
    <col min="1542" max="1542" width="6.28515625" style="110" customWidth="1"/>
    <col min="1543" max="1543" width="12.28515625" style="110" customWidth="1"/>
    <col min="1544" max="1544" width="8.5703125" style="110" customWidth="1"/>
    <col min="1545" max="1545" width="13.7109375" style="110" customWidth="1"/>
    <col min="1546" max="1546" width="11.5703125" style="110" customWidth="1"/>
    <col min="1547" max="1547" width="20" style="110" customWidth="1"/>
    <col min="1548" max="1548" width="17.42578125" style="110" customWidth="1"/>
    <col min="1549" max="1549" width="21.140625" style="110" customWidth="1"/>
    <col min="1550" max="1550" width="22.140625" style="110" customWidth="1"/>
    <col min="1551" max="1551" width="8" style="110" customWidth="1"/>
    <col min="1552" max="1552" width="17" style="110" customWidth="1"/>
    <col min="1553" max="1553" width="12.7109375" style="110" customWidth="1"/>
    <col min="1554" max="1554" width="19" style="110" customWidth="1"/>
    <col min="1555" max="1555" width="23.5703125" style="110" customWidth="1"/>
    <col min="1556" max="1556" width="31.5703125" style="110" customWidth="1"/>
    <col min="1557" max="1557" width="19" style="110" customWidth="1"/>
    <col min="1558" max="1558" width="23.28515625" style="110" customWidth="1"/>
    <col min="1559" max="1559" width="11.7109375" style="110" customWidth="1"/>
    <col min="1560" max="1560" width="11.85546875" style="110" customWidth="1"/>
    <col min="1561" max="1561" width="5.5703125" style="110" customWidth="1"/>
    <col min="1562" max="1562" width="4.7109375" style="110" customWidth="1"/>
    <col min="1563" max="1564" width="7.28515625" style="110" customWidth="1"/>
    <col min="1565" max="1565" width="8.42578125" style="110" customWidth="1"/>
    <col min="1566" max="1566" width="9.5703125" style="110" customWidth="1"/>
    <col min="1567" max="1567" width="6.28515625" style="110" customWidth="1"/>
    <col min="1568" max="1568" width="5.85546875" style="110" customWidth="1"/>
    <col min="1569" max="1570" width="4.42578125" style="110" customWidth="1"/>
    <col min="1571" max="1571" width="5" style="110" customWidth="1"/>
    <col min="1572" max="1572" width="5.85546875" style="110" customWidth="1"/>
    <col min="1573" max="1573" width="6.140625" style="110" customWidth="1"/>
    <col min="1574" max="1574" width="6.28515625" style="110" customWidth="1"/>
    <col min="1575" max="1575" width="4.85546875" style="110" customWidth="1"/>
    <col min="1576" max="1576" width="8.140625" style="110" customWidth="1"/>
    <col min="1577" max="1577" width="11.5703125" style="110" customWidth="1"/>
    <col min="1578" max="1578" width="13.7109375" style="110" customWidth="1"/>
    <col min="1579" max="1579" width="20.85546875" style="110" customWidth="1"/>
    <col min="1580" max="1792" width="11.42578125" style="110"/>
    <col min="1793" max="1793" width="13.140625" style="110" customWidth="1"/>
    <col min="1794" max="1794" width="4" style="110" customWidth="1"/>
    <col min="1795" max="1795" width="20.7109375" style="110" customWidth="1"/>
    <col min="1796" max="1796" width="14.7109375" style="110" customWidth="1"/>
    <col min="1797" max="1797" width="10" style="110" customWidth="1"/>
    <col min="1798" max="1798" width="6.28515625" style="110" customWidth="1"/>
    <col min="1799" max="1799" width="12.28515625" style="110" customWidth="1"/>
    <col min="1800" max="1800" width="8.5703125" style="110" customWidth="1"/>
    <col min="1801" max="1801" width="13.7109375" style="110" customWidth="1"/>
    <col min="1802" max="1802" width="11.5703125" style="110" customWidth="1"/>
    <col min="1803" max="1803" width="20" style="110" customWidth="1"/>
    <col min="1804" max="1804" width="17.42578125" style="110" customWidth="1"/>
    <col min="1805" max="1805" width="21.140625" style="110" customWidth="1"/>
    <col min="1806" max="1806" width="22.140625" style="110" customWidth="1"/>
    <col min="1807" max="1807" width="8" style="110" customWidth="1"/>
    <col min="1808" max="1808" width="17" style="110" customWidth="1"/>
    <col min="1809" max="1809" width="12.7109375" style="110" customWidth="1"/>
    <col min="1810" max="1810" width="19" style="110" customWidth="1"/>
    <col min="1811" max="1811" width="23.5703125" style="110" customWidth="1"/>
    <col min="1812" max="1812" width="31.5703125" style="110" customWidth="1"/>
    <col min="1813" max="1813" width="19" style="110" customWidth="1"/>
    <col min="1814" max="1814" width="23.28515625" style="110" customWidth="1"/>
    <col min="1815" max="1815" width="11.7109375" style="110" customWidth="1"/>
    <col min="1816" max="1816" width="11.85546875" style="110" customWidth="1"/>
    <col min="1817" max="1817" width="5.5703125" style="110" customWidth="1"/>
    <col min="1818" max="1818" width="4.7109375" style="110" customWidth="1"/>
    <col min="1819" max="1820" width="7.28515625" style="110" customWidth="1"/>
    <col min="1821" max="1821" width="8.42578125" style="110" customWidth="1"/>
    <col min="1822" max="1822" width="9.5703125" style="110" customWidth="1"/>
    <col min="1823" max="1823" width="6.28515625" style="110" customWidth="1"/>
    <col min="1824" max="1824" width="5.85546875" style="110" customWidth="1"/>
    <col min="1825" max="1826" width="4.42578125" style="110" customWidth="1"/>
    <col min="1827" max="1827" width="5" style="110" customWidth="1"/>
    <col min="1828" max="1828" width="5.85546875" style="110" customWidth="1"/>
    <col min="1829" max="1829" width="6.140625" style="110" customWidth="1"/>
    <col min="1830" max="1830" width="6.28515625" style="110" customWidth="1"/>
    <col min="1831" max="1831" width="4.85546875" style="110" customWidth="1"/>
    <col min="1832" max="1832" width="8.140625" style="110" customWidth="1"/>
    <col min="1833" max="1833" width="11.5703125" style="110" customWidth="1"/>
    <col min="1834" max="1834" width="13.7109375" style="110" customWidth="1"/>
    <col min="1835" max="1835" width="20.85546875" style="110" customWidth="1"/>
    <col min="1836" max="2048" width="11.42578125" style="110"/>
    <col min="2049" max="2049" width="13.140625" style="110" customWidth="1"/>
    <col min="2050" max="2050" width="4" style="110" customWidth="1"/>
    <col min="2051" max="2051" width="20.7109375" style="110" customWidth="1"/>
    <col min="2052" max="2052" width="14.7109375" style="110" customWidth="1"/>
    <col min="2053" max="2053" width="10" style="110" customWidth="1"/>
    <col min="2054" max="2054" width="6.28515625" style="110" customWidth="1"/>
    <col min="2055" max="2055" width="12.28515625" style="110" customWidth="1"/>
    <col min="2056" max="2056" width="8.5703125" style="110" customWidth="1"/>
    <col min="2057" max="2057" width="13.7109375" style="110" customWidth="1"/>
    <col min="2058" max="2058" width="11.5703125" style="110" customWidth="1"/>
    <col min="2059" max="2059" width="20" style="110" customWidth="1"/>
    <col min="2060" max="2060" width="17.42578125" style="110" customWidth="1"/>
    <col min="2061" max="2061" width="21.140625" style="110" customWidth="1"/>
    <col min="2062" max="2062" width="22.140625" style="110" customWidth="1"/>
    <col min="2063" max="2063" width="8" style="110" customWidth="1"/>
    <col min="2064" max="2064" width="17" style="110" customWidth="1"/>
    <col min="2065" max="2065" width="12.7109375" style="110" customWidth="1"/>
    <col min="2066" max="2066" width="19" style="110" customWidth="1"/>
    <col min="2067" max="2067" width="23.5703125" style="110" customWidth="1"/>
    <col min="2068" max="2068" width="31.5703125" style="110" customWidth="1"/>
    <col min="2069" max="2069" width="19" style="110" customWidth="1"/>
    <col min="2070" max="2070" width="23.28515625" style="110" customWidth="1"/>
    <col min="2071" max="2071" width="11.7109375" style="110" customWidth="1"/>
    <col min="2072" max="2072" width="11.85546875" style="110" customWidth="1"/>
    <col min="2073" max="2073" width="5.5703125" style="110" customWidth="1"/>
    <col min="2074" max="2074" width="4.7109375" style="110" customWidth="1"/>
    <col min="2075" max="2076" width="7.28515625" style="110" customWidth="1"/>
    <col min="2077" max="2077" width="8.42578125" style="110" customWidth="1"/>
    <col min="2078" max="2078" width="9.5703125" style="110" customWidth="1"/>
    <col min="2079" max="2079" width="6.28515625" style="110" customWidth="1"/>
    <col min="2080" max="2080" width="5.85546875" style="110" customWidth="1"/>
    <col min="2081" max="2082" width="4.42578125" style="110" customWidth="1"/>
    <col min="2083" max="2083" width="5" style="110" customWidth="1"/>
    <col min="2084" max="2084" width="5.85546875" style="110" customWidth="1"/>
    <col min="2085" max="2085" width="6.140625" style="110" customWidth="1"/>
    <col min="2086" max="2086" width="6.28515625" style="110" customWidth="1"/>
    <col min="2087" max="2087" width="4.85546875" style="110" customWidth="1"/>
    <col min="2088" max="2088" width="8.140625" style="110" customWidth="1"/>
    <col min="2089" max="2089" width="11.5703125" style="110" customWidth="1"/>
    <col min="2090" max="2090" width="13.7109375" style="110" customWidth="1"/>
    <col min="2091" max="2091" width="20.85546875" style="110" customWidth="1"/>
    <col min="2092" max="2304" width="11.42578125" style="110"/>
    <col min="2305" max="2305" width="13.140625" style="110" customWidth="1"/>
    <col min="2306" max="2306" width="4" style="110" customWidth="1"/>
    <col min="2307" max="2307" width="20.7109375" style="110" customWidth="1"/>
    <col min="2308" max="2308" width="14.7109375" style="110" customWidth="1"/>
    <col min="2309" max="2309" width="10" style="110" customWidth="1"/>
    <col min="2310" max="2310" width="6.28515625" style="110" customWidth="1"/>
    <col min="2311" max="2311" width="12.28515625" style="110" customWidth="1"/>
    <col min="2312" max="2312" width="8.5703125" style="110" customWidth="1"/>
    <col min="2313" max="2313" width="13.7109375" style="110" customWidth="1"/>
    <col min="2314" max="2314" width="11.5703125" style="110" customWidth="1"/>
    <col min="2315" max="2315" width="20" style="110" customWidth="1"/>
    <col min="2316" max="2316" width="17.42578125" style="110" customWidth="1"/>
    <col min="2317" max="2317" width="21.140625" style="110" customWidth="1"/>
    <col min="2318" max="2318" width="22.140625" style="110" customWidth="1"/>
    <col min="2319" max="2319" width="8" style="110" customWidth="1"/>
    <col min="2320" max="2320" width="17" style="110" customWidth="1"/>
    <col min="2321" max="2321" width="12.7109375" style="110" customWidth="1"/>
    <col min="2322" max="2322" width="19" style="110" customWidth="1"/>
    <col min="2323" max="2323" width="23.5703125" style="110" customWidth="1"/>
    <col min="2324" max="2324" width="31.5703125" style="110" customWidth="1"/>
    <col min="2325" max="2325" width="19" style="110" customWidth="1"/>
    <col min="2326" max="2326" width="23.28515625" style="110" customWidth="1"/>
    <col min="2327" max="2327" width="11.7109375" style="110" customWidth="1"/>
    <col min="2328" max="2328" width="11.85546875" style="110" customWidth="1"/>
    <col min="2329" max="2329" width="5.5703125" style="110" customWidth="1"/>
    <col min="2330" max="2330" width="4.7109375" style="110" customWidth="1"/>
    <col min="2331" max="2332" width="7.28515625" style="110" customWidth="1"/>
    <col min="2333" max="2333" width="8.42578125" style="110" customWidth="1"/>
    <col min="2334" max="2334" width="9.5703125" style="110" customWidth="1"/>
    <col min="2335" max="2335" width="6.28515625" style="110" customWidth="1"/>
    <col min="2336" max="2336" width="5.85546875" style="110" customWidth="1"/>
    <col min="2337" max="2338" width="4.42578125" style="110" customWidth="1"/>
    <col min="2339" max="2339" width="5" style="110" customWidth="1"/>
    <col min="2340" max="2340" width="5.85546875" style="110" customWidth="1"/>
    <col min="2341" max="2341" width="6.140625" style="110" customWidth="1"/>
    <col min="2342" max="2342" width="6.28515625" style="110" customWidth="1"/>
    <col min="2343" max="2343" width="4.85546875" style="110" customWidth="1"/>
    <col min="2344" max="2344" width="8.140625" style="110" customWidth="1"/>
    <col min="2345" max="2345" width="11.5703125" style="110" customWidth="1"/>
    <col min="2346" max="2346" width="13.7109375" style="110" customWidth="1"/>
    <col min="2347" max="2347" width="20.85546875" style="110" customWidth="1"/>
    <col min="2348" max="2560" width="11.42578125" style="110"/>
    <col min="2561" max="2561" width="13.140625" style="110" customWidth="1"/>
    <col min="2562" max="2562" width="4" style="110" customWidth="1"/>
    <col min="2563" max="2563" width="20.7109375" style="110" customWidth="1"/>
    <col min="2564" max="2564" width="14.7109375" style="110" customWidth="1"/>
    <col min="2565" max="2565" width="10" style="110" customWidth="1"/>
    <col min="2566" max="2566" width="6.28515625" style="110" customWidth="1"/>
    <col min="2567" max="2567" width="12.28515625" style="110" customWidth="1"/>
    <col min="2568" max="2568" width="8.5703125" style="110" customWidth="1"/>
    <col min="2569" max="2569" width="13.7109375" style="110" customWidth="1"/>
    <col min="2570" max="2570" width="11.5703125" style="110" customWidth="1"/>
    <col min="2571" max="2571" width="20" style="110" customWidth="1"/>
    <col min="2572" max="2572" width="17.42578125" style="110" customWidth="1"/>
    <col min="2573" max="2573" width="21.140625" style="110" customWidth="1"/>
    <col min="2574" max="2574" width="22.140625" style="110" customWidth="1"/>
    <col min="2575" max="2575" width="8" style="110" customWidth="1"/>
    <col min="2576" max="2576" width="17" style="110" customWidth="1"/>
    <col min="2577" max="2577" width="12.7109375" style="110" customWidth="1"/>
    <col min="2578" max="2578" width="19" style="110" customWidth="1"/>
    <col min="2579" max="2579" width="23.5703125" style="110" customWidth="1"/>
    <col min="2580" max="2580" width="31.5703125" style="110" customWidth="1"/>
    <col min="2581" max="2581" width="19" style="110" customWidth="1"/>
    <col min="2582" max="2582" width="23.28515625" style="110" customWidth="1"/>
    <col min="2583" max="2583" width="11.7109375" style="110" customWidth="1"/>
    <col min="2584" max="2584" width="11.85546875" style="110" customWidth="1"/>
    <col min="2585" max="2585" width="5.5703125" style="110" customWidth="1"/>
    <col min="2586" max="2586" width="4.7109375" style="110" customWidth="1"/>
    <col min="2587" max="2588" width="7.28515625" style="110" customWidth="1"/>
    <col min="2589" max="2589" width="8.42578125" style="110" customWidth="1"/>
    <col min="2590" max="2590" width="9.5703125" style="110" customWidth="1"/>
    <col min="2591" max="2591" width="6.28515625" style="110" customWidth="1"/>
    <col min="2592" max="2592" width="5.85546875" style="110" customWidth="1"/>
    <col min="2593" max="2594" width="4.42578125" style="110" customWidth="1"/>
    <col min="2595" max="2595" width="5" style="110" customWidth="1"/>
    <col min="2596" max="2596" width="5.85546875" style="110" customWidth="1"/>
    <col min="2597" max="2597" width="6.140625" style="110" customWidth="1"/>
    <col min="2598" max="2598" width="6.28515625" style="110" customWidth="1"/>
    <col min="2599" max="2599" width="4.85546875" style="110" customWidth="1"/>
    <col min="2600" max="2600" width="8.140625" style="110" customWidth="1"/>
    <col min="2601" max="2601" width="11.5703125" style="110" customWidth="1"/>
    <col min="2602" max="2602" width="13.7109375" style="110" customWidth="1"/>
    <col min="2603" max="2603" width="20.85546875" style="110" customWidth="1"/>
    <col min="2604" max="2816" width="11.42578125" style="110"/>
    <col min="2817" max="2817" width="13.140625" style="110" customWidth="1"/>
    <col min="2818" max="2818" width="4" style="110" customWidth="1"/>
    <col min="2819" max="2819" width="20.7109375" style="110" customWidth="1"/>
    <col min="2820" max="2820" width="14.7109375" style="110" customWidth="1"/>
    <col min="2821" max="2821" width="10" style="110" customWidth="1"/>
    <col min="2822" max="2822" width="6.28515625" style="110" customWidth="1"/>
    <col min="2823" max="2823" width="12.28515625" style="110" customWidth="1"/>
    <col min="2824" max="2824" width="8.5703125" style="110" customWidth="1"/>
    <col min="2825" max="2825" width="13.7109375" style="110" customWidth="1"/>
    <col min="2826" max="2826" width="11.5703125" style="110" customWidth="1"/>
    <col min="2827" max="2827" width="20" style="110" customWidth="1"/>
    <col min="2828" max="2828" width="17.42578125" style="110" customWidth="1"/>
    <col min="2829" max="2829" width="21.140625" style="110" customWidth="1"/>
    <col min="2830" max="2830" width="22.140625" style="110" customWidth="1"/>
    <col min="2831" max="2831" width="8" style="110" customWidth="1"/>
    <col min="2832" max="2832" width="17" style="110" customWidth="1"/>
    <col min="2833" max="2833" width="12.7109375" style="110" customWidth="1"/>
    <col min="2834" max="2834" width="19" style="110" customWidth="1"/>
    <col min="2835" max="2835" width="23.5703125" style="110" customWidth="1"/>
    <col min="2836" max="2836" width="31.5703125" style="110" customWidth="1"/>
    <col min="2837" max="2837" width="19" style="110" customWidth="1"/>
    <col min="2838" max="2838" width="23.28515625" style="110" customWidth="1"/>
    <col min="2839" max="2839" width="11.7109375" style="110" customWidth="1"/>
    <col min="2840" max="2840" width="11.85546875" style="110" customWidth="1"/>
    <col min="2841" max="2841" width="5.5703125" style="110" customWidth="1"/>
    <col min="2842" max="2842" width="4.7109375" style="110" customWidth="1"/>
    <col min="2843" max="2844" width="7.28515625" style="110" customWidth="1"/>
    <col min="2845" max="2845" width="8.42578125" style="110" customWidth="1"/>
    <col min="2846" max="2846" width="9.5703125" style="110" customWidth="1"/>
    <col min="2847" max="2847" width="6.28515625" style="110" customWidth="1"/>
    <col min="2848" max="2848" width="5.85546875" style="110" customWidth="1"/>
    <col min="2849" max="2850" width="4.42578125" style="110" customWidth="1"/>
    <col min="2851" max="2851" width="5" style="110" customWidth="1"/>
    <col min="2852" max="2852" width="5.85546875" style="110" customWidth="1"/>
    <col min="2853" max="2853" width="6.140625" style="110" customWidth="1"/>
    <col min="2854" max="2854" width="6.28515625" style="110" customWidth="1"/>
    <col min="2855" max="2855" width="4.85546875" style="110" customWidth="1"/>
    <col min="2856" max="2856" width="8.140625" style="110" customWidth="1"/>
    <col min="2857" max="2857" width="11.5703125" style="110" customWidth="1"/>
    <col min="2858" max="2858" width="13.7109375" style="110" customWidth="1"/>
    <col min="2859" max="2859" width="20.85546875" style="110" customWidth="1"/>
    <col min="2860" max="3072" width="11.42578125" style="110"/>
    <col min="3073" max="3073" width="13.140625" style="110" customWidth="1"/>
    <col min="3074" max="3074" width="4" style="110" customWidth="1"/>
    <col min="3075" max="3075" width="20.7109375" style="110" customWidth="1"/>
    <col min="3076" max="3076" width="14.7109375" style="110" customWidth="1"/>
    <col min="3077" max="3077" width="10" style="110" customWidth="1"/>
    <col min="3078" max="3078" width="6.28515625" style="110" customWidth="1"/>
    <col min="3079" max="3079" width="12.28515625" style="110" customWidth="1"/>
    <col min="3080" max="3080" width="8.5703125" style="110" customWidth="1"/>
    <col min="3081" max="3081" width="13.7109375" style="110" customWidth="1"/>
    <col min="3082" max="3082" width="11.5703125" style="110" customWidth="1"/>
    <col min="3083" max="3083" width="20" style="110" customWidth="1"/>
    <col min="3084" max="3084" width="17.42578125" style="110" customWidth="1"/>
    <col min="3085" max="3085" width="21.140625" style="110" customWidth="1"/>
    <col min="3086" max="3086" width="22.140625" style="110" customWidth="1"/>
    <col min="3087" max="3087" width="8" style="110" customWidth="1"/>
    <col min="3088" max="3088" width="17" style="110" customWidth="1"/>
    <col min="3089" max="3089" width="12.7109375" style="110" customWidth="1"/>
    <col min="3090" max="3090" width="19" style="110" customWidth="1"/>
    <col min="3091" max="3091" width="23.5703125" style="110" customWidth="1"/>
    <col min="3092" max="3092" width="31.5703125" style="110" customWidth="1"/>
    <col min="3093" max="3093" width="19" style="110" customWidth="1"/>
    <col min="3094" max="3094" width="23.28515625" style="110" customWidth="1"/>
    <col min="3095" max="3095" width="11.7109375" style="110" customWidth="1"/>
    <col min="3096" max="3096" width="11.85546875" style="110" customWidth="1"/>
    <col min="3097" max="3097" width="5.5703125" style="110" customWidth="1"/>
    <col min="3098" max="3098" width="4.7109375" style="110" customWidth="1"/>
    <col min="3099" max="3100" width="7.28515625" style="110" customWidth="1"/>
    <col min="3101" max="3101" width="8.42578125" style="110" customWidth="1"/>
    <col min="3102" max="3102" width="9.5703125" style="110" customWidth="1"/>
    <col min="3103" max="3103" width="6.28515625" style="110" customWidth="1"/>
    <col min="3104" max="3104" width="5.85546875" style="110" customWidth="1"/>
    <col min="3105" max="3106" width="4.42578125" style="110" customWidth="1"/>
    <col min="3107" max="3107" width="5" style="110" customWidth="1"/>
    <col min="3108" max="3108" width="5.85546875" style="110" customWidth="1"/>
    <col min="3109" max="3109" width="6.140625" style="110" customWidth="1"/>
    <col min="3110" max="3110" width="6.28515625" style="110" customWidth="1"/>
    <col min="3111" max="3111" width="4.85546875" style="110" customWidth="1"/>
    <col min="3112" max="3112" width="8.140625" style="110" customWidth="1"/>
    <col min="3113" max="3113" width="11.5703125" style="110" customWidth="1"/>
    <col min="3114" max="3114" width="13.7109375" style="110" customWidth="1"/>
    <col min="3115" max="3115" width="20.85546875" style="110" customWidth="1"/>
    <col min="3116" max="3328" width="11.42578125" style="110"/>
    <col min="3329" max="3329" width="13.140625" style="110" customWidth="1"/>
    <col min="3330" max="3330" width="4" style="110" customWidth="1"/>
    <col min="3331" max="3331" width="20.7109375" style="110" customWidth="1"/>
    <col min="3332" max="3332" width="14.7109375" style="110" customWidth="1"/>
    <col min="3333" max="3333" width="10" style="110" customWidth="1"/>
    <col min="3334" max="3334" width="6.28515625" style="110" customWidth="1"/>
    <col min="3335" max="3335" width="12.28515625" style="110" customWidth="1"/>
    <col min="3336" max="3336" width="8.5703125" style="110" customWidth="1"/>
    <col min="3337" max="3337" width="13.7109375" style="110" customWidth="1"/>
    <col min="3338" max="3338" width="11.5703125" style="110" customWidth="1"/>
    <col min="3339" max="3339" width="20" style="110" customWidth="1"/>
    <col min="3340" max="3340" width="17.42578125" style="110" customWidth="1"/>
    <col min="3341" max="3341" width="21.140625" style="110" customWidth="1"/>
    <col min="3342" max="3342" width="22.140625" style="110" customWidth="1"/>
    <col min="3343" max="3343" width="8" style="110" customWidth="1"/>
    <col min="3344" max="3344" width="17" style="110" customWidth="1"/>
    <col min="3345" max="3345" width="12.7109375" style="110" customWidth="1"/>
    <col min="3346" max="3346" width="19" style="110" customWidth="1"/>
    <col min="3347" max="3347" width="23.5703125" style="110" customWidth="1"/>
    <col min="3348" max="3348" width="31.5703125" style="110" customWidth="1"/>
    <col min="3349" max="3349" width="19" style="110" customWidth="1"/>
    <col min="3350" max="3350" width="23.28515625" style="110" customWidth="1"/>
    <col min="3351" max="3351" width="11.7109375" style="110" customWidth="1"/>
    <col min="3352" max="3352" width="11.85546875" style="110" customWidth="1"/>
    <col min="3353" max="3353" width="5.5703125" style="110" customWidth="1"/>
    <col min="3354" max="3354" width="4.7109375" style="110" customWidth="1"/>
    <col min="3355" max="3356" width="7.28515625" style="110" customWidth="1"/>
    <col min="3357" max="3357" width="8.42578125" style="110" customWidth="1"/>
    <col min="3358" max="3358" width="9.5703125" style="110" customWidth="1"/>
    <col min="3359" max="3359" width="6.28515625" style="110" customWidth="1"/>
    <col min="3360" max="3360" width="5.85546875" style="110" customWidth="1"/>
    <col min="3361" max="3362" width="4.42578125" style="110" customWidth="1"/>
    <col min="3363" max="3363" width="5" style="110" customWidth="1"/>
    <col min="3364" max="3364" width="5.85546875" style="110" customWidth="1"/>
    <col min="3365" max="3365" width="6.140625" style="110" customWidth="1"/>
    <col min="3366" max="3366" width="6.28515625" style="110" customWidth="1"/>
    <col min="3367" max="3367" width="4.85546875" style="110" customWidth="1"/>
    <col min="3368" max="3368" width="8.140625" style="110" customWidth="1"/>
    <col min="3369" max="3369" width="11.5703125" style="110" customWidth="1"/>
    <col min="3370" max="3370" width="13.7109375" style="110" customWidth="1"/>
    <col min="3371" max="3371" width="20.85546875" style="110" customWidth="1"/>
    <col min="3372" max="3584" width="11.42578125" style="110"/>
    <col min="3585" max="3585" width="13.140625" style="110" customWidth="1"/>
    <col min="3586" max="3586" width="4" style="110" customWidth="1"/>
    <col min="3587" max="3587" width="20.7109375" style="110" customWidth="1"/>
    <col min="3588" max="3588" width="14.7109375" style="110" customWidth="1"/>
    <col min="3589" max="3589" width="10" style="110" customWidth="1"/>
    <col min="3590" max="3590" width="6.28515625" style="110" customWidth="1"/>
    <col min="3591" max="3591" width="12.28515625" style="110" customWidth="1"/>
    <col min="3592" max="3592" width="8.5703125" style="110" customWidth="1"/>
    <col min="3593" max="3593" width="13.7109375" style="110" customWidth="1"/>
    <col min="3594" max="3594" width="11.5703125" style="110" customWidth="1"/>
    <col min="3595" max="3595" width="20" style="110" customWidth="1"/>
    <col min="3596" max="3596" width="17.42578125" style="110" customWidth="1"/>
    <col min="3597" max="3597" width="21.140625" style="110" customWidth="1"/>
    <col min="3598" max="3598" width="22.140625" style="110" customWidth="1"/>
    <col min="3599" max="3599" width="8" style="110" customWidth="1"/>
    <col min="3600" max="3600" width="17" style="110" customWidth="1"/>
    <col min="3601" max="3601" width="12.7109375" style="110" customWidth="1"/>
    <col min="3602" max="3602" width="19" style="110" customWidth="1"/>
    <col min="3603" max="3603" width="23.5703125" style="110" customWidth="1"/>
    <col min="3604" max="3604" width="31.5703125" style="110" customWidth="1"/>
    <col min="3605" max="3605" width="19" style="110" customWidth="1"/>
    <col min="3606" max="3606" width="23.28515625" style="110" customWidth="1"/>
    <col min="3607" max="3607" width="11.7109375" style="110" customWidth="1"/>
    <col min="3608" max="3608" width="11.85546875" style="110" customWidth="1"/>
    <col min="3609" max="3609" width="5.5703125" style="110" customWidth="1"/>
    <col min="3610" max="3610" width="4.7109375" style="110" customWidth="1"/>
    <col min="3611" max="3612" width="7.28515625" style="110" customWidth="1"/>
    <col min="3613" max="3613" width="8.42578125" style="110" customWidth="1"/>
    <col min="3614" max="3614" width="9.5703125" style="110" customWidth="1"/>
    <col min="3615" max="3615" width="6.28515625" style="110" customWidth="1"/>
    <col min="3616" max="3616" width="5.85546875" style="110" customWidth="1"/>
    <col min="3617" max="3618" width="4.42578125" style="110" customWidth="1"/>
    <col min="3619" max="3619" width="5" style="110" customWidth="1"/>
    <col min="3620" max="3620" width="5.85546875" style="110" customWidth="1"/>
    <col min="3621" max="3621" width="6.140625" style="110" customWidth="1"/>
    <col min="3622" max="3622" width="6.28515625" style="110" customWidth="1"/>
    <col min="3623" max="3623" width="4.85546875" style="110" customWidth="1"/>
    <col min="3624" max="3624" width="8.140625" style="110" customWidth="1"/>
    <col min="3625" max="3625" width="11.5703125" style="110" customWidth="1"/>
    <col min="3626" max="3626" width="13.7109375" style="110" customWidth="1"/>
    <col min="3627" max="3627" width="20.85546875" style="110" customWidth="1"/>
    <col min="3628" max="3840" width="11.42578125" style="110"/>
    <col min="3841" max="3841" width="13.140625" style="110" customWidth="1"/>
    <col min="3842" max="3842" width="4" style="110" customWidth="1"/>
    <col min="3843" max="3843" width="20.7109375" style="110" customWidth="1"/>
    <col min="3844" max="3844" width="14.7109375" style="110" customWidth="1"/>
    <col min="3845" max="3845" width="10" style="110" customWidth="1"/>
    <col min="3846" max="3846" width="6.28515625" style="110" customWidth="1"/>
    <col min="3847" max="3847" width="12.28515625" style="110" customWidth="1"/>
    <col min="3848" max="3848" width="8.5703125" style="110" customWidth="1"/>
    <col min="3849" max="3849" width="13.7109375" style="110" customWidth="1"/>
    <col min="3850" max="3850" width="11.5703125" style="110" customWidth="1"/>
    <col min="3851" max="3851" width="20" style="110" customWidth="1"/>
    <col min="3852" max="3852" width="17.42578125" style="110" customWidth="1"/>
    <col min="3853" max="3853" width="21.140625" style="110" customWidth="1"/>
    <col min="3854" max="3854" width="22.140625" style="110" customWidth="1"/>
    <col min="3855" max="3855" width="8" style="110" customWidth="1"/>
    <col min="3856" max="3856" width="17" style="110" customWidth="1"/>
    <col min="3857" max="3857" width="12.7109375" style="110" customWidth="1"/>
    <col min="3858" max="3858" width="19" style="110" customWidth="1"/>
    <col min="3859" max="3859" width="23.5703125" style="110" customWidth="1"/>
    <col min="3860" max="3860" width="31.5703125" style="110" customWidth="1"/>
    <col min="3861" max="3861" width="19" style="110" customWidth="1"/>
    <col min="3862" max="3862" width="23.28515625" style="110" customWidth="1"/>
    <col min="3863" max="3863" width="11.7109375" style="110" customWidth="1"/>
    <col min="3864" max="3864" width="11.85546875" style="110" customWidth="1"/>
    <col min="3865" max="3865" width="5.5703125" style="110" customWidth="1"/>
    <col min="3866" max="3866" width="4.7109375" style="110" customWidth="1"/>
    <col min="3867" max="3868" width="7.28515625" style="110" customWidth="1"/>
    <col min="3869" max="3869" width="8.42578125" style="110" customWidth="1"/>
    <col min="3870" max="3870" width="9.5703125" style="110" customWidth="1"/>
    <col min="3871" max="3871" width="6.28515625" style="110" customWidth="1"/>
    <col min="3872" max="3872" width="5.85546875" style="110" customWidth="1"/>
    <col min="3873" max="3874" width="4.42578125" style="110" customWidth="1"/>
    <col min="3875" max="3875" width="5" style="110" customWidth="1"/>
    <col min="3876" max="3876" width="5.85546875" style="110" customWidth="1"/>
    <col min="3877" max="3877" width="6.140625" style="110" customWidth="1"/>
    <col min="3878" max="3878" width="6.28515625" style="110" customWidth="1"/>
    <col min="3879" max="3879" width="4.85546875" style="110" customWidth="1"/>
    <col min="3880" max="3880" width="8.140625" style="110" customWidth="1"/>
    <col min="3881" max="3881" width="11.5703125" style="110" customWidth="1"/>
    <col min="3882" max="3882" width="13.7109375" style="110" customWidth="1"/>
    <col min="3883" max="3883" width="20.85546875" style="110" customWidth="1"/>
    <col min="3884" max="4096" width="11.42578125" style="110"/>
    <col min="4097" max="4097" width="13.140625" style="110" customWidth="1"/>
    <col min="4098" max="4098" width="4" style="110" customWidth="1"/>
    <col min="4099" max="4099" width="20.7109375" style="110" customWidth="1"/>
    <col min="4100" max="4100" width="14.7109375" style="110" customWidth="1"/>
    <col min="4101" max="4101" width="10" style="110" customWidth="1"/>
    <col min="4102" max="4102" width="6.28515625" style="110" customWidth="1"/>
    <col min="4103" max="4103" width="12.28515625" style="110" customWidth="1"/>
    <col min="4104" max="4104" width="8.5703125" style="110" customWidth="1"/>
    <col min="4105" max="4105" width="13.7109375" style="110" customWidth="1"/>
    <col min="4106" max="4106" width="11.5703125" style="110" customWidth="1"/>
    <col min="4107" max="4107" width="20" style="110" customWidth="1"/>
    <col min="4108" max="4108" width="17.42578125" style="110" customWidth="1"/>
    <col min="4109" max="4109" width="21.140625" style="110" customWidth="1"/>
    <col min="4110" max="4110" width="22.140625" style="110" customWidth="1"/>
    <col min="4111" max="4111" width="8" style="110" customWidth="1"/>
    <col min="4112" max="4112" width="17" style="110" customWidth="1"/>
    <col min="4113" max="4113" width="12.7109375" style="110" customWidth="1"/>
    <col min="4114" max="4114" width="19" style="110" customWidth="1"/>
    <col min="4115" max="4115" width="23.5703125" style="110" customWidth="1"/>
    <col min="4116" max="4116" width="31.5703125" style="110" customWidth="1"/>
    <col min="4117" max="4117" width="19" style="110" customWidth="1"/>
    <col min="4118" max="4118" width="23.28515625" style="110" customWidth="1"/>
    <col min="4119" max="4119" width="11.7109375" style="110" customWidth="1"/>
    <col min="4120" max="4120" width="11.85546875" style="110" customWidth="1"/>
    <col min="4121" max="4121" width="5.5703125" style="110" customWidth="1"/>
    <col min="4122" max="4122" width="4.7109375" style="110" customWidth="1"/>
    <col min="4123" max="4124" width="7.28515625" style="110" customWidth="1"/>
    <col min="4125" max="4125" width="8.42578125" style="110" customWidth="1"/>
    <col min="4126" max="4126" width="9.5703125" style="110" customWidth="1"/>
    <col min="4127" max="4127" width="6.28515625" style="110" customWidth="1"/>
    <col min="4128" max="4128" width="5.85546875" style="110" customWidth="1"/>
    <col min="4129" max="4130" width="4.42578125" style="110" customWidth="1"/>
    <col min="4131" max="4131" width="5" style="110" customWidth="1"/>
    <col min="4132" max="4132" width="5.85546875" style="110" customWidth="1"/>
    <col min="4133" max="4133" width="6.140625" style="110" customWidth="1"/>
    <col min="4134" max="4134" width="6.28515625" style="110" customWidth="1"/>
    <col min="4135" max="4135" width="4.85546875" style="110" customWidth="1"/>
    <col min="4136" max="4136" width="8.140625" style="110" customWidth="1"/>
    <col min="4137" max="4137" width="11.5703125" style="110" customWidth="1"/>
    <col min="4138" max="4138" width="13.7109375" style="110" customWidth="1"/>
    <col min="4139" max="4139" width="20.85546875" style="110" customWidth="1"/>
    <col min="4140" max="4352" width="11.42578125" style="110"/>
    <col min="4353" max="4353" width="13.140625" style="110" customWidth="1"/>
    <col min="4354" max="4354" width="4" style="110" customWidth="1"/>
    <col min="4355" max="4355" width="20.7109375" style="110" customWidth="1"/>
    <col min="4356" max="4356" width="14.7109375" style="110" customWidth="1"/>
    <col min="4357" max="4357" width="10" style="110" customWidth="1"/>
    <col min="4358" max="4358" width="6.28515625" style="110" customWidth="1"/>
    <col min="4359" max="4359" width="12.28515625" style="110" customWidth="1"/>
    <col min="4360" max="4360" width="8.5703125" style="110" customWidth="1"/>
    <col min="4361" max="4361" width="13.7109375" style="110" customWidth="1"/>
    <col min="4362" max="4362" width="11.5703125" style="110" customWidth="1"/>
    <col min="4363" max="4363" width="20" style="110" customWidth="1"/>
    <col min="4364" max="4364" width="17.42578125" style="110" customWidth="1"/>
    <col min="4365" max="4365" width="21.140625" style="110" customWidth="1"/>
    <col min="4366" max="4366" width="22.140625" style="110" customWidth="1"/>
    <col min="4367" max="4367" width="8" style="110" customWidth="1"/>
    <col min="4368" max="4368" width="17" style="110" customWidth="1"/>
    <col min="4369" max="4369" width="12.7109375" style="110" customWidth="1"/>
    <col min="4370" max="4370" width="19" style="110" customWidth="1"/>
    <col min="4371" max="4371" width="23.5703125" style="110" customWidth="1"/>
    <col min="4372" max="4372" width="31.5703125" style="110" customWidth="1"/>
    <col min="4373" max="4373" width="19" style="110" customWidth="1"/>
    <col min="4374" max="4374" width="23.28515625" style="110" customWidth="1"/>
    <col min="4375" max="4375" width="11.7109375" style="110" customWidth="1"/>
    <col min="4376" max="4376" width="11.85546875" style="110" customWidth="1"/>
    <col min="4377" max="4377" width="5.5703125" style="110" customWidth="1"/>
    <col min="4378" max="4378" width="4.7109375" style="110" customWidth="1"/>
    <col min="4379" max="4380" width="7.28515625" style="110" customWidth="1"/>
    <col min="4381" max="4381" width="8.42578125" style="110" customWidth="1"/>
    <col min="4382" max="4382" width="9.5703125" style="110" customWidth="1"/>
    <col min="4383" max="4383" width="6.28515625" style="110" customWidth="1"/>
    <col min="4384" max="4384" width="5.85546875" style="110" customWidth="1"/>
    <col min="4385" max="4386" width="4.42578125" style="110" customWidth="1"/>
    <col min="4387" max="4387" width="5" style="110" customWidth="1"/>
    <col min="4388" max="4388" width="5.85546875" style="110" customWidth="1"/>
    <col min="4389" max="4389" width="6.140625" style="110" customWidth="1"/>
    <col min="4390" max="4390" width="6.28515625" style="110" customWidth="1"/>
    <col min="4391" max="4391" width="4.85546875" style="110" customWidth="1"/>
    <col min="4392" max="4392" width="8.140625" style="110" customWidth="1"/>
    <col min="4393" max="4393" width="11.5703125" style="110" customWidth="1"/>
    <col min="4394" max="4394" width="13.7109375" style="110" customWidth="1"/>
    <col min="4395" max="4395" width="20.85546875" style="110" customWidth="1"/>
    <col min="4396" max="4608" width="11.42578125" style="110"/>
    <col min="4609" max="4609" width="13.140625" style="110" customWidth="1"/>
    <col min="4610" max="4610" width="4" style="110" customWidth="1"/>
    <col min="4611" max="4611" width="20.7109375" style="110" customWidth="1"/>
    <col min="4612" max="4612" width="14.7109375" style="110" customWidth="1"/>
    <col min="4613" max="4613" width="10" style="110" customWidth="1"/>
    <col min="4614" max="4614" width="6.28515625" style="110" customWidth="1"/>
    <col min="4615" max="4615" width="12.28515625" style="110" customWidth="1"/>
    <col min="4616" max="4616" width="8.5703125" style="110" customWidth="1"/>
    <col min="4617" max="4617" width="13.7109375" style="110" customWidth="1"/>
    <col min="4618" max="4618" width="11.5703125" style="110" customWidth="1"/>
    <col min="4619" max="4619" width="20" style="110" customWidth="1"/>
    <col min="4620" max="4620" width="17.42578125" style="110" customWidth="1"/>
    <col min="4621" max="4621" width="21.140625" style="110" customWidth="1"/>
    <col min="4622" max="4622" width="22.140625" style="110" customWidth="1"/>
    <col min="4623" max="4623" width="8" style="110" customWidth="1"/>
    <col min="4624" max="4624" width="17" style="110" customWidth="1"/>
    <col min="4625" max="4625" width="12.7109375" style="110" customWidth="1"/>
    <col min="4626" max="4626" width="19" style="110" customWidth="1"/>
    <col min="4627" max="4627" width="23.5703125" style="110" customWidth="1"/>
    <col min="4628" max="4628" width="31.5703125" style="110" customWidth="1"/>
    <col min="4629" max="4629" width="19" style="110" customWidth="1"/>
    <col min="4630" max="4630" width="23.28515625" style="110" customWidth="1"/>
    <col min="4631" max="4631" width="11.7109375" style="110" customWidth="1"/>
    <col min="4632" max="4632" width="11.85546875" style="110" customWidth="1"/>
    <col min="4633" max="4633" width="5.5703125" style="110" customWidth="1"/>
    <col min="4634" max="4634" width="4.7109375" style="110" customWidth="1"/>
    <col min="4635" max="4636" width="7.28515625" style="110" customWidth="1"/>
    <col min="4637" max="4637" width="8.42578125" style="110" customWidth="1"/>
    <col min="4638" max="4638" width="9.5703125" style="110" customWidth="1"/>
    <col min="4639" max="4639" width="6.28515625" style="110" customWidth="1"/>
    <col min="4640" max="4640" width="5.85546875" style="110" customWidth="1"/>
    <col min="4641" max="4642" width="4.42578125" style="110" customWidth="1"/>
    <col min="4643" max="4643" width="5" style="110" customWidth="1"/>
    <col min="4644" max="4644" width="5.85546875" style="110" customWidth="1"/>
    <col min="4645" max="4645" width="6.140625" style="110" customWidth="1"/>
    <col min="4646" max="4646" width="6.28515625" style="110" customWidth="1"/>
    <col min="4647" max="4647" width="4.85546875" style="110" customWidth="1"/>
    <col min="4648" max="4648" width="8.140625" style="110" customWidth="1"/>
    <col min="4649" max="4649" width="11.5703125" style="110" customWidth="1"/>
    <col min="4650" max="4650" width="13.7109375" style="110" customWidth="1"/>
    <col min="4651" max="4651" width="20.85546875" style="110" customWidth="1"/>
    <col min="4652" max="4864" width="11.42578125" style="110"/>
    <col min="4865" max="4865" width="13.140625" style="110" customWidth="1"/>
    <col min="4866" max="4866" width="4" style="110" customWidth="1"/>
    <col min="4867" max="4867" width="20.7109375" style="110" customWidth="1"/>
    <col min="4868" max="4868" width="14.7109375" style="110" customWidth="1"/>
    <col min="4869" max="4869" width="10" style="110" customWidth="1"/>
    <col min="4870" max="4870" width="6.28515625" style="110" customWidth="1"/>
    <col min="4871" max="4871" width="12.28515625" style="110" customWidth="1"/>
    <col min="4872" max="4872" width="8.5703125" style="110" customWidth="1"/>
    <col min="4873" max="4873" width="13.7109375" style="110" customWidth="1"/>
    <col min="4874" max="4874" width="11.5703125" style="110" customWidth="1"/>
    <col min="4875" max="4875" width="20" style="110" customWidth="1"/>
    <col min="4876" max="4876" width="17.42578125" style="110" customWidth="1"/>
    <col min="4877" max="4877" width="21.140625" style="110" customWidth="1"/>
    <col min="4878" max="4878" width="22.140625" style="110" customWidth="1"/>
    <col min="4879" max="4879" width="8" style="110" customWidth="1"/>
    <col min="4880" max="4880" width="17" style="110" customWidth="1"/>
    <col min="4881" max="4881" width="12.7109375" style="110" customWidth="1"/>
    <col min="4882" max="4882" width="19" style="110" customWidth="1"/>
    <col min="4883" max="4883" width="23.5703125" style="110" customWidth="1"/>
    <col min="4884" max="4884" width="31.5703125" style="110" customWidth="1"/>
    <col min="4885" max="4885" width="19" style="110" customWidth="1"/>
    <col min="4886" max="4886" width="23.28515625" style="110" customWidth="1"/>
    <col min="4887" max="4887" width="11.7109375" style="110" customWidth="1"/>
    <col min="4888" max="4888" width="11.85546875" style="110" customWidth="1"/>
    <col min="4889" max="4889" width="5.5703125" style="110" customWidth="1"/>
    <col min="4890" max="4890" width="4.7109375" style="110" customWidth="1"/>
    <col min="4891" max="4892" width="7.28515625" style="110" customWidth="1"/>
    <col min="4893" max="4893" width="8.42578125" style="110" customWidth="1"/>
    <col min="4894" max="4894" width="9.5703125" style="110" customWidth="1"/>
    <col min="4895" max="4895" width="6.28515625" style="110" customWidth="1"/>
    <col min="4896" max="4896" width="5.85546875" style="110" customWidth="1"/>
    <col min="4897" max="4898" width="4.42578125" style="110" customWidth="1"/>
    <col min="4899" max="4899" width="5" style="110" customWidth="1"/>
    <col min="4900" max="4900" width="5.85546875" style="110" customWidth="1"/>
    <col min="4901" max="4901" width="6.140625" style="110" customWidth="1"/>
    <col min="4902" max="4902" width="6.28515625" style="110" customWidth="1"/>
    <col min="4903" max="4903" width="4.85546875" style="110" customWidth="1"/>
    <col min="4904" max="4904" width="8.140625" style="110" customWidth="1"/>
    <col min="4905" max="4905" width="11.5703125" style="110" customWidth="1"/>
    <col min="4906" max="4906" width="13.7109375" style="110" customWidth="1"/>
    <col min="4907" max="4907" width="20.85546875" style="110" customWidth="1"/>
    <col min="4908" max="5120" width="11.42578125" style="110"/>
    <col min="5121" max="5121" width="13.140625" style="110" customWidth="1"/>
    <col min="5122" max="5122" width="4" style="110" customWidth="1"/>
    <col min="5123" max="5123" width="20.7109375" style="110" customWidth="1"/>
    <col min="5124" max="5124" width="14.7109375" style="110" customWidth="1"/>
    <col min="5125" max="5125" width="10" style="110" customWidth="1"/>
    <col min="5126" max="5126" width="6.28515625" style="110" customWidth="1"/>
    <col min="5127" max="5127" width="12.28515625" style="110" customWidth="1"/>
    <col min="5128" max="5128" width="8.5703125" style="110" customWidth="1"/>
    <col min="5129" max="5129" width="13.7109375" style="110" customWidth="1"/>
    <col min="5130" max="5130" width="11.5703125" style="110" customWidth="1"/>
    <col min="5131" max="5131" width="20" style="110" customWidth="1"/>
    <col min="5132" max="5132" width="17.42578125" style="110" customWidth="1"/>
    <col min="5133" max="5133" width="21.140625" style="110" customWidth="1"/>
    <col min="5134" max="5134" width="22.140625" style="110" customWidth="1"/>
    <col min="5135" max="5135" width="8" style="110" customWidth="1"/>
    <col min="5136" max="5136" width="17" style="110" customWidth="1"/>
    <col min="5137" max="5137" width="12.7109375" style="110" customWidth="1"/>
    <col min="5138" max="5138" width="19" style="110" customWidth="1"/>
    <col min="5139" max="5139" width="23.5703125" style="110" customWidth="1"/>
    <col min="5140" max="5140" width="31.5703125" style="110" customWidth="1"/>
    <col min="5141" max="5141" width="19" style="110" customWidth="1"/>
    <col min="5142" max="5142" width="23.28515625" style="110" customWidth="1"/>
    <col min="5143" max="5143" width="11.7109375" style="110" customWidth="1"/>
    <col min="5144" max="5144" width="11.85546875" style="110" customWidth="1"/>
    <col min="5145" max="5145" width="5.5703125" style="110" customWidth="1"/>
    <col min="5146" max="5146" width="4.7109375" style="110" customWidth="1"/>
    <col min="5147" max="5148" width="7.28515625" style="110" customWidth="1"/>
    <col min="5149" max="5149" width="8.42578125" style="110" customWidth="1"/>
    <col min="5150" max="5150" width="9.5703125" style="110" customWidth="1"/>
    <col min="5151" max="5151" width="6.28515625" style="110" customWidth="1"/>
    <col min="5152" max="5152" width="5.85546875" style="110" customWidth="1"/>
    <col min="5153" max="5154" width="4.42578125" style="110" customWidth="1"/>
    <col min="5155" max="5155" width="5" style="110" customWidth="1"/>
    <col min="5156" max="5156" width="5.85546875" style="110" customWidth="1"/>
    <col min="5157" max="5157" width="6.140625" style="110" customWidth="1"/>
    <col min="5158" max="5158" width="6.28515625" style="110" customWidth="1"/>
    <col min="5159" max="5159" width="4.85546875" style="110" customWidth="1"/>
    <col min="5160" max="5160" width="8.140625" style="110" customWidth="1"/>
    <col min="5161" max="5161" width="11.5703125" style="110" customWidth="1"/>
    <col min="5162" max="5162" width="13.7109375" style="110" customWidth="1"/>
    <col min="5163" max="5163" width="20.85546875" style="110" customWidth="1"/>
    <col min="5164" max="5376" width="11.42578125" style="110"/>
    <col min="5377" max="5377" width="13.140625" style="110" customWidth="1"/>
    <col min="5378" max="5378" width="4" style="110" customWidth="1"/>
    <col min="5379" max="5379" width="20.7109375" style="110" customWidth="1"/>
    <col min="5380" max="5380" width="14.7109375" style="110" customWidth="1"/>
    <col min="5381" max="5381" width="10" style="110" customWidth="1"/>
    <col min="5382" max="5382" width="6.28515625" style="110" customWidth="1"/>
    <col min="5383" max="5383" width="12.28515625" style="110" customWidth="1"/>
    <col min="5384" max="5384" width="8.5703125" style="110" customWidth="1"/>
    <col min="5385" max="5385" width="13.7109375" style="110" customWidth="1"/>
    <col min="5386" max="5386" width="11.5703125" style="110" customWidth="1"/>
    <col min="5387" max="5387" width="20" style="110" customWidth="1"/>
    <col min="5388" max="5388" width="17.42578125" style="110" customWidth="1"/>
    <col min="5389" max="5389" width="21.140625" style="110" customWidth="1"/>
    <col min="5390" max="5390" width="22.140625" style="110" customWidth="1"/>
    <col min="5391" max="5391" width="8" style="110" customWidth="1"/>
    <col min="5392" max="5392" width="17" style="110" customWidth="1"/>
    <col min="5393" max="5393" width="12.7109375" style="110" customWidth="1"/>
    <col min="5394" max="5394" width="19" style="110" customWidth="1"/>
    <col min="5395" max="5395" width="23.5703125" style="110" customWidth="1"/>
    <col min="5396" max="5396" width="31.5703125" style="110" customWidth="1"/>
    <col min="5397" max="5397" width="19" style="110" customWidth="1"/>
    <col min="5398" max="5398" width="23.28515625" style="110" customWidth="1"/>
    <col min="5399" max="5399" width="11.7109375" style="110" customWidth="1"/>
    <col min="5400" max="5400" width="11.85546875" style="110" customWidth="1"/>
    <col min="5401" max="5401" width="5.5703125" style="110" customWidth="1"/>
    <col min="5402" max="5402" width="4.7109375" style="110" customWidth="1"/>
    <col min="5403" max="5404" width="7.28515625" style="110" customWidth="1"/>
    <col min="5405" max="5405" width="8.42578125" style="110" customWidth="1"/>
    <col min="5406" max="5406" width="9.5703125" style="110" customWidth="1"/>
    <col min="5407" max="5407" width="6.28515625" style="110" customWidth="1"/>
    <col min="5408" max="5408" width="5.85546875" style="110" customWidth="1"/>
    <col min="5409" max="5410" width="4.42578125" style="110" customWidth="1"/>
    <col min="5411" max="5411" width="5" style="110" customWidth="1"/>
    <col min="5412" max="5412" width="5.85546875" style="110" customWidth="1"/>
    <col min="5413" max="5413" width="6.140625" style="110" customWidth="1"/>
    <col min="5414" max="5414" width="6.28515625" style="110" customWidth="1"/>
    <col min="5415" max="5415" width="4.85546875" style="110" customWidth="1"/>
    <col min="5416" max="5416" width="8.140625" style="110" customWidth="1"/>
    <col min="5417" max="5417" width="11.5703125" style="110" customWidth="1"/>
    <col min="5418" max="5418" width="13.7109375" style="110" customWidth="1"/>
    <col min="5419" max="5419" width="20.85546875" style="110" customWidth="1"/>
    <col min="5420" max="5632" width="11.42578125" style="110"/>
    <col min="5633" max="5633" width="13.140625" style="110" customWidth="1"/>
    <col min="5634" max="5634" width="4" style="110" customWidth="1"/>
    <col min="5635" max="5635" width="20.7109375" style="110" customWidth="1"/>
    <col min="5636" max="5636" width="14.7109375" style="110" customWidth="1"/>
    <col min="5637" max="5637" width="10" style="110" customWidth="1"/>
    <col min="5638" max="5638" width="6.28515625" style="110" customWidth="1"/>
    <col min="5639" max="5639" width="12.28515625" style="110" customWidth="1"/>
    <col min="5640" max="5640" width="8.5703125" style="110" customWidth="1"/>
    <col min="5641" max="5641" width="13.7109375" style="110" customWidth="1"/>
    <col min="5642" max="5642" width="11.5703125" style="110" customWidth="1"/>
    <col min="5643" max="5643" width="20" style="110" customWidth="1"/>
    <col min="5644" max="5644" width="17.42578125" style="110" customWidth="1"/>
    <col min="5645" max="5645" width="21.140625" style="110" customWidth="1"/>
    <col min="5646" max="5646" width="22.140625" style="110" customWidth="1"/>
    <col min="5647" max="5647" width="8" style="110" customWidth="1"/>
    <col min="5648" max="5648" width="17" style="110" customWidth="1"/>
    <col min="5649" max="5649" width="12.7109375" style="110" customWidth="1"/>
    <col min="5650" max="5650" width="19" style="110" customWidth="1"/>
    <col min="5651" max="5651" width="23.5703125" style="110" customWidth="1"/>
    <col min="5652" max="5652" width="31.5703125" style="110" customWidth="1"/>
    <col min="5653" max="5653" width="19" style="110" customWidth="1"/>
    <col min="5654" max="5654" width="23.28515625" style="110" customWidth="1"/>
    <col min="5655" max="5655" width="11.7109375" style="110" customWidth="1"/>
    <col min="5656" max="5656" width="11.85546875" style="110" customWidth="1"/>
    <col min="5657" max="5657" width="5.5703125" style="110" customWidth="1"/>
    <col min="5658" max="5658" width="4.7109375" style="110" customWidth="1"/>
    <col min="5659" max="5660" width="7.28515625" style="110" customWidth="1"/>
    <col min="5661" max="5661" width="8.42578125" style="110" customWidth="1"/>
    <col min="5662" max="5662" width="9.5703125" style="110" customWidth="1"/>
    <col min="5663" max="5663" width="6.28515625" style="110" customWidth="1"/>
    <col min="5664" max="5664" width="5.85546875" style="110" customWidth="1"/>
    <col min="5665" max="5666" width="4.42578125" style="110" customWidth="1"/>
    <col min="5667" max="5667" width="5" style="110" customWidth="1"/>
    <col min="5668" max="5668" width="5.85546875" style="110" customWidth="1"/>
    <col min="5669" max="5669" width="6.140625" style="110" customWidth="1"/>
    <col min="5670" max="5670" width="6.28515625" style="110" customWidth="1"/>
    <col min="5671" max="5671" width="4.85546875" style="110" customWidth="1"/>
    <col min="5672" max="5672" width="8.140625" style="110" customWidth="1"/>
    <col min="5673" max="5673" width="11.5703125" style="110" customWidth="1"/>
    <col min="5674" max="5674" width="13.7109375" style="110" customWidth="1"/>
    <col min="5675" max="5675" width="20.85546875" style="110" customWidth="1"/>
    <col min="5676" max="5888" width="11.42578125" style="110"/>
    <col min="5889" max="5889" width="13.140625" style="110" customWidth="1"/>
    <col min="5890" max="5890" width="4" style="110" customWidth="1"/>
    <col min="5891" max="5891" width="20.7109375" style="110" customWidth="1"/>
    <col min="5892" max="5892" width="14.7109375" style="110" customWidth="1"/>
    <col min="5893" max="5893" width="10" style="110" customWidth="1"/>
    <col min="5894" max="5894" width="6.28515625" style="110" customWidth="1"/>
    <col min="5895" max="5895" width="12.28515625" style="110" customWidth="1"/>
    <col min="5896" max="5896" width="8.5703125" style="110" customWidth="1"/>
    <col min="5897" max="5897" width="13.7109375" style="110" customWidth="1"/>
    <col min="5898" max="5898" width="11.5703125" style="110" customWidth="1"/>
    <col min="5899" max="5899" width="20" style="110" customWidth="1"/>
    <col min="5900" max="5900" width="17.42578125" style="110" customWidth="1"/>
    <col min="5901" max="5901" width="21.140625" style="110" customWidth="1"/>
    <col min="5902" max="5902" width="22.140625" style="110" customWidth="1"/>
    <col min="5903" max="5903" width="8" style="110" customWidth="1"/>
    <col min="5904" max="5904" width="17" style="110" customWidth="1"/>
    <col min="5905" max="5905" width="12.7109375" style="110" customWidth="1"/>
    <col min="5906" max="5906" width="19" style="110" customWidth="1"/>
    <col min="5907" max="5907" width="23.5703125" style="110" customWidth="1"/>
    <col min="5908" max="5908" width="31.5703125" style="110" customWidth="1"/>
    <col min="5909" max="5909" width="19" style="110" customWidth="1"/>
    <col min="5910" max="5910" width="23.28515625" style="110" customWidth="1"/>
    <col min="5911" max="5911" width="11.7109375" style="110" customWidth="1"/>
    <col min="5912" max="5912" width="11.85546875" style="110" customWidth="1"/>
    <col min="5913" max="5913" width="5.5703125" style="110" customWidth="1"/>
    <col min="5914" max="5914" width="4.7109375" style="110" customWidth="1"/>
    <col min="5915" max="5916" width="7.28515625" style="110" customWidth="1"/>
    <col min="5917" max="5917" width="8.42578125" style="110" customWidth="1"/>
    <col min="5918" max="5918" width="9.5703125" style="110" customWidth="1"/>
    <col min="5919" max="5919" width="6.28515625" style="110" customWidth="1"/>
    <col min="5920" max="5920" width="5.85546875" style="110" customWidth="1"/>
    <col min="5921" max="5922" width="4.42578125" style="110" customWidth="1"/>
    <col min="5923" max="5923" width="5" style="110" customWidth="1"/>
    <col min="5924" max="5924" width="5.85546875" style="110" customWidth="1"/>
    <col min="5925" max="5925" width="6.140625" style="110" customWidth="1"/>
    <col min="5926" max="5926" width="6.28515625" style="110" customWidth="1"/>
    <col min="5927" max="5927" width="4.85546875" style="110" customWidth="1"/>
    <col min="5928" max="5928" width="8.140625" style="110" customWidth="1"/>
    <col min="5929" max="5929" width="11.5703125" style="110" customWidth="1"/>
    <col min="5930" max="5930" width="13.7109375" style="110" customWidth="1"/>
    <col min="5931" max="5931" width="20.85546875" style="110" customWidth="1"/>
    <col min="5932" max="6144" width="11.42578125" style="110"/>
    <col min="6145" max="6145" width="13.140625" style="110" customWidth="1"/>
    <col min="6146" max="6146" width="4" style="110" customWidth="1"/>
    <col min="6147" max="6147" width="20.7109375" style="110" customWidth="1"/>
    <col min="6148" max="6148" width="14.7109375" style="110" customWidth="1"/>
    <col min="6149" max="6149" width="10" style="110" customWidth="1"/>
    <col min="6150" max="6150" width="6.28515625" style="110" customWidth="1"/>
    <col min="6151" max="6151" width="12.28515625" style="110" customWidth="1"/>
    <col min="6152" max="6152" width="8.5703125" style="110" customWidth="1"/>
    <col min="6153" max="6153" width="13.7109375" style="110" customWidth="1"/>
    <col min="6154" max="6154" width="11.5703125" style="110" customWidth="1"/>
    <col min="6155" max="6155" width="20" style="110" customWidth="1"/>
    <col min="6156" max="6156" width="17.42578125" style="110" customWidth="1"/>
    <col min="6157" max="6157" width="21.140625" style="110" customWidth="1"/>
    <col min="6158" max="6158" width="22.140625" style="110" customWidth="1"/>
    <col min="6159" max="6159" width="8" style="110" customWidth="1"/>
    <col min="6160" max="6160" width="17" style="110" customWidth="1"/>
    <col min="6161" max="6161" width="12.7109375" style="110" customWidth="1"/>
    <col min="6162" max="6162" width="19" style="110" customWidth="1"/>
    <col min="6163" max="6163" width="23.5703125" style="110" customWidth="1"/>
    <col min="6164" max="6164" width="31.5703125" style="110" customWidth="1"/>
    <col min="6165" max="6165" width="19" style="110" customWidth="1"/>
    <col min="6166" max="6166" width="23.28515625" style="110" customWidth="1"/>
    <col min="6167" max="6167" width="11.7109375" style="110" customWidth="1"/>
    <col min="6168" max="6168" width="11.85546875" style="110" customWidth="1"/>
    <col min="6169" max="6169" width="5.5703125" style="110" customWidth="1"/>
    <col min="6170" max="6170" width="4.7109375" style="110" customWidth="1"/>
    <col min="6171" max="6172" width="7.28515625" style="110" customWidth="1"/>
    <col min="6173" max="6173" width="8.42578125" style="110" customWidth="1"/>
    <col min="6174" max="6174" width="9.5703125" style="110" customWidth="1"/>
    <col min="6175" max="6175" width="6.28515625" style="110" customWidth="1"/>
    <col min="6176" max="6176" width="5.85546875" style="110" customWidth="1"/>
    <col min="6177" max="6178" width="4.42578125" style="110" customWidth="1"/>
    <col min="6179" max="6179" width="5" style="110" customWidth="1"/>
    <col min="6180" max="6180" width="5.85546875" style="110" customWidth="1"/>
    <col min="6181" max="6181" width="6.140625" style="110" customWidth="1"/>
    <col min="6182" max="6182" width="6.28515625" style="110" customWidth="1"/>
    <col min="6183" max="6183" width="4.85546875" style="110" customWidth="1"/>
    <col min="6184" max="6184" width="8.140625" style="110" customWidth="1"/>
    <col min="6185" max="6185" width="11.5703125" style="110" customWidth="1"/>
    <col min="6186" max="6186" width="13.7109375" style="110" customWidth="1"/>
    <col min="6187" max="6187" width="20.85546875" style="110" customWidth="1"/>
    <col min="6188" max="6400" width="11.42578125" style="110"/>
    <col min="6401" max="6401" width="13.140625" style="110" customWidth="1"/>
    <col min="6402" max="6402" width="4" style="110" customWidth="1"/>
    <col min="6403" max="6403" width="20.7109375" style="110" customWidth="1"/>
    <col min="6404" max="6404" width="14.7109375" style="110" customWidth="1"/>
    <col min="6405" max="6405" width="10" style="110" customWidth="1"/>
    <col min="6406" max="6406" width="6.28515625" style="110" customWidth="1"/>
    <col min="6407" max="6407" width="12.28515625" style="110" customWidth="1"/>
    <col min="6408" max="6408" width="8.5703125" style="110" customWidth="1"/>
    <col min="6409" max="6409" width="13.7109375" style="110" customWidth="1"/>
    <col min="6410" max="6410" width="11.5703125" style="110" customWidth="1"/>
    <col min="6411" max="6411" width="20" style="110" customWidth="1"/>
    <col min="6412" max="6412" width="17.42578125" style="110" customWidth="1"/>
    <col min="6413" max="6413" width="21.140625" style="110" customWidth="1"/>
    <col min="6414" max="6414" width="22.140625" style="110" customWidth="1"/>
    <col min="6415" max="6415" width="8" style="110" customWidth="1"/>
    <col min="6416" max="6416" width="17" style="110" customWidth="1"/>
    <col min="6417" max="6417" width="12.7109375" style="110" customWidth="1"/>
    <col min="6418" max="6418" width="19" style="110" customWidth="1"/>
    <col min="6419" max="6419" width="23.5703125" style="110" customWidth="1"/>
    <col min="6420" max="6420" width="31.5703125" style="110" customWidth="1"/>
    <col min="6421" max="6421" width="19" style="110" customWidth="1"/>
    <col min="6422" max="6422" width="23.28515625" style="110" customWidth="1"/>
    <col min="6423" max="6423" width="11.7109375" style="110" customWidth="1"/>
    <col min="6424" max="6424" width="11.85546875" style="110" customWidth="1"/>
    <col min="6425" max="6425" width="5.5703125" style="110" customWidth="1"/>
    <col min="6426" max="6426" width="4.7109375" style="110" customWidth="1"/>
    <col min="6427" max="6428" width="7.28515625" style="110" customWidth="1"/>
    <col min="6429" max="6429" width="8.42578125" style="110" customWidth="1"/>
    <col min="6430" max="6430" width="9.5703125" style="110" customWidth="1"/>
    <col min="6431" max="6431" width="6.28515625" style="110" customWidth="1"/>
    <col min="6432" max="6432" width="5.85546875" style="110" customWidth="1"/>
    <col min="6433" max="6434" width="4.42578125" style="110" customWidth="1"/>
    <col min="6435" max="6435" width="5" style="110" customWidth="1"/>
    <col min="6436" max="6436" width="5.85546875" style="110" customWidth="1"/>
    <col min="6437" max="6437" width="6.140625" style="110" customWidth="1"/>
    <col min="6438" max="6438" width="6.28515625" style="110" customWidth="1"/>
    <col min="6439" max="6439" width="4.85546875" style="110" customWidth="1"/>
    <col min="6440" max="6440" width="8.140625" style="110" customWidth="1"/>
    <col min="6441" max="6441" width="11.5703125" style="110" customWidth="1"/>
    <col min="6442" max="6442" width="13.7109375" style="110" customWidth="1"/>
    <col min="6443" max="6443" width="20.85546875" style="110" customWidth="1"/>
    <col min="6444" max="6656" width="11.42578125" style="110"/>
    <col min="6657" max="6657" width="13.140625" style="110" customWidth="1"/>
    <col min="6658" max="6658" width="4" style="110" customWidth="1"/>
    <col min="6659" max="6659" width="20.7109375" style="110" customWidth="1"/>
    <col min="6660" max="6660" width="14.7109375" style="110" customWidth="1"/>
    <col min="6661" max="6661" width="10" style="110" customWidth="1"/>
    <col min="6662" max="6662" width="6.28515625" style="110" customWidth="1"/>
    <col min="6663" max="6663" width="12.28515625" style="110" customWidth="1"/>
    <col min="6664" max="6664" width="8.5703125" style="110" customWidth="1"/>
    <col min="6665" max="6665" width="13.7109375" style="110" customWidth="1"/>
    <col min="6666" max="6666" width="11.5703125" style="110" customWidth="1"/>
    <col min="6667" max="6667" width="20" style="110" customWidth="1"/>
    <col min="6668" max="6668" width="17.42578125" style="110" customWidth="1"/>
    <col min="6669" max="6669" width="21.140625" style="110" customWidth="1"/>
    <col min="6670" max="6670" width="22.140625" style="110" customWidth="1"/>
    <col min="6671" max="6671" width="8" style="110" customWidth="1"/>
    <col min="6672" max="6672" width="17" style="110" customWidth="1"/>
    <col min="6673" max="6673" width="12.7109375" style="110" customWidth="1"/>
    <col min="6674" max="6674" width="19" style="110" customWidth="1"/>
    <col min="6675" max="6675" width="23.5703125" style="110" customWidth="1"/>
    <col min="6676" max="6676" width="31.5703125" style="110" customWidth="1"/>
    <col min="6677" max="6677" width="19" style="110" customWidth="1"/>
    <col min="6678" max="6678" width="23.28515625" style="110" customWidth="1"/>
    <col min="6679" max="6679" width="11.7109375" style="110" customWidth="1"/>
    <col min="6680" max="6680" width="11.85546875" style="110" customWidth="1"/>
    <col min="6681" max="6681" width="5.5703125" style="110" customWidth="1"/>
    <col min="6682" max="6682" width="4.7109375" style="110" customWidth="1"/>
    <col min="6683" max="6684" width="7.28515625" style="110" customWidth="1"/>
    <col min="6685" max="6685" width="8.42578125" style="110" customWidth="1"/>
    <col min="6686" max="6686" width="9.5703125" style="110" customWidth="1"/>
    <col min="6687" max="6687" width="6.28515625" style="110" customWidth="1"/>
    <col min="6688" max="6688" width="5.85546875" style="110" customWidth="1"/>
    <col min="6689" max="6690" width="4.42578125" style="110" customWidth="1"/>
    <col min="6691" max="6691" width="5" style="110" customWidth="1"/>
    <col min="6692" max="6692" width="5.85546875" style="110" customWidth="1"/>
    <col min="6693" max="6693" width="6.140625" style="110" customWidth="1"/>
    <col min="6694" max="6694" width="6.28515625" style="110" customWidth="1"/>
    <col min="6695" max="6695" width="4.85546875" style="110" customWidth="1"/>
    <col min="6696" max="6696" width="8.140625" style="110" customWidth="1"/>
    <col min="6697" max="6697" width="11.5703125" style="110" customWidth="1"/>
    <col min="6698" max="6698" width="13.7109375" style="110" customWidth="1"/>
    <col min="6699" max="6699" width="20.85546875" style="110" customWidth="1"/>
    <col min="6700" max="6912" width="11.42578125" style="110"/>
    <col min="6913" max="6913" width="13.140625" style="110" customWidth="1"/>
    <col min="6914" max="6914" width="4" style="110" customWidth="1"/>
    <col min="6915" max="6915" width="20.7109375" style="110" customWidth="1"/>
    <col min="6916" max="6916" width="14.7109375" style="110" customWidth="1"/>
    <col min="6917" max="6917" width="10" style="110" customWidth="1"/>
    <col min="6918" max="6918" width="6.28515625" style="110" customWidth="1"/>
    <col min="6919" max="6919" width="12.28515625" style="110" customWidth="1"/>
    <col min="6920" max="6920" width="8.5703125" style="110" customWidth="1"/>
    <col min="6921" max="6921" width="13.7109375" style="110" customWidth="1"/>
    <col min="6922" max="6922" width="11.5703125" style="110" customWidth="1"/>
    <col min="6923" max="6923" width="20" style="110" customWidth="1"/>
    <col min="6924" max="6924" width="17.42578125" style="110" customWidth="1"/>
    <col min="6925" max="6925" width="21.140625" style="110" customWidth="1"/>
    <col min="6926" max="6926" width="22.140625" style="110" customWidth="1"/>
    <col min="6927" max="6927" width="8" style="110" customWidth="1"/>
    <col min="6928" max="6928" width="17" style="110" customWidth="1"/>
    <col min="6929" max="6929" width="12.7109375" style="110" customWidth="1"/>
    <col min="6930" max="6930" width="19" style="110" customWidth="1"/>
    <col min="6931" max="6931" width="23.5703125" style="110" customWidth="1"/>
    <col min="6932" max="6932" width="31.5703125" style="110" customWidth="1"/>
    <col min="6933" max="6933" width="19" style="110" customWidth="1"/>
    <col min="6934" max="6934" width="23.28515625" style="110" customWidth="1"/>
    <col min="6935" max="6935" width="11.7109375" style="110" customWidth="1"/>
    <col min="6936" max="6936" width="11.85546875" style="110" customWidth="1"/>
    <col min="6937" max="6937" width="5.5703125" style="110" customWidth="1"/>
    <col min="6938" max="6938" width="4.7109375" style="110" customWidth="1"/>
    <col min="6939" max="6940" width="7.28515625" style="110" customWidth="1"/>
    <col min="6941" max="6941" width="8.42578125" style="110" customWidth="1"/>
    <col min="6942" max="6942" width="9.5703125" style="110" customWidth="1"/>
    <col min="6943" max="6943" width="6.28515625" style="110" customWidth="1"/>
    <col min="6944" max="6944" width="5.85546875" style="110" customWidth="1"/>
    <col min="6945" max="6946" width="4.42578125" style="110" customWidth="1"/>
    <col min="6947" max="6947" width="5" style="110" customWidth="1"/>
    <col min="6948" max="6948" width="5.85546875" style="110" customWidth="1"/>
    <col min="6949" max="6949" width="6.140625" style="110" customWidth="1"/>
    <col min="6950" max="6950" width="6.28515625" style="110" customWidth="1"/>
    <col min="6951" max="6951" width="4.85546875" style="110" customWidth="1"/>
    <col min="6952" max="6952" width="8.140625" style="110" customWidth="1"/>
    <col min="6953" max="6953" width="11.5703125" style="110" customWidth="1"/>
    <col min="6954" max="6954" width="13.7109375" style="110" customWidth="1"/>
    <col min="6955" max="6955" width="20.85546875" style="110" customWidth="1"/>
    <col min="6956" max="7168" width="11.42578125" style="110"/>
    <col min="7169" max="7169" width="13.140625" style="110" customWidth="1"/>
    <col min="7170" max="7170" width="4" style="110" customWidth="1"/>
    <col min="7171" max="7171" width="20.7109375" style="110" customWidth="1"/>
    <col min="7172" max="7172" width="14.7109375" style="110" customWidth="1"/>
    <col min="7173" max="7173" width="10" style="110" customWidth="1"/>
    <col min="7174" max="7174" width="6.28515625" style="110" customWidth="1"/>
    <col min="7175" max="7175" width="12.28515625" style="110" customWidth="1"/>
    <col min="7176" max="7176" width="8.5703125" style="110" customWidth="1"/>
    <col min="7177" max="7177" width="13.7109375" style="110" customWidth="1"/>
    <col min="7178" max="7178" width="11.5703125" style="110" customWidth="1"/>
    <col min="7179" max="7179" width="20" style="110" customWidth="1"/>
    <col min="7180" max="7180" width="17.42578125" style="110" customWidth="1"/>
    <col min="7181" max="7181" width="21.140625" style="110" customWidth="1"/>
    <col min="7182" max="7182" width="22.140625" style="110" customWidth="1"/>
    <col min="7183" max="7183" width="8" style="110" customWidth="1"/>
    <col min="7184" max="7184" width="17" style="110" customWidth="1"/>
    <col min="7185" max="7185" width="12.7109375" style="110" customWidth="1"/>
    <col min="7186" max="7186" width="19" style="110" customWidth="1"/>
    <col min="7187" max="7187" width="23.5703125" style="110" customWidth="1"/>
    <col min="7188" max="7188" width="31.5703125" style="110" customWidth="1"/>
    <col min="7189" max="7189" width="19" style="110" customWidth="1"/>
    <col min="7190" max="7190" width="23.28515625" style="110" customWidth="1"/>
    <col min="7191" max="7191" width="11.7109375" style="110" customWidth="1"/>
    <col min="7192" max="7192" width="11.85546875" style="110" customWidth="1"/>
    <col min="7193" max="7193" width="5.5703125" style="110" customWidth="1"/>
    <col min="7194" max="7194" width="4.7109375" style="110" customWidth="1"/>
    <col min="7195" max="7196" width="7.28515625" style="110" customWidth="1"/>
    <col min="7197" max="7197" width="8.42578125" style="110" customWidth="1"/>
    <col min="7198" max="7198" width="9.5703125" style="110" customWidth="1"/>
    <col min="7199" max="7199" width="6.28515625" style="110" customWidth="1"/>
    <col min="7200" max="7200" width="5.85546875" style="110" customWidth="1"/>
    <col min="7201" max="7202" width="4.42578125" style="110" customWidth="1"/>
    <col min="7203" max="7203" width="5" style="110" customWidth="1"/>
    <col min="7204" max="7204" width="5.85546875" style="110" customWidth="1"/>
    <col min="7205" max="7205" width="6.140625" style="110" customWidth="1"/>
    <col min="7206" max="7206" width="6.28515625" style="110" customWidth="1"/>
    <col min="7207" max="7207" width="4.85546875" style="110" customWidth="1"/>
    <col min="7208" max="7208" width="8.140625" style="110" customWidth="1"/>
    <col min="7209" max="7209" width="11.5703125" style="110" customWidth="1"/>
    <col min="7210" max="7210" width="13.7109375" style="110" customWidth="1"/>
    <col min="7211" max="7211" width="20.85546875" style="110" customWidth="1"/>
    <col min="7212" max="7424" width="11.42578125" style="110"/>
    <col min="7425" max="7425" width="13.140625" style="110" customWidth="1"/>
    <col min="7426" max="7426" width="4" style="110" customWidth="1"/>
    <col min="7427" max="7427" width="20.7109375" style="110" customWidth="1"/>
    <col min="7428" max="7428" width="14.7109375" style="110" customWidth="1"/>
    <col min="7429" max="7429" width="10" style="110" customWidth="1"/>
    <col min="7430" max="7430" width="6.28515625" style="110" customWidth="1"/>
    <col min="7431" max="7431" width="12.28515625" style="110" customWidth="1"/>
    <col min="7432" max="7432" width="8.5703125" style="110" customWidth="1"/>
    <col min="7433" max="7433" width="13.7109375" style="110" customWidth="1"/>
    <col min="7434" max="7434" width="11.5703125" style="110" customWidth="1"/>
    <col min="7435" max="7435" width="20" style="110" customWidth="1"/>
    <col min="7436" max="7436" width="17.42578125" style="110" customWidth="1"/>
    <col min="7437" max="7437" width="21.140625" style="110" customWidth="1"/>
    <col min="7438" max="7438" width="22.140625" style="110" customWidth="1"/>
    <col min="7439" max="7439" width="8" style="110" customWidth="1"/>
    <col min="7440" max="7440" width="17" style="110" customWidth="1"/>
    <col min="7441" max="7441" width="12.7109375" style="110" customWidth="1"/>
    <col min="7442" max="7442" width="19" style="110" customWidth="1"/>
    <col min="7443" max="7443" width="23.5703125" style="110" customWidth="1"/>
    <col min="7444" max="7444" width="31.5703125" style="110" customWidth="1"/>
    <col min="7445" max="7445" width="19" style="110" customWidth="1"/>
    <col min="7446" max="7446" width="23.28515625" style="110" customWidth="1"/>
    <col min="7447" max="7447" width="11.7109375" style="110" customWidth="1"/>
    <col min="7448" max="7448" width="11.85546875" style="110" customWidth="1"/>
    <col min="7449" max="7449" width="5.5703125" style="110" customWidth="1"/>
    <col min="7450" max="7450" width="4.7109375" style="110" customWidth="1"/>
    <col min="7451" max="7452" width="7.28515625" style="110" customWidth="1"/>
    <col min="7453" max="7453" width="8.42578125" style="110" customWidth="1"/>
    <col min="7454" max="7454" width="9.5703125" style="110" customWidth="1"/>
    <col min="7455" max="7455" width="6.28515625" style="110" customWidth="1"/>
    <col min="7456" max="7456" width="5.85546875" style="110" customWidth="1"/>
    <col min="7457" max="7458" width="4.42578125" style="110" customWidth="1"/>
    <col min="7459" max="7459" width="5" style="110" customWidth="1"/>
    <col min="7460" max="7460" width="5.85546875" style="110" customWidth="1"/>
    <col min="7461" max="7461" width="6.140625" style="110" customWidth="1"/>
    <col min="7462" max="7462" width="6.28515625" style="110" customWidth="1"/>
    <col min="7463" max="7463" width="4.85546875" style="110" customWidth="1"/>
    <col min="7464" max="7464" width="8.140625" style="110" customWidth="1"/>
    <col min="7465" max="7465" width="11.5703125" style="110" customWidth="1"/>
    <col min="7466" max="7466" width="13.7109375" style="110" customWidth="1"/>
    <col min="7467" max="7467" width="20.85546875" style="110" customWidth="1"/>
    <col min="7468" max="7680" width="11.42578125" style="110"/>
    <col min="7681" max="7681" width="13.140625" style="110" customWidth="1"/>
    <col min="7682" max="7682" width="4" style="110" customWidth="1"/>
    <col min="7683" max="7683" width="20.7109375" style="110" customWidth="1"/>
    <col min="7684" max="7684" width="14.7109375" style="110" customWidth="1"/>
    <col min="7685" max="7685" width="10" style="110" customWidth="1"/>
    <col min="7686" max="7686" width="6.28515625" style="110" customWidth="1"/>
    <col min="7687" max="7687" width="12.28515625" style="110" customWidth="1"/>
    <col min="7688" max="7688" width="8.5703125" style="110" customWidth="1"/>
    <col min="7689" max="7689" width="13.7109375" style="110" customWidth="1"/>
    <col min="7690" max="7690" width="11.5703125" style="110" customWidth="1"/>
    <col min="7691" max="7691" width="20" style="110" customWidth="1"/>
    <col min="7692" max="7692" width="17.42578125" style="110" customWidth="1"/>
    <col min="7693" max="7693" width="21.140625" style="110" customWidth="1"/>
    <col min="7694" max="7694" width="22.140625" style="110" customWidth="1"/>
    <col min="7695" max="7695" width="8" style="110" customWidth="1"/>
    <col min="7696" max="7696" width="17" style="110" customWidth="1"/>
    <col min="7697" max="7697" width="12.7109375" style="110" customWidth="1"/>
    <col min="7698" max="7698" width="19" style="110" customWidth="1"/>
    <col min="7699" max="7699" width="23.5703125" style="110" customWidth="1"/>
    <col min="7700" max="7700" width="31.5703125" style="110" customWidth="1"/>
    <col min="7701" max="7701" width="19" style="110" customWidth="1"/>
    <col min="7702" max="7702" width="23.28515625" style="110" customWidth="1"/>
    <col min="7703" max="7703" width="11.7109375" style="110" customWidth="1"/>
    <col min="7704" max="7704" width="11.85546875" style="110" customWidth="1"/>
    <col min="7705" max="7705" width="5.5703125" style="110" customWidth="1"/>
    <col min="7706" max="7706" width="4.7109375" style="110" customWidth="1"/>
    <col min="7707" max="7708" width="7.28515625" style="110" customWidth="1"/>
    <col min="7709" max="7709" width="8.42578125" style="110" customWidth="1"/>
    <col min="7710" max="7710" width="9.5703125" style="110" customWidth="1"/>
    <col min="7711" max="7711" width="6.28515625" style="110" customWidth="1"/>
    <col min="7712" max="7712" width="5.85546875" style="110" customWidth="1"/>
    <col min="7713" max="7714" width="4.42578125" style="110" customWidth="1"/>
    <col min="7715" max="7715" width="5" style="110" customWidth="1"/>
    <col min="7716" max="7716" width="5.85546875" style="110" customWidth="1"/>
    <col min="7717" max="7717" width="6.140625" style="110" customWidth="1"/>
    <col min="7718" max="7718" width="6.28515625" style="110" customWidth="1"/>
    <col min="7719" max="7719" width="4.85546875" style="110" customWidth="1"/>
    <col min="7720" max="7720" width="8.140625" style="110" customWidth="1"/>
    <col min="7721" max="7721" width="11.5703125" style="110" customWidth="1"/>
    <col min="7722" max="7722" width="13.7109375" style="110" customWidth="1"/>
    <col min="7723" max="7723" width="20.85546875" style="110" customWidth="1"/>
    <col min="7724" max="7936" width="11.42578125" style="110"/>
    <col min="7937" max="7937" width="13.140625" style="110" customWidth="1"/>
    <col min="7938" max="7938" width="4" style="110" customWidth="1"/>
    <col min="7939" max="7939" width="20.7109375" style="110" customWidth="1"/>
    <col min="7940" max="7940" width="14.7109375" style="110" customWidth="1"/>
    <col min="7941" max="7941" width="10" style="110" customWidth="1"/>
    <col min="7942" max="7942" width="6.28515625" style="110" customWidth="1"/>
    <col min="7943" max="7943" width="12.28515625" style="110" customWidth="1"/>
    <col min="7944" max="7944" width="8.5703125" style="110" customWidth="1"/>
    <col min="7945" max="7945" width="13.7109375" style="110" customWidth="1"/>
    <col min="7946" max="7946" width="11.5703125" style="110" customWidth="1"/>
    <col min="7947" max="7947" width="20" style="110" customWidth="1"/>
    <col min="7948" max="7948" width="17.42578125" style="110" customWidth="1"/>
    <col min="7949" max="7949" width="21.140625" style="110" customWidth="1"/>
    <col min="7950" max="7950" width="22.140625" style="110" customWidth="1"/>
    <col min="7951" max="7951" width="8" style="110" customWidth="1"/>
    <col min="7952" max="7952" width="17" style="110" customWidth="1"/>
    <col min="7953" max="7953" width="12.7109375" style="110" customWidth="1"/>
    <col min="7954" max="7954" width="19" style="110" customWidth="1"/>
    <col min="7955" max="7955" width="23.5703125" style="110" customWidth="1"/>
    <col min="7956" max="7956" width="31.5703125" style="110" customWidth="1"/>
    <col min="7957" max="7957" width="19" style="110" customWidth="1"/>
    <col min="7958" max="7958" width="23.28515625" style="110" customWidth="1"/>
    <col min="7959" max="7959" width="11.7109375" style="110" customWidth="1"/>
    <col min="7960" max="7960" width="11.85546875" style="110" customWidth="1"/>
    <col min="7961" max="7961" width="5.5703125" style="110" customWidth="1"/>
    <col min="7962" max="7962" width="4.7109375" style="110" customWidth="1"/>
    <col min="7963" max="7964" width="7.28515625" style="110" customWidth="1"/>
    <col min="7965" max="7965" width="8.42578125" style="110" customWidth="1"/>
    <col min="7966" max="7966" width="9.5703125" style="110" customWidth="1"/>
    <col min="7967" max="7967" width="6.28515625" style="110" customWidth="1"/>
    <col min="7968" max="7968" width="5.85546875" style="110" customWidth="1"/>
    <col min="7969" max="7970" width="4.42578125" style="110" customWidth="1"/>
    <col min="7971" max="7971" width="5" style="110" customWidth="1"/>
    <col min="7972" max="7972" width="5.85546875" style="110" customWidth="1"/>
    <col min="7973" max="7973" width="6.140625" style="110" customWidth="1"/>
    <col min="7974" max="7974" width="6.28515625" style="110" customWidth="1"/>
    <col min="7975" max="7975" width="4.85546875" style="110" customWidth="1"/>
    <col min="7976" max="7976" width="8.140625" style="110" customWidth="1"/>
    <col min="7977" max="7977" width="11.5703125" style="110" customWidth="1"/>
    <col min="7978" max="7978" width="13.7109375" style="110" customWidth="1"/>
    <col min="7979" max="7979" width="20.85546875" style="110" customWidth="1"/>
    <col min="7980" max="8192" width="11.42578125" style="110"/>
    <col min="8193" max="8193" width="13.140625" style="110" customWidth="1"/>
    <col min="8194" max="8194" width="4" style="110" customWidth="1"/>
    <col min="8195" max="8195" width="20.7109375" style="110" customWidth="1"/>
    <col min="8196" max="8196" width="14.7109375" style="110" customWidth="1"/>
    <col min="8197" max="8197" width="10" style="110" customWidth="1"/>
    <col min="8198" max="8198" width="6.28515625" style="110" customWidth="1"/>
    <col min="8199" max="8199" width="12.28515625" style="110" customWidth="1"/>
    <col min="8200" max="8200" width="8.5703125" style="110" customWidth="1"/>
    <col min="8201" max="8201" width="13.7109375" style="110" customWidth="1"/>
    <col min="8202" max="8202" width="11.5703125" style="110" customWidth="1"/>
    <col min="8203" max="8203" width="20" style="110" customWidth="1"/>
    <col min="8204" max="8204" width="17.42578125" style="110" customWidth="1"/>
    <col min="8205" max="8205" width="21.140625" style="110" customWidth="1"/>
    <col min="8206" max="8206" width="22.140625" style="110" customWidth="1"/>
    <col min="8207" max="8207" width="8" style="110" customWidth="1"/>
    <col min="8208" max="8208" width="17" style="110" customWidth="1"/>
    <col min="8209" max="8209" width="12.7109375" style="110" customWidth="1"/>
    <col min="8210" max="8210" width="19" style="110" customWidth="1"/>
    <col min="8211" max="8211" width="23.5703125" style="110" customWidth="1"/>
    <col min="8212" max="8212" width="31.5703125" style="110" customWidth="1"/>
    <col min="8213" max="8213" width="19" style="110" customWidth="1"/>
    <col min="8214" max="8214" width="23.28515625" style="110" customWidth="1"/>
    <col min="8215" max="8215" width="11.7109375" style="110" customWidth="1"/>
    <col min="8216" max="8216" width="11.85546875" style="110" customWidth="1"/>
    <col min="8217" max="8217" width="5.5703125" style="110" customWidth="1"/>
    <col min="8218" max="8218" width="4.7109375" style="110" customWidth="1"/>
    <col min="8219" max="8220" width="7.28515625" style="110" customWidth="1"/>
    <col min="8221" max="8221" width="8.42578125" style="110" customWidth="1"/>
    <col min="8222" max="8222" width="9.5703125" style="110" customWidth="1"/>
    <col min="8223" max="8223" width="6.28515625" style="110" customWidth="1"/>
    <col min="8224" max="8224" width="5.85546875" style="110" customWidth="1"/>
    <col min="8225" max="8226" width="4.42578125" style="110" customWidth="1"/>
    <col min="8227" max="8227" width="5" style="110" customWidth="1"/>
    <col min="8228" max="8228" width="5.85546875" style="110" customWidth="1"/>
    <col min="8229" max="8229" width="6.140625" style="110" customWidth="1"/>
    <col min="8230" max="8230" width="6.28515625" style="110" customWidth="1"/>
    <col min="8231" max="8231" width="4.85546875" style="110" customWidth="1"/>
    <col min="8232" max="8232" width="8.140625" style="110" customWidth="1"/>
    <col min="8233" max="8233" width="11.5703125" style="110" customWidth="1"/>
    <col min="8234" max="8234" width="13.7109375" style="110" customWidth="1"/>
    <col min="8235" max="8235" width="20.85546875" style="110" customWidth="1"/>
    <col min="8236" max="8448" width="11.42578125" style="110"/>
    <col min="8449" max="8449" width="13.140625" style="110" customWidth="1"/>
    <col min="8450" max="8450" width="4" style="110" customWidth="1"/>
    <col min="8451" max="8451" width="20.7109375" style="110" customWidth="1"/>
    <col min="8452" max="8452" width="14.7109375" style="110" customWidth="1"/>
    <col min="8453" max="8453" width="10" style="110" customWidth="1"/>
    <col min="8454" max="8454" width="6.28515625" style="110" customWidth="1"/>
    <col min="8455" max="8455" width="12.28515625" style="110" customWidth="1"/>
    <col min="8456" max="8456" width="8.5703125" style="110" customWidth="1"/>
    <col min="8457" max="8457" width="13.7109375" style="110" customWidth="1"/>
    <col min="8458" max="8458" width="11.5703125" style="110" customWidth="1"/>
    <col min="8459" max="8459" width="20" style="110" customWidth="1"/>
    <col min="8460" max="8460" width="17.42578125" style="110" customWidth="1"/>
    <col min="8461" max="8461" width="21.140625" style="110" customWidth="1"/>
    <col min="8462" max="8462" width="22.140625" style="110" customWidth="1"/>
    <col min="8463" max="8463" width="8" style="110" customWidth="1"/>
    <col min="8464" max="8464" width="17" style="110" customWidth="1"/>
    <col min="8465" max="8465" width="12.7109375" style="110" customWidth="1"/>
    <col min="8466" max="8466" width="19" style="110" customWidth="1"/>
    <col min="8467" max="8467" width="23.5703125" style="110" customWidth="1"/>
    <col min="8468" max="8468" width="31.5703125" style="110" customWidth="1"/>
    <col min="8469" max="8469" width="19" style="110" customWidth="1"/>
    <col min="8470" max="8470" width="23.28515625" style="110" customWidth="1"/>
    <col min="8471" max="8471" width="11.7109375" style="110" customWidth="1"/>
    <col min="8472" max="8472" width="11.85546875" style="110" customWidth="1"/>
    <col min="8473" max="8473" width="5.5703125" style="110" customWidth="1"/>
    <col min="8474" max="8474" width="4.7109375" style="110" customWidth="1"/>
    <col min="8475" max="8476" width="7.28515625" style="110" customWidth="1"/>
    <col min="8477" max="8477" width="8.42578125" style="110" customWidth="1"/>
    <col min="8478" max="8478" width="9.5703125" style="110" customWidth="1"/>
    <col min="8479" max="8479" width="6.28515625" style="110" customWidth="1"/>
    <col min="8480" max="8480" width="5.85546875" style="110" customWidth="1"/>
    <col min="8481" max="8482" width="4.42578125" style="110" customWidth="1"/>
    <col min="8483" max="8483" width="5" style="110" customWidth="1"/>
    <col min="8484" max="8484" width="5.85546875" style="110" customWidth="1"/>
    <col min="8485" max="8485" width="6.140625" style="110" customWidth="1"/>
    <col min="8486" max="8486" width="6.28515625" style="110" customWidth="1"/>
    <col min="8487" max="8487" width="4.85546875" style="110" customWidth="1"/>
    <col min="8488" max="8488" width="8.140625" style="110" customWidth="1"/>
    <col min="8489" max="8489" width="11.5703125" style="110" customWidth="1"/>
    <col min="8490" max="8490" width="13.7109375" style="110" customWidth="1"/>
    <col min="8491" max="8491" width="20.85546875" style="110" customWidth="1"/>
    <col min="8492" max="8704" width="11.42578125" style="110"/>
    <col min="8705" max="8705" width="13.140625" style="110" customWidth="1"/>
    <col min="8706" max="8706" width="4" style="110" customWidth="1"/>
    <col min="8707" max="8707" width="20.7109375" style="110" customWidth="1"/>
    <col min="8708" max="8708" width="14.7109375" style="110" customWidth="1"/>
    <col min="8709" max="8709" width="10" style="110" customWidth="1"/>
    <col min="8710" max="8710" width="6.28515625" style="110" customWidth="1"/>
    <col min="8711" max="8711" width="12.28515625" style="110" customWidth="1"/>
    <col min="8712" max="8712" width="8.5703125" style="110" customWidth="1"/>
    <col min="8713" max="8713" width="13.7109375" style="110" customWidth="1"/>
    <col min="8714" max="8714" width="11.5703125" style="110" customWidth="1"/>
    <col min="8715" max="8715" width="20" style="110" customWidth="1"/>
    <col min="8716" max="8716" width="17.42578125" style="110" customWidth="1"/>
    <col min="8717" max="8717" width="21.140625" style="110" customWidth="1"/>
    <col min="8718" max="8718" width="22.140625" style="110" customWidth="1"/>
    <col min="8719" max="8719" width="8" style="110" customWidth="1"/>
    <col min="8720" max="8720" width="17" style="110" customWidth="1"/>
    <col min="8721" max="8721" width="12.7109375" style="110" customWidth="1"/>
    <col min="8722" max="8722" width="19" style="110" customWidth="1"/>
    <col min="8723" max="8723" width="23.5703125" style="110" customWidth="1"/>
    <col min="8724" max="8724" width="31.5703125" style="110" customWidth="1"/>
    <col min="8725" max="8725" width="19" style="110" customWidth="1"/>
    <col min="8726" max="8726" width="23.28515625" style="110" customWidth="1"/>
    <col min="8727" max="8727" width="11.7109375" style="110" customWidth="1"/>
    <col min="8728" max="8728" width="11.85546875" style="110" customWidth="1"/>
    <col min="8729" max="8729" width="5.5703125" style="110" customWidth="1"/>
    <col min="8730" max="8730" width="4.7109375" style="110" customWidth="1"/>
    <col min="8731" max="8732" width="7.28515625" style="110" customWidth="1"/>
    <col min="8733" max="8733" width="8.42578125" style="110" customWidth="1"/>
    <col min="8734" max="8734" width="9.5703125" style="110" customWidth="1"/>
    <col min="8735" max="8735" width="6.28515625" style="110" customWidth="1"/>
    <col min="8736" max="8736" width="5.85546875" style="110" customWidth="1"/>
    <col min="8737" max="8738" width="4.42578125" style="110" customWidth="1"/>
    <col min="8739" max="8739" width="5" style="110" customWidth="1"/>
    <col min="8740" max="8740" width="5.85546875" style="110" customWidth="1"/>
    <col min="8741" max="8741" width="6.140625" style="110" customWidth="1"/>
    <col min="8742" max="8742" width="6.28515625" style="110" customWidth="1"/>
    <col min="8743" max="8743" width="4.85546875" style="110" customWidth="1"/>
    <col min="8744" max="8744" width="8.140625" style="110" customWidth="1"/>
    <col min="8745" max="8745" width="11.5703125" style="110" customWidth="1"/>
    <col min="8746" max="8746" width="13.7109375" style="110" customWidth="1"/>
    <col min="8747" max="8747" width="20.85546875" style="110" customWidth="1"/>
    <col min="8748" max="8960" width="11.42578125" style="110"/>
    <col min="8961" max="8961" width="13.140625" style="110" customWidth="1"/>
    <col min="8962" max="8962" width="4" style="110" customWidth="1"/>
    <col min="8963" max="8963" width="20.7109375" style="110" customWidth="1"/>
    <col min="8964" max="8964" width="14.7109375" style="110" customWidth="1"/>
    <col min="8965" max="8965" width="10" style="110" customWidth="1"/>
    <col min="8966" max="8966" width="6.28515625" style="110" customWidth="1"/>
    <col min="8967" max="8967" width="12.28515625" style="110" customWidth="1"/>
    <col min="8968" max="8968" width="8.5703125" style="110" customWidth="1"/>
    <col min="8969" max="8969" width="13.7109375" style="110" customWidth="1"/>
    <col min="8970" max="8970" width="11.5703125" style="110" customWidth="1"/>
    <col min="8971" max="8971" width="20" style="110" customWidth="1"/>
    <col min="8972" max="8972" width="17.42578125" style="110" customWidth="1"/>
    <col min="8973" max="8973" width="21.140625" style="110" customWidth="1"/>
    <col min="8974" max="8974" width="22.140625" style="110" customWidth="1"/>
    <col min="8975" max="8975" width="8" style="110" customWidth="1"/>
    <col min="8976" max="8976" width="17" style="110" customWidth="1"/>
    <col min="8977" max="8977" width="12.7109375" style="110" customWidth="1"/>
    <col min="8978" max="8978" width="19" style="110" customWidth="1"/>
    <col min="8979" max="8979" width="23.5703125" style="110" customWidth="1"/>
    <col min="8980" max="8980" width="31.5703125" style="110" customWidth="1"/>
    <col min="8981" max="8981" width="19" style="110" customWidth="1"/>
    <col min="8982" max="8982" width="23.28515625" style="110" customWidth="1"/>
    <col min="8983" max="8983" width="11.7109375" style="110" customWidth="1"/>
    <col min="8984" max="8984" width="11.85546875" style="110" customWidth="1"/>
    <col min="8985" max="8985" width="5.5703125" style="110" customWidth="1"/>
    <col min="8986" max="8986" width="4.7109375" style="110" customWidth="1"/>
    <col min="8987" max="8988" width="7.28515625" style="110" customWidth="1"/>
    <col min="8989" max="8989" width="8.42578125" style="110" customWidth="1"/>
    <col min="8990" max="8990" width="9.5703125" style="110" customWidth="1"/>
    <col min="8991" max="8991" width="6.28515625" style="110" customWidth="1"/>
    <col min="8992" max="8992" width="5.85546875" style="110" customWidth="1"/>
    <col min="8993" max="8994" width="4.42578125" style="110" customWidth="1"/>
    <col min="8995" max="8995" width="5" style="110" customWidth="1"/>
    <col min="8996" max="8996" width="5.85546875" style="110" customWidth="1"/>
    <col min="8997" max="8997" width="6.140625" style="110" customWidth="1"/>
    <col min="8998" max="8998" width="6.28515625" style="110" customWidth="1"/>
    <col min="8999" max="8999" width="4.85546875" style="110" customWidth="1"/>
    <col min="9000" max="9000" width="8.140625" style="110" customWidth="1"/>
    <col min="9001" max="9001" width="11.5703125" style="110" customWidth="1"/>
    <col min="9002" max="9002" width="13.7109375" style="110" customWidth="1"/>
    <col min="9003" max="9003" width="20.85546875" style="110" customWidth="1"/>
    <col min="9004" max="9216" width="11.42578125" style="110"/>
    <col min="9217" max="9217" width="13.140625" style="110" customWidth="1"/>
    <col min="9218" max="9218" width="4" style="110" customWidth="1"/>
    <col min="9219" max="9219" width="20.7109375" style="110" customWidth="1"/>
    <col min="9220" max="9220" width="14.7109375" style="110" customWidth="1"/>
    <col min="9221" max="9221" width="10" style="110" customWidth="1"/>
    <col min="9222" max="9222" width="6.28515625" style="110" customWidth="1"/>
    <col min="9223" max="9223" width="12.28515625" style="110" customWidth="1"/>
    <col min="9224" max="9224" width="8.5703125" style="110" customWidth="1"/>
    <col min="9225" max="9225" width="13.7109375" style="110" customWidth="1"/>
    <col min="9226" max="9226" width="11.5703125" style="110" customWidth="1"/>
    <col min="9227" max="9227" width="20" style="110" customWidth="1"/>
    <col min="9228" max="9228" width="17.42578125" style="110" customWidth="1"/>
    <col min="9229" max="9229" width="21.140625" style="110" customWidth="1"/>
    <col min="9230" max="9230" width="22.140625" style="110" customWidth="1"/>
    <col min="9231" max="9231" width="8" style="110" customWidth="1"/>
    <col min="9232" max="9232" width="17" style="110" customWidth="1"/>
    <col min="9233" max="9233" width="12.7109375" style="110" customWidth="1"/>
    <col min="9234" max="9234" width="19" style="110" customWidth="1"/>
    <col min="9235" max="9235" width="23.5703125" style="110" customWidth="1"/>
    <col min="9236" max="9236" width="31.5703125" style="110" customWidth="1"/>
    <col min="9237" max="9237" width="19" style="110" customWidth="1"/>
    <col min="9238" max="9238" width="23.28515625" style="110" customWidth="1"/>
    <col min="9239" max="9239" width="11.7109375" style="110" customWidth="1"/>
    <col min="9240" max="9240" width="11.85546875" style="110" customWidth="1"/>
    <col min="9241" max="9241" width="5.5703125" style="110" customWidth="1"/>
    <col min="9242" max="9242" width="4.7109375" style="110" customWidth="1"/>
    <col min="9243" max="9244" width="7.28515625" style="110" customWidth="1"/>
    <col min="9245" max="9245" width="8.42578125" style="110" customWidth="1"/>
    <col min="9246" max="9246" width="9.5703125" style="110" customWidth="1"/>
    <col min="9247" max="9247" width="6.28515625" style="110" customWidth="1"/>
    <col min="9248" max="9248" width="5.85546875" style="110" customWidth="1"/>
    <col min="9249" max="9250" width="4.42578125" style="110" customWidth="1"/>
    <col min="9251" max="9251" width="5" style="110" customWidth="1"/>
    <col min="9252" max="9252" width="5.85546875" style="110" customWidth="1"/>
    <col min="9253" max="9253" width="6.140625" style="110" customWidth="1"/>
    <col min="9254" max="9254" width="6.28515625" style="110" customWidth="1"/>
    <col min="9255" max="9255" width="4.85546875" style="110" customWidth="1"/>
    <col min="9256" max="9256" width="8.140625" style="110" customWidth="1"/>
    <col min="9257" max="9257" width="11.5703125" style="110" customWidth="1"/>
    <col min="9258" max="9258" width="13.7109375" style="110" customWidth="1"/>
    <col min="9259" max="9259" width="20.85546875" style="110" customWidth="1"/>
    <col min="9260" max="9472" width="11.42578125" style="110"/>
    <col min="9473" max="9473" width="13.140625" style="110" customWidth="1"/>
    <col min="9474" max="9474" width="4" style="110" customWidth="1"/>
    <col min="9475" max="9475" width="20.7109375" style="110" customWidth="1"/>
    <col min="9476" max="9476" width="14.7109375" style="110" customWidth="1"/>
    <col min="9477" max="9477" width="10" style="110" customWidth="1"/>
    <col min="9478" max="9478" width="6.28515625" style="110" customWidth="1"/>
    <col min="9479" max="9479" width="12.28515625" style="110" customWidth="1"/>
    <col min="9480" max="9480" width="8.5703125" style="110" customWidth="1"/>
    <col min="9481" max="9481" width="13.7109375" style="110" customWidth="1"/>
    <col min="9482" max="9482" width="11.5703125" style="110" customWidth="1"/>
    <col min="9483" max="9483" width="20" style="110" customWidth="1"/>
    <col min="9484" max="9484" width="17.42578125" style="110" customWidth="1"/>
    <col min="9485" max="9485" width="21.140625" style="110" customWidth="1"/>
    <col min="9486" max="9486" width="22.140625" style="110" customWidth="1"/>
    <col min="9487" max="9487" width="8" style="110" customWidth="1"/>
    <col min="9488" max="9488" width="17" style="110" customWidth="1"/>
    <col min="9489" max="9489" width="12.7109375" style="110" customWidth="1"/>
    <col min="9490" max="9490" width="19" style="110" customWidth="1"/>
    <col min="9491" max="9491" width="23.5703125" style="110" customWidth="1"/>
    <col min="9492" max="9492" width="31.5703125" style="110" customWidth="1"/>
    <col min="9493" max="9493" width="19" style="110" customWidth="1"/>
    <col min="9494" max="9494" width="23.28515625" style="110" customWidth="1"/>
    <col min="9495" max="9495" width="11.7109375" style="110" customWidth="1"/>
    <col min="9496" max="9496" width="11.85546875" style="110" customWidth="1"/>
    <col min="9497" max="9497" width="5.5703125" style="110" customWidth="1"/>
    <col min="9498" max="9498" width="4.7109375" style="110" customWidth="1"/>
    <col min="9499" max="9500" width="7.28515625" style="110" customWidth="1"/>
    <col min="9501" max="9501" width="8.42578125" style="110" customWidth="1"/>
    <col min="9502" max="9502" width="9.5703125" style="110" customWidth="1"/>
    <col min="9503" max="9503" width="6.28515625" style="110" customWidth="1"/>
    <col min="9504" max="9504" width="5.85546875" style="110" customWidth="1"/>
    <col min="9505" max="9506" width="4.42578125" style="110" customWidth="1"/>
    <col min="9507" max="9507" width="5" style="110" customWidth="1"/>
    <col min="9508" max="9508" width="5.85546875" style="110" customWidth="1"/>
    <col min="9509" max="9509" width="6.140625" style="110" customWidth="1"/>
    <col min="9510" max="9510" width="6.28515625" style="110" customWidth="1"/>
    <col min="9511" max="9511" width="4.85546875" style="110" customWidth="1"/>
    <col min="9512" max="9512" width="8.140625" style="110" customWidth="1"/>
    <col min="9513" max="9513" width="11.5703125" style="110" customWidth="1"/>
    <col min="9514" max="9514" width="13.7109375" style="110" customWidth="1"/>
    <col min="9515" max="9515" width="20.85546875" style="110" customWidth="1"/>
    <col min="9516" max="9728" width="11.42578125" style="110"/>
    <col min="9729" max="9729" width="13.140625" style="110" customWidth="1"/>
    <col min="9730" max="9730" width="4" style="110" customWidth="1"/>
    <col min="9731" max="9731" width="20.7109375" style="110" customWidth="1"/>
    <col min="9732" max="9732" width="14.7109375" style="110" customWidth="1"/>
    <col min="9733" max="9733" width="10" style="110" customWidth="1"/>
    <col min="9734" max="9734" width="6.28515625" style="110" customWidth="1"/>
    <col min="9735" max="9735" width="12.28515625" style="110" customWidth="1"/>
    <col min="9736" max="9736" width="8.5703125" style="110" customWidth="1"/>
    <col min="9737" max="9737" width="13.7109375" style="110" customWidth="1"/>
    <col min="9738" max="9738" width="11.5703125" style="110" customWidth="1"/>
    <col min="9739" max="9739" width="20" style="110" customWidth="1"/>
    <col min="9740" max="9740" width="17.42578125" style="110" customWidth="1"/>
    <col min="9741" max="9741" width="21.140625" style="110" customWidth="1"/>
    <col min="9742" max="9742" width="22.140625" style="110" customWidth="1"/>
    <col min="9743" max="9743" width="8" style="110" customWidth="1"/>
    <col min="9744" max="9744" width="17" style="110" customWidth="1"/>
    <col min="9745" max="9745" width="12.7109375" style="110" customWidth="1"/>
    <col min="9746" max="9746" width="19" style="110" customWidth="1"/>
    <col min="9747" max="9747" width="23.5703125" style="110" customWidth="1"/>
    <col min="9748" max="9748" width="31.5703125" style="110" customWidth="1"/>
    <col min="9749" max="9749" width="19" style="110" customWidth="1"/>
    <col min="9750" max="9750" width="23.28515625" style="110" customWidth="1"/>
    <col min="9751" max="9751" width="11.7109375" style="110" customWidth="1"/>
    <col min="9752" max="9752" width="11.85546875" style="110" customWidth="1"/>
    <col min="9753" max="9753" width="5.5703125" style="110" customWidth="1"/>
    <col min="9754" max="9754" width="4.7109375" style="110" customWidth="1"/>
    <col min="9755" max="9756" width="7.28515625" style="110" customWidth="1"/>
    <col min="9757" max="9757" width="8.42578125" style="110" customWidth="1"/>
    <col min="9758" max="9758" width="9.5703125" style="110" customWidth="1"/>
    <col min="9759" max="9759" width="6.28515625" style="110" customWidth="1"/>
    <col min="9760" max="9760" width="5.85546875" style="110" customWidth="1"/>
    <col min="9761" max="9762" width="4.42578125" style="110" customWidth="1"/>
    <col min="9763" max="9763" width="5" style="110" customWidth="1"/>
    <col min="9764" max="9764" width="5.85546875" style="110" customWidth="1"/>
    <col min="9765" max="9765" width="6.140625" style="110" customWidth="1"/>
    <col min="9766" max="9766" width="6.28515625" style="110" customWidth="1"/>
    <col min="9767" max="9767" width="4.85546875" style="110" customWidth="1"/>
    <col min="9768" max="9768" width="8.140625" style="110" customWidth="1"/>
    <col min="9769" max="9769" width="11.5703125" style="110" customWidth="1"/>
    <col min="9770" max="9770" width="13.7109375" style="110" customWidth="1"/>
    <col min="9771" max="9771" width="20.85546875" style="110" customWidth="1"/>
    <col min="9772" max="9984" width="11.42578125" style="110"/>
    <col min="9985" max="9985" width="13.140625" style="110" customWidth="1"/>
    <col min="9986" max="9986" width="4" style="110" customWidth="1"/>
    <col min="9987" max="9987" width="20.7109375" style="110" customWidth="1"/>
    <col min="9988" max="9988" width="14.7109375" style="110" customWidth="1"/>
    <col min="9989" max="9989" width="10" style="110" customWidth="1"/>
    <col min="9990" max="9990" width="6.28515625" style="110" customWidth="1"/>
    <col min="9991" max="9991" width="12.28515625" style="110" customWidth="1"/>
    <col min="9992" max="9992" width="8.5703125" style="110" customWidth="1"/>
    <col min="9993" max="9993" width="13.7109375" style="110" customWidth="1"/>
    <col min="9994" max="9994" width="11.5703125" style="110" customWidth="1"/>
    <col min="9995" max="9995" width="20" style="110" customWidth="1"/>
    <col min="9996" max="9996" width="17.42578125" style="110" customWidth="1"/>
    <col min="9997" max="9997" width="21.140625" style="110" customWidth="1"/>
    <col min="9998" max="9998" width="22.140625" style="110" customWidth="1"/>
    <col min="9999" max="9999" width="8" style="110" customWidth="1"/>
    <col min="10000" max="10000" width="17" style="110" customWidth="1"/>
    <col min="10001" max="10001" width="12.7109375" style="110" customWidth="1"/>
    <col min="10002" max="10002" width="19" style="110" customWidth="1"/>
    <col min="10003" max="10003" width="23.5703125" style="110" customWidth="1"/>
    <col min="10004" max="10004" width="31.5703125" style="110" customWidth="1"/>
    <col min="10005" max="10005" width="19" style="110" customWidth="1"/>
    <col min="10006" max="10006" width="23.28515625" style="110" customWidth="1"/>
    <col min="10007" max="10007" width="11.7109375" style="110" customWidth="1"/>
    <col min="10008" max="10008" width="11.85546875" style="110" customWidth="1"/>
    <col min="10009" max="10009" width="5.5703125" style="110" customWidth="1"/>
    <col min="10010" max="10010" width="4.7109375" style="110" customWidth="1"/>
    <col min="10011" max="10012" width="7.28515625" style="110" customWidth="1"/>
    <col min="10013" max="10013" width="8.42578125" style="110" customWidth="1"/>
    <col min="10014" max="10014" width="9.5703125" style="110" customWidth="1"/>
    <col min="10015" max="10015" width="6.28515625" style="110" customWidth="1"/>
    <col min="10016" max="10016" width="5.85546875" style="110" customWidth="1"/>
    <col min="10017" max="10018" width="4.42578125" style="110" customWidth="1"/>
    <col min="10019" max="10019" width="5" style="110" customWidth="1"/>
    <col min="10020" max="10020" width="5.85546875" style="110" customWidth="1"/>
    <col min="10021" max="10021" width="6.140625" style="110" customWidth="1"/>
    <col min="10022" max="10022" width="6.28515625" style="110" customWidth="1"/>
    <col min="10023" max="10023" width="4.85546875" style="110" customWidth="1"/>
    <col min="10024" max="10024" width="8.140625" style="110" customWidth="1"/>
    <col min="10025" max="10025" width="11.5703125" style="110" customWidth="1"/>
    <col min="10026" max="10026" width="13.7109375" style="110" customWidth="1"/>
    <col min="10027" max="10027" width="20.85546875" style="110" customWidth="1"/>
    <col min="10028" max="10240" width="11.42578125" style="110"/>
    <col min="10241" max="10241" width="13.140625" style="110" customWidth="1"/>
    <col min="10242" max="10242" width="4" style="110" customWidth="1"/>
    <col min="10243" max="10243" width="20.7109375" style="110" customWidth="1"/>
    <col min="10244" max="10244" width="14.7109375" style="110" customWidth="1"/>
    <col min="10245" max="10245" width="10" style="110" customWidth="1"/>
    <col min="10246" max="10246" width="6.28515625" style="110" customWidth="1"/>
    <col min="10247" max="10247" width="12.28515625" style="110" customWidth="1"/>
    <col min="10248" max="10248" width="8.5703125" style="110" customWidth="1"/>
    <col min="10249" max="10249" width="13.7109375" style="110" customWidth="1"/>
    <col min="10250" max="10250" width="11.5703125" style="110" customWidth="1"/>
    <col min="10251" max="10251" width="20" style="110" customWidth="1"/>
    <col min="10252" max="10252" width="17.42578125" style="110" customWidth="1"/>
    <col min="10253" max="10253" width="21.140625" style="110" customWidth="1"/>
    <col min="10254" max="10254" width="22.140625" style="110" customWidth="1"/>
    <col min="10255" max="10255" width="8" style="110" customWidth="1"/>
    <col min="10256" max="10256" width="17" style="110" customWidth="1"/>
    <col min="10257" max="10257" width="12.7109375" style="110" customWidth="1"/>
    <col min="10258" max="10258" width="19" style="110" customWidth="1"/>
    <col min="10259" max="10259" width="23.5703125" style="110" customWidth="1"/>
    <col min="10260" max="10260" width="31.5703125" style="110" customWidth="1"/>
    <col min="10261" max="10261" width="19" style="110" customWidth="1"/>
    <col min="10262" max="10262" width="23.28515625" style="110" customWidth="1"/>
    <col min="10263" max="10263" width="11.7109375" style="110" customWidth="1"/>
    <col min="10264" max="10264" width="11.85546875" style="110" customWidth="1"/>
    <col min="10265" max="10265" width="5.5703125" style="110" customWidth="1"/>
    <col min="10266" max="10266" width="4.7109375" style="110" customWidth="1"/>
    <col min="10267" max="10268" width="7.28515625" style="110" customWidth="1"/>
    <col min="10269" max="10269" width="8.42578125" style="110" customWidth="1"/>
    <col min="10270" max="10270" width="9.5703125" style="110" customWidth="1"/>
    <col min="10271" max="10271" width="6.28515625" style="110" customWidth="1"/>
    <col min="10272" max="10272" width="5.85546875" style="110" customWidth="1"/>
    <col min="10273" max="10274" width="4.42578125" style="110" customWidth="1"/>
    <col min="10275" max="10275" width="5" style="110" customWidth="1"/>
    <col min="10276" max="10276" width="5.85546875" style="110" customWidth="1"/>
    <col min="10277" max="10277" width="6.140625" style="110" customWidth="1"/>
    <col min="10278" max="10278" width="6.28515625" style="110" customWidth="1"/>
    <col min="10279" max="10279" width="4.85546875" style="110" customWidth="1"/>
    <col min="10280" max="10280" width="8.140625" style="110" customWidth="1"/>
    <col min="10281" max="10281" width="11.5703125" style="110" customWidth="1"/>
    <col min="10282" max="10282" width="13.7109375" style="110" customWidth="1"/>
    <col min="10283" max="10283" width="20.85546875" style="110" customWidth="1"/>
    <col min="10284" max="10496" width="11.42578125" style="110"/>
    <col min="10497" max="10497" width="13.140625" style="110" customWidth="1"/>
    <col min="10498" max="10498" width="4" style="110" customWidth="1"/>
    <col min="10499" max="10499" width="20.7109375" style="110" customWidth="1"/>
    <col min="10500" max="10500" width="14.7109375" style="110" customWidth="1"/>
    <col min="10501" max="10501" width="10" style="110" customWidth="1"/>
    <col min="10502" max="10502" width="6.28515625" style="110" customWidth="1"/>
    <col min="10503" max="10503" width="12.28515625" style="110" customWidth="1"/>
    <col min="10504" max="10504" width="8.5703125" style="110" customWidth="1"/>
    <col min="10505" max="10505" width="13.7109375" style="110" customWidth="1"/>
    <col min="10506" max="10506" width="11.5703125" style="110" customWidth="1"/>
    <col min="10507" max="10507" width="20" style="110" customWidth="1"/>
    <col min="10508" max="10508" width="17.42578125" style="110" customWidth="1"/>
    <col min="10509" max="10509" width="21.140625" style="110" customWidth="1"/>
    <col min="10510" max="10510" width="22.140625" style="110" customWidth="1"/>
    <col min="10511" max="10511" width="8" style="110" customWidth="1"/>
    <col min="10512" max="10512" width="17" style="110" customWidth="1"/>
    <col min="10513" max="10513" width="12.7109375" style="110" customWidth="1"/>
    <col min="10514" max="10514" width="19" style="110" customWidth="1"/>
    <col min="10515" max="10515" width="23.5703125" style="110" customWidth="1"/>
    <col min="10516" max="10516" width="31.5703125" style="110" customWidth="1"/>
    <col min="10517" max="10517" width="19" style="110" customWidth="1"/>
    <col min="10518" max="10518" width="23.28515625" style="110" customWidth="1"/>
    <col min="10519" max="10519" width="11.7109375" style="110" customWidth="1"/>
    <col min="10520" max="10520" width="11.85546875" style="110" customWidth="1"/>
    <col min="10521" max="10521" width="5.5703125" style="110" customWidth="1"/>
    <col min="10522" max="10522" width="4.7109375" style="110" customWidth="1"/>
    <col min="10523" max="10524" width="7.28515625" style="110" customWidth="1"/>
    <col min="10525" max="10525" width="8.42578125" style="110" customWidth="1"/>
    <col min="10526" max="10526" width="9.5703125" style="110" customWidth="1"/>
    <col min="10527" max="10527" width="6.28515625" style="110" customWidth="1"/>
    <col min="10528" max="10528" width="5.85546875" style="110" customWidth="1"/>
    <col min="10529" max="10530" width="4.42578125" style="110" customWidth="1"/>
    <col min="10531" max="10531" width="5" style="110" customWidth="1"/>
    <col min="10532" max="10532" width="5.85546875" style="110" customWidth="1"/>
    <col min="10533" max="10533" width="6.140625" style="110" customWidth="1"/>
    <col min="10534" max="10534" width="6.28515625" style="110" customWidth="1"/>
    <col min="10535" max="10535" width="4.85546875" style="110" customWidth="1"/>
    <col min="10536" max="10536" width="8.140625" style="110" customWidth="1"/>
    <col min="10537" max="10537" width="11.5703125" style="110" customWidth="1"/>
    <col min="10538" max="10538" width="13.7109375" style="110" customWidth="1"/>
    <col min="10539" max="10539" width="20.85546875" style="110" customWidth="1"/>
    <col min="10540" max="10752" width="11.42578125" style="110"/>
    <col min="10753" max="10753" width="13.140625" style="110" customWidth="1"/>
    <col min="10754" max="10754" width="4" style="110" customWidth="1"/>
    <col min="10755" max="10755" width="20.7109375" style="110" customWidth="1"/>
    <col min="10756" max="10756" width="14.7109375" style="110" customWidth="1"/>
    <col min="10757" max="10757" width="10" style="110" customWidth="1"/>
    <col min="10758" max="10758" width="6.28515625" style="110" customWidth="1"/>
    <col min="10759" max="10759" width="12.28515625" style="110" customWidth="1"/>
    <col min="10760" max="10760" width="8.5703125" style="110" customWidth="1"/>
    <col min="10761" max="10761" width="13.7109375" style="110" customWidth="1"/>
    <col min="10762" max="10762" width="11.5703125" style="110" customWidth="1"/>
    <col min="10763" max="10763" width="20" style="110" customWidth="1"/>
    <col min="10764" max="10764" width="17.42578125" style="110" customWidth="1"/>
    <col min="10765" max="10765" width="21.140625" style="110" customWidth="1"/>
    <col min="10766" max="10766" width="22.140625" style="110" customWidth="1"/>
    <col min="10767" max="10767" width="8" style="110" customWidth="1"/>
    <col min="10768" max="10768" width="17" style="110" customWidth="1"/>
    <col min="10769" max="10769" width="12.7109375" style="110" customWidth="1"/>
    <col min="10770" max="10770" width="19" style="110" customWidth="1"/>
    <col min="10771" max="10771" width="23.5703125" style="110" customWidth="1"/>
    <col min="10772" max="10772" width="31.5703125" style="110" customWidth="1"/>
    <col min="10773" max="10773" width="19" style="110" customWidth="1"/>
    <col min="10774" max="10774" width="23.28515625" style="110" customWidth="1"/>
    <col min="10775" max="10775" width="11.7109375" style="110" customWidth="1"/>
    <col min="10776" max="10776" width="11.85546875" style="110" customWidth="1"/>
    <col min="10777" max="10777" width="5.5703125" style="110" customWidth="1"/>
    <col min="10778" max="10778" width="4.7109375" style="110" customWidth="1"/>
    <col min="10779" max="10780" width="7.28515625" style="110" customWidth="1"/>
    <col min="10781" max="10781" width="8.42578125" style="110" customWidth="1"/>
    <col min="10782" max="10782" width="9.5703125" style="110" customWidth="1"/>
    <col min="10783" max="10783" width="6.28515625" style="110" customWidth="1"/>
    <col min="10784" max="10784" width="5.85546875" style="110" customWidth="1"/>
    <col min="10785" max="10786" width="4.42578125" style="110" customWidth="1"/>
    <col min="10787" max="10787" width="5" style="110" customWidth="1"/>
    <col min="10788" max="10788" width="5.85546875" style="110" customWidth="1"/>
    <col min="10789" max="10789" width="6.140625" style="110" customWidth="1"/>
    <col min="10790" max="10790" width="6.28515625" style="110" customWidth="1"/>
    <col min="10791" max="10791" width="4.85546875" style="110" customWidth="1"/>
    <col min="10792" max="10792" width="8.140625" style="110" customWidth="1"/>
    <col min="10793" max="10793" width="11.5703125" style="110" customWidth="1"/>
    <col min="10794" max="10794" width="13.7109375" style="110" customWidth="1"/>
    <col min="10795" max="10795" width="20.85546875" style="110" customWidth="1"/>
    <col min="10796" max="11008" width="11.42578125" style="110"/>
    <col min="11009" max="11009" width="13.140625" style="110" customWidth="1"/>
    <col min="11010" max="11010" width="4" style="110" customWidth="1"/>
    <col min="11011" max="11011" width="20.7109375" style="110" customWidth="1"/>
    <col min="11012" max="11012" width="14.7109375" style="110" customWidth="1"/>
    <col min="11013" max="11013" width="10" style="110" customWidth="1"/>
    <col min="11014" max="11014" width="6.28515625" style="110" customWidth="1"/>
    <col min="11015" max="11015" width="12.28515625" style="110" customWidth="1"/>
    <col min="11016" max="11016" width="8.5703125" style="110" customWidth="1"/>
    <col min="11017" max="11017" width="13.7109375" style="110" customWidth="1"/>
    <col min="11018" max="11018" width="11.5703125" style="110" customWidth="1"/>
    <col min="11019" max="11019" width="20" style="110" customWidth="1"/>
    <col min="11020" max="11020" width="17.42578125" style="110" customWidth="1"/>
    <col min="11021" max="11021" width="21.140625" style="110" customWidth="1"/>
    <col min="11022" max="11022" width="22.140625" style="110" customWidth="1"/>
    <col min="11023" max="11023" width="8" style="110" customWidth="1"/>
    <col min="11024" max="11024" width="17" style="110" customWidth="1"/>
    <col min="11025" max="11025" width="12.7109375" style="110" customWidth="1"/>
    <col min="11026" max="11026" width="19" style="110" customWidth="1"/>
    <col min="11027" max="11027" width="23.5703125" style="110" customWidth="1"/>
    <col min="11028" max="11028" width="31.5703125" style="110" customWidth="1"/>
    <col min="11029" max="11029" width="19" style="110" customWidth="1"/>
    <col min="11030" max="11030" width="23.28515625" style="110" customWidth="1"/>
    <col min="11031" max="11031" width="11.7109375" style="110" customWidth="1"/>
    <col min="11032" max="11032" width="11.85546875" style="110" customWidth="1"/>
    <col min="11033" max="11033" width="5.5703125" style="110" customWidth="1"/>
    <col min="11034" max="11034" width="4.7109375" style="110" customWidth="1"/>
    <col min="11035" max="11036" width="7.28515625" style="110" customWidth="1"/>
    <col min="11037" max="11037" width="8.42578125" style="110" customWidth="1"/>
    <col min="11038" max="11038" width="9.5703125" style="110" customWidth="1"/>
    <col min="11039" max="11039" width="6.28515625" style="110" customWidth="1"/>
    <col min="11040" max="11040" width="5.85546875" style="110" customWidth="1"/>
    <col min="11041" max="11042" width="4.42578125" style="110" customWidth="1"/>
    <col min="11043" max="11043" width="5" style="110" customWidth="1"/>
    <col min="11044" max="11044" width="5.85546875" style="110" customWidth="1"/>
    <col min="11045" max="11045" width="6.140625" style="110" customWidth="1"/>
    <col min="11046" max="11046" width="6.28515625" style="110" customWidth="1"/>
    <col min="11047" max="11047" width="4.85546875" style="110" customWidth="1"/>
    <col min="11048" max="11048" width="8.140625" style="110" customWidth="1"/>
    <col min="11049" max="11049" width="11.5703125" style="110" customWidth="1"/>
    <col min="11050" max="11050" width="13.7109375" style="110" customWidth="1"/>
    <col min="11051" max="11051" width="20.85546875" style="110" customWidth="1"/>
    <col min="11052" max="11264" width="11.42578125" style="110"/>
    <col min="11265" max="11265" width="13.140625" style="110" customWidth="1"/>
    <col min="11266" max="11266" width="4" style="110" customWidth="1"/>
    <col min="11267" max="11267" width="20.7109375" style="110" customWidth="1"/>
    <col min="11268" max="11268" width="14.7109375" style="110" customWidth="1"/>
    <col min="11269" max="11269" width="10" style="110" customWidth="1"/>
    <col min="11270" max="11270" width="6.28515625" style="110" customWidth="1"/>
    <col min="11271" max="11271" width="12.28515625" style="110" customWidth="1"/>
    <col min="11272" max="11272" width="8.5703125" style="110" customWidth="1"/>
    <col min="11273" max="11273" width="13.7109375" style="110" customWidth="1"/>
    <col min="11274" max="11274" width="11.5703125" style="110" customWidth="1"/>
    <col min="11275" max="11275" width="20" style="110" customWidth="1"/>
    <col min="11276" max="11276" width="17.42578125" style="110" customWidth="1"/>
    <col min="11277" max="11277" width="21.140625" style="110" customWidth="1"/>
    <col min="11278" max="11278" width="22.140625" style="110" customWidth="1"/>
    <col min="11279" max="11279" width="8" style="110" customWidth="1"/>
    <col min="11280" max="11280" width="17" style="110" customWidth="1"/>
    <col min="11281" max="11281" width="12.7109375" style="110" customWidth="1"/>
    <col min="11282" max="11282" width="19" style="110" customWidth="1"/>
    <col min="11283" max="11283" width="23.5703125" style="110" customWidth="1"/>
    <col min="11284" max="11284" width="31.5703125" style="110" customWidth="1"/>
    <col min="11285" max="11285" width="19" style="110" customWidth="1"/>
    <col min="11286" max="11286" width="23.28515625" style="110" customWidth="1"/>
    <col min="11287" max="11287" width="11.7109375" style="110" customWidth="1"/>
    <col min="11288" max="11288" width="11.85546875" style="110" customWidth="1"/>
    <col min="11289" max="11289" width="5.5703125" style="110" customWidth="1"/>
    <col min="11290" max="11290" width="4.7109375" style="110" customWidth="1"/>
    <col min="11291" max="11292" width="7.28515625" style="110" customWidth="1"/>
    <col min="11293" max="11293" width="8.42578125" style="110" customWidth="1"/>
    <col min="11294" max="11294" width="9.5703125" style="110" customWidth="1"/>
    <col min="11295" max="11295" width="6.28515625" style="110" customWidth="1"/>
    <col min="11296" max="11296" width="5.85546875" style="110" customWidth="1"/>
    <col min="11297" max="11298" width="4.42578125" style="110" customWidth="1"/>
    <col min="11299" max="11299" width="5" style="110" customWidth="1"/>
    <col min="11300" max="11300" width="5.85546875" style="110" customWidth="1"/>
    <col min="11301" max="11301" width="6.140625" style="110" customWidth="1"/>
    <col min="11302" max="11302" width="6.28515625" style="110" customWidth="1"/>
    <col min="11303" max="11303" width="4.85546875" style="110" customWidth="1"/>
    <col min="11304" max="11304" width="8.140625" style="110" customWidth="1"/>
    <col min="11305" max="11305" width="11.5703125" style="110" customWidth="1"/>
    <col min="11306" max="11306" width="13.7109375" style="110" customWidth="1"/>
    <col min="11307" max="11307" width="20.85546875" style="110" customWidth="1"/>
    <col min="11308" max="11520" width="11.42578125" style="110"/>
    <col min="11521" max="11521" width="13.140625" style="110" customWidth="1"/>
    <col min="11522" max="11522" width="4" style="110" customWidth="1"/>
    <col min="11523" max="11523" width="20.7109375" style="110" customWidth="1"/>
    <col min="11524" max="11524" width="14.7109375" style="110" customWidth="1"/>
    <col min="11525" max="11525" width="10" style="110" customWidth="1"/>
    <col min="11526" max="11526" width="6.28515625" style="110" customWidth="1"/>
    <col min="11527" max="11527" width="12.28515625" style="110" customWidth="1"/>
    <col min="11528" max="11528" width="8.5703125" style="110" customWidth="1"/>
    <col min="11529" max="11529" width="13.7109375" style="110" customWidth="1"/>
    <col min="11530" max="11530" width="11.5703125" style="110" customWidth="1"/>
    <col min="11531" max="11531" width="20" style="110" customWidth="1"/>
    <col min="11532" max="11532" width="17.42578125" style="110" customWidth="1"/>
    <col min="11533" max="11533" width="21.140625" style="110" customWidth="1"/>
    <col min="11534" max="11534" width="22.140625" style="110" customWidth="1"/>
    <col min="11535" max="11535" width="8" style="110" customWidth="1"/>
    <col min="11536" max="11536" width="17" style="110" customWidth="1"/>
    <col min="11537" max="11537" width="12.7109375" style="110" customWidth="1"/>
    <col min="11538" max="11538" width="19" style="110" customWidth="1"/>
    <col min="11539" max="11539" width="23.5703125" style="110" customWidth="1"/>
    <col min="11540" max="11540" width="31.5703125" style="110" customWidth="1"/>
    <col min="11541" max="11541" width="19" style="110" customWidth="1"/>
    <col min="11542" max="11542" width="23.28515625" style="110" customWidth="1"/>
    <col min="11543" max="11543" width="11.7109375" style="110" customWidth="1"/>
    <col min="11544" max="11544" width="11.85546875" style="110" customWidth="1"/>
    <col min="11545" max="11545" width="5.5703125" style="110" customWidth="1"/>
    <col min="11546" max="11546" width="4.7109375" style="110" customWidth="1"/>
    <col min="11547" max="11548" width="7.28515625" style="110" customWidth="1"/>
    <col min="11549" max="11549" width="8.42578125" style="110" customWidth="1"/>
    <col min="11550" max="11550" width="9.5703125" style="110" customWidth="1"/>
    <col min="11551" max="11551" width="6.28515625" style="110" customWidth="1"/>
    <col min="11552" max="11552" width="5.85546875" style="110" customWidth="1"/>
    <col min="11553" max="11554" width="4.42578125" style="110" customWidth="1"/>
    <col min="11555" max="11555" width="5" style="110" customWidth="1"/>
    <col min="11556" max="11556" width="5.85546875" style="110" customWidth="1"/>
    <col min="11557" max="11557" width="6.140625" style="110" customWidth="1"/>
    <col min="11558" max="11558" width="6.28515625" style="110" customWidth="1"/>
    <col min="11559" max="11559" width="4.85546875" style="110" customWidth="1"/>
    <col min="11560" max="11560" width="8.140625" style="110" customWidth="1"/>
    <col min="11561" max="11561" width="11.5703125" style="110" customWidth="1"/>
    <col min="11562" max="11562" width="13.7109375" style="110" customWidth="1"/>
    <col min="11563" max="11563" width="20.85546875" style="110" customWidth="1"/>
    <col min="11564" max="11776" width="11.42578125" style="110"/>
    <col min="11777" max="11777" width="13.140625" style="110" customWidth="1"/>
    <col min="11778" max="11778" width="4" style="110" customWidth="1"/>
    <col min="11779" max="11779" width="20.7109375" style="110" customWidth="1"/>
    <col min="11780" max="11780" width="14.7109375" style="110" customWidth="1"/>
    <col min="11781" max="11781" width="10" style="110" customWidth="1"/>
    <col min="11782" max="11782" width="6.28515625" style="110" customWidth="1"/>
    <col min="11783" max="11783" width="12.28515625" style="110" customWidth="1"/>
    <col min="11784" max="11784" width="8.5703125" style="110" customWidth="1"/>
    <col min="11785" max="11785" width="13.7109375" style="110" customWidth="1"/>
    <col min="11786" max="11786" width="11.5703125" style="110" customWidth="1"/>
    <col min="11787" max="11787" width="20" style="110" customWidth="1"/>
    <col min="11788" max="11788" width="17.42578125" style="110" customWidth="1"/>
    <col min="11789" max="11789" width="21.140625" style="110" customWidth="1"/>
    <col min="11790" max="11790" width="22.140625" style="110" customWidth="1"/>
    <col min="11791" max="11791" width="8" style="110" customWidth="1"/>
    <col min="11792" max="11792" width="17" style="110" customWidth="1"/>
    <col min="11793" max="11793" width="12.7109375" style="110" customWidth="1"/>
    <col min="11794" max="11794" width="19" style="110" customWidth="1"/>
    <col min="11795" max="11795" width="23.5703125" style="110" customWidth="1"/>
    <col min="11796" max="11796" width="31.5703125" style="110" customWidth="1"/>
    <col min="11797" max="11797" width="19" style="110" customWidth="1"/>
    <col min="11798" max="11798" width="23.28515625" style="110" customWidth="1"/>
    <col min="11799" max="11799" width="11.7109375" style="110" customWidth="1"/>
    <col min="11800" max="11800" width="11.85546875" style="110" customWidth="1"/>
    <col min="11801" max="11801" width="5.5703125" style="110" customWidth="1"/>
    <col min="11802" max="11802" width="4.7109375" style="110" customWidth="1"/>
    <col min="11803" max="11804" width="7.28515625" style="110" customWidth="1"/>
    <col min="11805" max="11805" width="8.42578125" style="110" customWidth="1"/>
    <col min="11806" max="11806" width="9.5703125" style="110" customWidth="1"/>
    <col min="11807" max="11807" width="6.28515625" style="110" customWidth="1"/>
    <col min="11808" max="11808" width="5.85546875" style="110" customWidth="1"/>
    <col min="11809" max="11810" width="4.42578125" style="110" customWidth="1"/>
    <col min="11811" max="11811" width="5" style="110" customWidth="1"/>
    <col min="11812" max="11812" width="5.85546875" style="110" customWidth="1"/>
    <col min="11813" max="11813" width="6.140625" style="110" customWidth="1"/>
    <col min="11814" max="11814" width="6.28515625" style="110" customWidth="1"/>
    <col min="11815" max="11815" width="4.85546875" style="110" customWidth="1"/>
    <col min="11816" max="11816" width="8.140625" style="110" customWidth="1"/>
    <col min="11817" max="11817" width="11.5703125" style="110" customWidth="1"/>
    <col min="11818" max="11818" width="13.7109375" style="110" customWidth="1"/>
    <col min="11819" max="11819" width="20.85546875" style="110" customWidth="1"/>
    <col min="11820" max="12032" width="11.42578125" style="110"/>
    <col min="12033" max="12033" width="13.140625" style="110" customWidth="1"/>
    <col min="12034" max="12034" width="4" style="110" customWidth="1"/>
    <col min="12035" max="12035" width="20.7109375" style="110" customWidth="1"/>
    <col min="12036" max="12036" width="14.7109375" style="110" customWidth="1"/>
    <col min="12037" max="12037" width="10" style="110" customWidth="1"/>
    <col min="12038" max="12038" width="6.28515625" style="110" customWidth="1"/>
    <col min="12039" max="12039" width="12.28515625" style="110" customWidth="1"/>
    <col min="12040" max="12040" width="8.5703125" style="110" customWidth="1"/>
    <col min="12041" max="12041" width="13.7109375" style="110" customWidth="1"/>
    <col min="12042" max="12042" width="11.5703125" style="110" customWidth="1"/>
    <col min="12043" max="12043" width="20" style="110" customWidth="1"/>
    <col min="12044" max="12044" width="17.42578125" style="110" customWidth="1"/>
    <col min="12045" max="12045" width="21.140625" style="110" customWidth="1"/>
    <col min="12046" max="12046" width="22.140625" style="110" customWidth="1"/>
    <col min="12047" max="12047" width="8" style="110" customWidth="1"/>
    <col min="12048" max="12048" width="17" style="110" customWidth="1"/>
    <col min="12049" max="12049" width="12.7109375" style="110" customWidth="1"/>
    <col min="12050" max="12050" width="19" style="110" customWidth="1"/>
    <col min="12051" max="12051" width="23.5703125" style="110" customWidth="1"/>
    <col min="12052" max="12052" width="31.5703125" style="110" customWidth="1"/>
    <col min="12053" max="12053" width="19" style="110" customWidth="1"/>
    <col min="12054" max="12054" width="23.28515625" style="110" customWidth="1"/>
    <col min="12055" max="12055" width="11.7109375" style="110" customWidth="1"/>
    <col min="12056" max="12056" width="11.85546875" style="110" customWidth="1"/>
    <col min="12057" max="12057" width="5.5703125" style="110" customWidth="1"/>
    <col min="12058" max="12058" width="4.7109375" style="110" customWidth="1"/>
    <col min="12059" max="12060" width="7.28515625" style="110" customWidth="1"/>
    <col min="12061" max="12061" width="8.42578125" style="110" customWidth="1"/>
    <col min="12062" max="12062" width="9.5703125" style="110" customWidth="1"/>
    <col min="12063" max="12063" width="6.28515625" style="110" customWidth="1"/>
    <col min="12064" max="12064" width="5.85546875" style="110" customWidth="1"/>
    <col min="12065" max="12066" width="4.42578125" style="110" customWidth="1"/>
    <col min="12067" max="12067" width="5" style="110" customWidth="1"/>
    <col min="12068" max="12068" width="5.85546875" style="110" customWidth="1"/>
    <col min="12069" max="12069" width="6.140625" style="110" customWidth="1"/>
    <col min="12070" max="12070" width="6.28515625" style="110" customWidth="1"/>
    <col min="12071" max="12071" width="4.85546875" style="110" customWidth="1"/>
    <col min="12072" max="12072" width="8.140625" style="110" customWidth="1"/>
    <col min="12073" max="12073" width="11.5703125" style="110" customWidth="1"/>
    <col min="12074" max="12074" width="13.7109375" style="110" customWidth="1"/>
    <col min="12075" max="12075" width="20.85546875" style="110" customWidth="1"/>
    <col min="12076" max="12288" width="11.42578125" style="110"/>
    <col min="12289" max="12289" width="13.140625" style="110" customWidth="1"/>
    <col min="12290" max="12290" width="4" style="110" customWidth="1"/>
    <col min="12291" max="12291" width="20.7109375" style="110" customWidth="1"/>
    <col min="12292" max="12292" width="14.7109375" style="110" customWidth="1"/>
    <col min="12293" max="12293" width="10" style="110" customWidth="1"/>
    <col min="12294" max="12294" width="6.28515625" style="110" customWidth="1"/>
    <col min="12295" max="12295" width="12.28515625" style="110" customWidth="1"/>
    <col min="12296" max="12296" width="8.5703125" style="110" customWidth="1"/>
    <col min="12297" max="12297" width="13.7109375" style="110" customWidth="1"/>
    <col min="12298" max="12298" width="11.5703125" style="110" customWidth="1"/>
    <col min="12299" max="12299" width="20" style="110" customWidth="1"/>
    <col min="12300" max="12300" width="17.42578125" style="110" customWidth="1"/>
    <col min="12301" max="12301" width="21.140625" style="110" customWidth="1"/>
    <col min="12302" max="12302" width="22.140625" style="110" customWidth="1"/>
    <col min="12303" max="12303" width="8" style="110" customWidth="1"/>
    <col min="12304" max="12304" width="17" style="110" customWidth="1"/>
    <col min="12305" max="12305" width="12.7109375" style="110" customWidth="1"/>
    <col min="12306" max="12306" width="19" style="110" customWidth="1"/>
    <col min="12307" max="12307" width="23.5703125" style="110" customWidth="1"/>
    <col min="12308" max="12308" width="31.5703125" style="110" customWidth="1"/>
    <col min="12309" max="12309" width="19" style="110" customWidth="1"/>
    <col min="12310" max="12310" width="23.28515625" style="110" customWidth="1"/>
    <col min="12311" max="12311" width="11.7109375" style="110" customWidth="1"/>
    <col min="12312" max="12312" width="11.85546875" style="110" customWidth="1"/>
    <col min="12313" max="12313" width="5.5703125" style="110" customWidth="1"/>
    <col min="12314" max="12314" width="4.7109375" style="110" customWidth="1"/>
    <col min="12315" max="12316" width="7.28515625" style="110" customWidth="1"/>
    <col min="12317" max="12317" width="8.42578125" style="110" customWidth="1"/>
    <col min="12318" max="12318" width="9.5703125" style="110" customWidth="1"/>
    <col min="12319" max="12319" width="6.28515625" style="110" customWidth="1"/>
    <col min="12320" max="12320" width="5.85546875" style="110" customWidth="1"/>
    <col min="12321" max="12322" width="4.42578125" style="110" customWidth="1"/>
    <col min="12323" max="12323" width="5" style="110" customWidth="1"/>
    <col min="12324" max="12324" width="5.85546875" style="110" customWidth="1"/>
    <col min="12325" max="12325" width="6.140625" style="110" customWidth="1"/>
    <col min="12326" max="12326" width="6.28515625" style="110" customWidth="1"/>
    <col min="12327" max="12327" width="4.85546875" style="110" customWidth="1"/>
    <col min="12328" max="12328" width="8.140625" style="110" customWidth="1"/>
    <col min="12329" max="12329" width="11.5703125" style="110" customWidth="1"/>
    <col min="12330" max="12330" width="13.7109375" style="110" customWidth="1"/>
    <col min="12331" max="12331" width="20.85546875" style="110" customWidth="1"/>
    <col min="12332" max="12544" width="11.42578125" style="110"/>
    <col min="12545" max="12545" width="13.140625" style="110" customWidth="1"/>
    <col min="12546" max="12546" width="4" style="110" customWidth="1"/>
    <col min="12547" max="12547" width="20.7109375" style="110" customWidth="1"/>
    <col min="12548" max="12548" width="14.7109375" style="110" customWidth="1"/>
    <col min="12549" max="12549" width="10" style="110" customWidth="1"/>
    <col min="12550" max="12550" width="6.28515625" style="110" customWidth="1"/>
    <col min="12551" max="12551" width="12.28515625" style="110" customWidth="1"/>
    <col min="12552" max="12552" width="8.5703125" style="110" customWidth="1"/>
    <col min="12553" max="12553" width="13.7109375" style="110" customWidth="1"/>
    <col min="12554" max="12554" width="11.5703125" style="110" customWidth="1"/>
    <col min="12555" max="12555" width="20" style="110" customWidth="1"/>
    <col min="12556" max="12556" width="17.42578125" style="110" customWidth="1"/>
    <col min="12557" max="12557" width="21.140625" style="110" customWidth="1"/>
    <col min="12558" max="12558" width="22.140625" style="110" customWidth="1"/>
    <col min="12559" max="12559" width="8" style="110" customWidth="1"/>
    <col min="12560" max="12560" width="17" style="110" customWidth="1"/>
    <col min="12561" max="12561" width="12.7109375" style="110" customWidth="1"/>
    <col min="12562" max="12562" width="19" style="110" customWidth="1"/>
    <col min="12563" max="12563" width="23.5703125" style="110" customWidth="1"/>
    <col min="12564" max="12564" width="31.5703125" style="110" customWidth="1"/>
    <col min="12565" max="12565" width="19" style="110" customWidth="1"/>
    <col min="12566" max="12566" width="23.28515625" style="110" customWidth="1"/>
    <col min="12567" max="12567" width="11.7109375" style="110" customWidth="1"/>
    <col min="12568" max="12568" width="11.85546875" style="110" customWidth="1"/>
    <col min="12569" max="12569" width="5.5703125" style="110" customWidth="1"/>
    <col min="12570" max="12570" width="4.7109375" style="110" customWidth="1"/>
    <col min="12571" max="12572" width="7.28515625" style="110" customWidth="1"/>
    <col min="12573" max="12573" width="8.42578125" style="110" customWidth="1"/>
    <col min="12574" max="12574" width="9.5703125" style="110" customWidth="1"/>
    <col min="12575" max="12575" width="6.28515625" style="110" customWidth="1"/>
    <col min="12576" max="12576" width="5.85546875" style="110" customWidth="1"/>
    <col min="12577" max="12578" width="4.42578125" style="110" customWidth="1"/>
    <col min="12579" max="12579" width="5" style="110" customWidth="1"/>
    <col min="12580" max="12580" width="5.85546875" style="110" customWidth="1"/>
    <col min="12581" max="12581" width="6.140625" style="110" customWidth="1"/>
    <col min="12582" max="12582" width="6.28515625" style="110" customWidth="1"/>
    <col min="12583" max="12583" width="4.85546875" style="110" customWidth="1"/>
    <col min="12584" max="12584" width="8.140625" style="110" customWidth="1"/>
    <col min="12585" max="12585" width="11.5703125" style="110" customWidth="1"/>
    <col min="12586" max="12586" width="13.7109375" style="110" customWidth="1"/>
    <col min="12587" max="12587" width="20.85546875" style="110" customWidth="1"/>
    <col min="12588" max="12800" width="11.42578125" style="110"/>
    <col min="12801" max="12801" width="13.140625" style="110" customWidth="1"/>
    <col min="12802" max="12802" width="4" style="110" customWidth="1"/>
    <col min="12803" max="12803" width="20.7109375" style="110" customWidth="1"/>
    <col min="12804" max="12804" width="14.7109375" style="110" customWidth="1"/>
    <col min="12805" max="12805" width="10" style="110" customWidth="1"/>
    <col min="12806" max="12806" width="6.28515625" style="110" customWidth="1"/>
    <col min="12807" max="12807" width="12.28515625" style="110" customWidth="1"/>
    <col min="12808" max="12808" width="8.5703125" style="110" customWidth="1"/>
    <col min="12809" max="12809" width="13.7109375" style="110" customWidth="1"/>
    <col min="12810" max="12810" width="11.5703125" style="110" customWidth="1"/>
    <col min="12811" max="12811" width="20" style="110" customWidth="1"/>
    <col min="12812" max="12812" width="17.42578125" style="110" customWidth="1"/>
    <col min="12813" max="12813" width="21.140625" style="110" customWidth="1"/>
    <col min="12814" max="12814" width="22.140625" style="110" customWidth="1"/>
    <col min="12815" max="12815" width="8" style="110" customWidth="1"/>
    <col min="12816" max="12816" width="17" style="110" customWidth="1"/>
    <col min="12817" max="12817" width="12.7109375" style="110" customWidth="1"/>
    <col min="12818" max="12818" width="19" style="110" customWidth="1"/>
    <col min="12819" max="12819" width="23.5703125" style="110" customWidth="1"/>
    <col min="12820" max="12820" width="31.5703125" style="110" customWidth="1"/>
    <col min="12821" max="12821" width="19" style="110" customWidth="1"/>
    <col min="12822" max="12822" width="23.28515625" style="110" customWidth="1"/>
    <col min="12823" max="12823" width="11.7109375" style="110" customWidth="1"/>
    <col min="12824" max="12824" width="11.85546875" style="110" customWidth="1"/>
    <col min="12825" max="12825" width="5.5703125" style="110" customWidth="1"/>
    <col min="12826" max="12826" width="4.7109375" style="110" customWidth="1"/>
    <col min="12827" max="12828" width="7.28515625" style="110" customWidth="1"/>
    <col min="12829" max="12829" width="8.42578125" style="110" customWidth="1"/>
    <col min="12830" max="12830" width="9.5703125" style="110" customWidth="1"/>
    <col min="12831" max="12831" width="6.28515625" style="110" customWidth="1"/>
    <col min="12832" max="12832" width="5.85546875" style="110" customWidth="1"/>
    <col min="12833" max="12834" width="4.42578125" style="110" customWidth="1"/>
    <col min="12835" max="12835" width="5" style="110" customWidth="1"/>
    <col min="12836" max="12836" width="5.85546875" style="110" customWidth="1"/>
    <col min="12837" max="12837" width="6.140625" style="110" customWidth="1"/>
    <col min="12838" max="12838" width="6.28515625" style="110" customWidth="1"/>
    <col min="12839" max="12839" width="4.85546875" style="110" customWidth="1"/>
    <col min="12840" max="12840" width="8.140625" style="110" customWidth="1"/>
    <col min="12841" max="12841" width="11.5703125" style="110" customWidth="1"/>
    <col min="12842" max="12842" width="13.7109375" style="110" customWidth="1"/>
    <col min="12843" max="12843" width="20.85546875" style="110" customWidth="1"/>
    <col min="12844" max="13056" width="11.42578125" style="110"/>
    <col min="13057" max="13057" width="13.140625" style="110" customWidth="1"/>
    <col min="13058" max="13058" width="4" style="110" customWidth="1"/>
    <col min="13059" max="13059" width="20.7109375" style="110" customWidth="1"/>
    <col min="13060" max="13060" width="14.7109375" style="110" customWidth="1"/>
    <col min="13061" max="13061" width="10" style="110" customWidth="1"/>
    <col min="13062" max="13062" width="6.28515625" style="110" customWidth="1"/>
    <col min="13063" max="13063" width="12.28515625" style="110" customWidth="1"/>
    <col min="13064" max="13064" width="8.5703125" style="110" customWidth="1"/>
    <col min="13065" max="13065" width="13.7109375" style="110" customWidth="1"/>
    <col min="13066" max="13066" width="11.5703125" style="110" customWidth="1"/>
    <col min="13067" max="13067" width="20" style="110" customWidth="1"/>
    <col min="13068" max="13068" width="17.42578125" style="110" customWidth="1"/>
    <col min="13069" max="13069" width="21.140625" style="110" customWidth="1"/>
    <col min="13070" max="13070" width="22.140625" style="110" customWidth="1"/>
    <col min="13071" max="13071" width="8" style="110" customWidth="1"/>
    <col min="13072" max="13072" width="17" style="110" customWidth="1"/>
    <col min="13073" max="13073" width="12.7109375" style="110" customWidth="1"/>
    <col min="13074" max="13074" width="19" style="110" customWidth="1"/>
    <col min="13075" max="13075" width="23.5703125" style="110" customWidth="1"/>
    <col min="13076" max="13076" width="31.5703125" style="110" customWidth="1"/>
    <col min="13077" max="13077" width="19" style="110" customWidth="1"/>
    <col min="13078" max="13078" width="23.28515625" style="110" customWidth="1"/>
    <col min="13079" max="13079" width="11.7109375" style="110" customWidth="1"/>
    <col min="13080" max="13080" width="11.85546875" style="110" customWidth="1"/>
    <col min="13081" max="13081" width="5.5703125" style="110" customWidth="1"/>
    <col min="13082" max="13082" width="4.7109375" style="110" customWidth="1"/>
    <col min="13083" max="13084" width="7.28515625" style="110" customWidth="1"/>
    <col min="13085" max="13085" width="8.42578125" style="110" customWidth="1"/>
    <col min="13086" max="13086" width="9.5703125" style="110" customWidth="1"/>
    <col min="13087" max="13087" width="6.28515625" style="110" customWidth="1"/>
    <col min="13088" max="13088" width="5.85546875" style="110" customWidth="1"/>
    <col min="13089" max="13090" width="4.42578125" style="110" customWidth="1"/>
    <col min="13091" max="13091" width="5" style="110" customWidth="1"/>
    <col min="13092" max="13092" width="5.85546875" style="110" customWidth="1"/>
    <col min="13093" max="13093" width="6.140625" style="110" customWidth="1"/>
    <col min="13094" max="13094" width="6.28515625" style="110" customWidth="1"/>
    <col min="13095" max="13095" width="4.85546875" style="110" customWidth="1"/>
    <col min="13096" max="13096" width="8.140625" style="110" customWidth="1"/>
    <col min="13097" max="13097" width="11.5703125" style="110" customWidth="1"/>
    <col min="13098" max="13098" width="13.7109375" style="110" customWidth="1"/>
    <col min="13099" max="13099" width="20.85546875" style="110" customWidth="1"/>
    <col min="13100" max="13312" width="11.42578125" style="110"/>
    <col min="13313" max="13313" width="13.140625" style="110" customWidth="1"/>
    <col min="13314" max="13314" width="4" style="110" customWidth="1"/>
    <col min="13315" max="13315" width="20.7109375" style="110" customWidth="1"/>
    <col min="13316" max="13316" width="14.7109375" style="110" customWidth="1"/>
    <col min="13317" max="13317" width="10" style="110" customWidth="1"/>
    <col min="13318" max="13318" width="6.28515625" style="110" customWidth="1"/>
    <col min="13319" max="13319" width="12.28515625" style="110" customWidth="1"/>
    <col min="13320" max="13320" width="8.5703125" style="110" customWidth="1"/>
    <col min="13321" max="13321" width="13.7109375" style="110" customWidth="1"/>
    <col min="13322" max="13322" width="11.5703125" style="110" customWidth="1"/>
    <col min="13323" max="13323" width="20" style="110" customWidth="1"/>
    <col min="13324" max="13324" width="17.42578125" style="110" customWidth="1"/>
    <col min="13325" max="13325" width="21.140625" style="110" customWidth="1"/>
    <col min="13326" max="13326" width="22.140625" style="110" customWidth="1"/>
    <col min="13327" max="13327" width="8" style="110" customWidth="1"/>
    <col min="13328" max="13328" width="17" style="110" customWidth="1"/>
    <col min="13329" max="13329" width="12.7109375" style="110" customWidth="1"/>
    <col min="13330" max="13330" width="19" style="110" customWidth="1"/>
    <col min="13331" max="13331" width="23.5703125" style="110" customWidth="1"/>
    <col min="13332" max="13332" width="31.5703125" style="110" customWidth="1"/>
    <col min="13333" max="13333" width="19" style="110" customWidth="1"/>
    <col min="13334" max="13334" width="23.28515625" style="110" customWidth="1"/>
    <col min="13335" max="13335" width="11.7109375" style="110" customWidth="1"/>
    <col min="13336" max="13336" width="11.85546875" style="110" customWidth="1"/>
    <col min="13337" max="13337" width="5.5703125" style="110" customWidth="1"/>
    <col min="13338" max="13338" width="4.7109375" style="110" customWidth="1"/>
    <col min="13339" max="13340" width="7.28515625" style="110" customWidth="1"/>
    <col min="13341" max="13341" width="8.42578125" style="110" customWidth="1"/>
    <col min="13342" max="13342" width="9.5703125" style="110" customWidth="1"/>
    <col min="13343" max="13343" width="6.28515625" style="110" customWidth="1"/>
    <col min="13344" max="13344" width="5.85546875" style="110" customWidth="1"/>
    <col min="13345" max="13346" width="4.42578125" style="110" customWidth="1"/>
    <col min="13347" max="13347" width="5" style="110" customWidth="1"/>
    <col min="13348" max="13348" width="5.85546875" style="110" customWidth="1"/>
    <col min="13349" max="13349" width="6.140625" style="110" customWidth="1"/>
    <col min="13350" max="13350" width="6.28515625" style="110" customWidth="1"/>
    <col min="13351" max="13351" width="4.85546875" style="110" customWidth="1"/>
    <col min="13352" max="13352" width="8.140625" style="110" customWidth="1"/>
    <col min="13353" max="13353" width="11.5703125" style="110" customWidth="1"/>
    <col min="13354" max="13354" width="13.7109375" style="110" customWidth="1"/>
    <col min="13355" max="13355" width="20.85546875" style="110" customWidth="1"/>
    <col min="13356" max="13568" width="11.42578125" style="110"/>
    <col min="13569" max="13569" width="13.140625" style="110" customWidth="1"/>
    <col min="13570" max="13570" width="4" style="110" customWidth="1"/>
    <col min="13571" max="13571" width="20.7109375" style="110" customWidth="1"/>
    <col min="13572" max="13572" width="14.7109375" style="110" customWidth="1"/>
    <col min="13573" max="13573" width="10" style="110" customWidth="1"/>
    <col min="13574" max="13574" width="6.28515625" style="110" customWidth="1"/>
    <col min="13575" max="13575" width="12.28515625" style="110" customWidth="1"/>
    <col min="13576" max="13576" width="8.5703125" style="110" customWidth="1"/>
    <col min="13577" max="13577" width="13.7109375" style="110" customWidth="1"/>
    <col min="13578" max="13578" width="11.5703125" style="110" customWidth="1"/>
    <col min="13579" max="13579" width="20" style="110" customWidth="1"/>
    <col min="13580" max="13580" width="17.42578125" style="110" customWidth="1"/>
    <col min="13581" max="13581" width="21.140625" style="110" customWidth="1"/>
    <col min="13582" max="13582" width="22.140625" style="110" customWidth="1"/>
    <col min="13583" max="13583" width="8" style="110" customWidth="1"/>
    <col min="13584" max="13584" width="17" style="110" customWidth="1"/>
    <col min="13585" max="13585" width="12.7109375" style="110" customWidth="1"/>
    <col min="13586" max="13586" width="19" style="110" customWidth="1"/>
    <col min="13587" max="13587" width="23.5703125" style="110" customWidth="1"/>
    <col min="13588" max="13588" width="31.5703125" style="110" customWidth="1"/>
    <col min="13589" max="13589" width="19" style="110" customWidth="1"/>
    <col min="13590" max="13590" width="23.28515625" style="110" customWidth="1"/>
    <col min="13591" max="13591" width="11.7109375" style="110" customWidth="1"/>
    <col min="13592" max="13592" width="11.85546875" style="110" customWidth="1"/>
    <col min="13593" max="13593" width="5.5703125" style="110" customWidth="1"/>
    <col min="13594" max="13594" width="4.7109375" style="110" customWidth="1"/>
    <col min="13595" max="13596" width="7.28515625" style="110" customWidth="1"/>
    <col min="13597" max="13597" width="8.42578125" style="110" customWidth="1"/>
    <col min="13598" max="13598" width="9.5703125" style="110" customWidth="1"/>
    <col min="13599" max="13599" width="6.28515625" style="110" customWidth="1"/>
    <col min="13600" max="13600" width="5.85546875" style="110" customWidth="1"/>
    <col min="13601" max="13602" width="4.42578125" style="110" customWidth="1"/>
    <col min="13603" max="13603" width="5" style="110" customWidth="1"/>
    <col min="13604" max="13604" width="5.85546875" style="110" customWidth="1"/>
    <col min="13605" max="13605" width="6.140625" style="110" customWidth="1"/>
    <col min="13606" max="13606" width="6.28515625" style="110" customWidth="1"/>
    <col min="13607" max="13607" width="4.85546875" style="110" customWidth="1"/>
    <col min="13608" max="13608" width="8.140625" style="110" customWidth="1"/>
    <col min="13609" max="13609" width="11.5703125" style="110" customWidth="1"/>
    <col min="13610" max="13610" width="13.7109375" style="110" customWidth="1"/>
    <col min="13611" max="13611" width="20.85546875" style="110" customWidth="1"/>
    <col min="13612" max="13824" width="11.42578125" style="110"/>
    <col min="13825" max="13825" width="13.140625" style="110" customWidth="1"/>
    <col min="13826" max="13826" width="4" style="110" customWidth="1"/>
    <col min="13827" max="13827" width="20.7109375" style="110" customWidth="1"/>
    <col min="13828" max="13828" width="14.7109375" style="110" customWidth="1"/>
    <col min="13829" max="13829" width="10" style="110" customWidth="1"/>
    <col min="13830" max="13830" width="6.28515625" style="110" customWidth="1"/>
    <col min="13831" max="13831" width="12.28515625" style="110" customWidth="1"/>
    <col min="13832" max="13832" width="8.5703125" style="110" customWidth="1"/>
    <col min="13833" max="13833" width="13.7109375" style="110" customWidth="1"/>
    <col min="13834" max="13834" width="11.5703125" style="110" customWidth="1"/>
    <col min="13835" max="13835" width="20" style="110" customWidth="1"/>
    <col min="13836" max="13836" width="17.42578125" style="110" customWidth="1"/>
    <col min="13837" max="13837" width="21.140625" style="110" customWidth="1"/>
    <col min="13838" max="13838" width="22.140625" style="110" customWidth="1"/>
    <col min="13839" max="13839" width="8" style="110" customWidth="1"/>
    <col min="13840" max="13840" width="17" style="110" customWidth="1"/>
    <col min="13841" max="13841" width="12.7109375" style="110" customWidth="1"/>
    <col min="13842" max="13842" width="19" style="110" customWidth="1"/>
    <col min="13843" max="13843" width="23.5703125" style="110" customWidth="1"/>
    <col min="13844" max="13844" width="31.5703125" style="110" customWidth="1"/>
    <col min="13845" max="13845" width="19" style="110" customWidth="1"/>
    <col min="13846" max="13846" width="23.28515625" style="110" customWidth="1"/>
    <col min="13847" max="13847" width="11.7109375" style="110" customWidth="1"/>
    <col min="13848" max="13848" width="11.85546875" style="110" customWidth="1"/>
    <col min="13849" max="13849" width="5.5703125" style="110" customWidth="1"/>
    <col min="13850" max="13850" width="4.7109375" style="110" customWidth="1"/>
    <col min="13851" max="13852" width="7.28515625" style="110" customWidth="1"/>
    <col min="13853" max="13853" width="8.42578125" style="110" customWidth="1"/>
    <col min="13854" max="13854" width="9.5703125" style="110" customWidth="1"/>
    <col min="13855" max="13855" width="6.28515625" style="110" customWidth="1"/>
    <col min="13856" max="13856" width="5.85546875" style="110" customWidth="1"/>
    <col min="13857" max="13858" width="4.42578125" style="110" customWidth="1"/>
    <col min="13859" max="13859" width="5" style="110" customWidth="1"/>
    <col min="13860" max="13860" width="5.85546875" style="110" customWidth="1"/>
    <col min="13861" max="13861" width="6.140625" style="110" customWidth="1"/>
    <col min="13862" max="13862" width="6.28515625" style="110" customWidth="1"/>
    <col min="13863" max="13863" width="4.85546875" style="110" customWidth="1"/>
    <col min="13864" max="13864" width="8.140625" style="110" customWidth="1"/>
    <col min="13865" max="13865" width="11.5703125" style="110" customWidth="1"/>
    <col min="13866" max="13866" width="13.7109375" style="110" customWidth="1"/>
    <col min="13867" max="13867" width="20.85546875" style="110" customWidth="1"/>
    <col min="13868" max="14080" width="11.42578125" style="110"/>
    <col min="14081" max="14081" width="13.140625" style="110" customWidth="1"/>
    <col min="14082" max="14082" width="4" style="110" customWidth="1"/>
    <col min="14083" max="14083" width="20.7109375" style="110" customWidth="1"/>
    <col min="14084" max="14084" width="14.7109375" style="110" customWidth="1"/>
    <col min="14085" max="14085" width="10" style="110" customWidth="1"/>
    <col min="14086" max="14086" width="6.28515625" style="110" customWidth="1"/>
    <col min="14087" max="14087" width="12.28515625" style="110" customWidth="1"/>
    <col min="14088" max="14088" width="8.5703125" style="110" customWidth="1"/>
    <col min="14089" max="14089" width="13.7109375" style="110" customWidth="1"/>
    <col min="14090" max="14090" width="11.5703125" style="110" customWidth="1"/>
    <col min="14091" max="14091" width="20" style="110" customWidth="1"/>
    <col min="14092" max="14092" width="17.42578125" style="110" customWidth="1"/>
    <col min="14093" max="14093" width="21.140625" style="110" customWidth="1"/>
    <col min="14094" max="14094" width="22.140625" style="110" customWidth="1"/>
    <col min="14095" max="14095" width="8" style="110" customWidth="1"/>
    <col min="14096" max="14096" width="17" style="110" customWidth="1"/>
    <col min="14097" max="14097" width="12.7109375" style="110" customWidth="1"/>
    <col min="14098" max="14098" width="19" style="110" customWidth="1"/>
    <col min="14099" max="14099" width="23.5703125" style="110" customWidth="1"/>
    <col min="14100" max="14100" width="31.5703125" style="110" customWidth="1"/>
    <col min="14101" max="14101" width="19" style="110" customWidth="1"/>
    <col min="14102" max="14102" width="23.28515625" style="110" customWidth="1"/>
    <col min="14103" max="14103" width="11.7109375" style="110" customWidth="1"/>
    <col min="14104" max="14104" width="11.85546875" style="110" customWidth="1"/>
    <col min="14105" max="14105" width="5.5703125" style="110" customWidth="1"/>
    <col min="14106" max="14106" width="4.7109375" style="110" customWidth="1"/>
    <col min="14107" max="14108" width="7.28515625" style="110" customWidth="1"/>
    <col min="14109" max="14109" width="8.42578125" style="110" customWidth="1"/>
    <col min="14110" max="14110" width="9.5703125" style="110" customWidth="1"/>
    <col min="14111" max="14111" width="6.28515625" style="110" customWidth="1"/>
    <col min="14112" max="14112" width="5.85546875" style="110" customWidth="1"/>
    <col min="14113" max="14114" width="4.42578125" style="110" customWidth="1"/>
    <col min="14115" max="14115" width="5" style="110" customWidth="1"/>
    <col min="14116" max="14116" width="5.85546875" style="110" customWidth="1"/>
    <col min="14117" max="14117" width="6.140625" style="110" customWidth="1"/>
    <col min="14118" max="14118" width="6.28515625" style="110" customWidth="1"/>
    <col min="14119" max="14119" width="4.85546875" style="110" customWidth="1"/>
    <col min="14120" max="14120" width="8.140625" style="110" customWidth="1"/>
    <col min="14121" max="14121" width="11.5703125" style="110" customWidth="1"/>
    <col min="14122" max="14122" width="13.7109375" style="110" customWidth="1"/>
    <col min="14123" max="14123" width="20.85546875" style="110" customWidth="1"/>
    <col min="14124" max="14336" width="11.42578125" style="110"/>
    <col min="14337" max="14337" width="13.140625" style="110" customWidth="1"/>
    <col min="14338" max="14338" width="4" style="110" customWidth="1"/>
    <col min="14339" max="14339" width="20.7109375" style="110" customWidth="1"/>
    <col min="14340" max="14340" width="14.7109375" style="110" customWidth="1"/>
    <col min="14341" max="14341" width="10" style="110" customWidth="1"/>
    <col min="14342" max="14342" width="6.28515625" style="110" customWidth="1"/>
    <col min="14343" max="14343" width="12.28515625" style="110" customWidth="1"/>
    <col min="14344" max="14344" width="8.5703125" style="110" customWidth="1"/>
    <col min="14345" max="14345" width="13.7109375" style="110" customWidth="1"/>
    <col min="14346" max="14346" width="11.5703125" style="110" customWidth="1"/>
    <col min="14347" max="14347" width="20" style="110" customWidth="1"/>
    <col min="14348" max="14348" width="17.42578125" style="110" customWidth="1"/>
    <col min="14349" max="14349" width="21.140625" style="110" customWidth="1"/>
    <col min="14350" max="14350" width="22.140625" style="110" customWidth="1"/>
    <col min="14351" max="14351" width="8" style="110" customWidth="1"/>
    <col min="14352" max="14352" width="17" style="110" customWidth="1"/>
    <col min="14353" max="14353" width="12.7109375" style="110" customWidth="1"/>
    <col min="14354" max="14354" width="19" style="110" customWidth="1"/>
    <col min="14355" max="14355" width="23.5703125" style="110" customWidth="1"/>
    <col min="14356" max="14356" width="31.5703125" style="110" customWidth="1"/>
    <col min="14357" max="14357" width="19" style="110" customWidth="1"/>
    <col min="14358" max="14358" width="23.28515625" style="110" customWidth="1"/>
    <col min="14359" max="14359" width="11.7109375" style="110" customWidth="1"/>
    <col min="14360" max="14360" width="11.85546875" style="110" customWidth="1"/>
    <col min="14361" max="14361" width="5.5703125" style="110" customWidth="1"/>
    <col min="14362" max="14362" width="4.7109375" style="110" customWidth="1"/>
    <col min="14363" max="14364" width="7.28515625" style="110" customWidth="1"/>
    <col min="14365" max="14365" width="8.42578125" style="110" customWidth="1"/>
    <col min="14366" max="14366" width="9.5703125" style="110" customWidth="1"/>
    <col min="14367" max="14367" width="6.28515625" style="110" customWidth="1"/>
    <col min="14368" max="14368" width="5.85546875" style="110" customWidth="1"/>
    <col min="14369" max="14370" width="4.42578125" style="110" customWidth="1"/>
    <col min="14371" max="14371" width="5" style="110" customWidth="1"/>
    <col min="14372" max="14372" width="5.85546875" style="110" customWidth="1"/>
    <col min="14373" max="14373" width="6.140625" style="110" customWidth="1"/>
    <col min="14374" max="14374" width="6.28515625" style="110" customWidth="1"/>
    <col min="14375" max="14375" width="4.85546875" style="110" customWidth="1"/>
    <col min="14376" max="14376" width="8.140625" style="110" customWidth="1"/>
    <col min="14377" max="14377" width="11.5703125" style="110" customWidth="1"/>
    <col min="14378" max="14378" width="13.7109375" style="110" customWidth="1"/>
    <col min="14379" max="14379" width="20.85546875" style="110" customWidth="1"/>
    <col min="14380" max="14592" width="11.42578125" style="110"/>
    <col min="14593" max="14593" width="13.140625" style="110" customWidth="1"/>
    <col min="14594" max="14594" width="4" style="110" customWidth="1"/>
    <col min="14595" max="14595" width="20.7109375" style="110" customWidth="1"/>
    <col min="14596" max="14596" width="14.7109375" style="110" customWidth="1"/>
    <col min="14597" max="14597" width="10" style="110" customWidth="1"/>
    <col min="14598" max="14598" width="6.28515625" style="110" customWidth="1"/>
    <col min="14599" max="14599" width="12.28515625" style="110" customWidth="1"/>
    <col min="14600" max="14600" width="8.5703125" style="110" customWidth="1"/>
    <col min="14601" max="14601" width="13.7109375" style="110" customWidth="1"/>
    <col min="14602" max="14602" width="11.5703125" style="110" customWidth="1"/>
    <col min="14603" max="14603" width="20" style="110" customWidth="1"/>
    <col min="14604" max="14604" width="17.42578125" style="110" customWidth="1"/>
    <col min="14605" max="14605" width="21.140625" style="110" customWidth="1"/>
    <col min="14606" max="14606" width="22.140625" style="110" customWidth="1"/>
    <col min="14607" max="14607" width="8" style="110" customWidth="1"/>
    <col min="14608" max="14608" width="17" style="110" customWidth="1"/>
    <col min="14609" max="14609" width="12.7109375" style="110" customWidth="1"/>
    <col min="14610" max="14610" width="19" style="110" customWidth="1"/>
    <col min="14611" max="14611" width="23.5703125" style="110" customWidth="1"/>
    <col min="14612" max="14612" width="31.5703125" style="110" customWidth="1"/>
    <col min="14613" max="14613" width="19" style="110" customWidth="1"/>
    <col min="14614" max="14614" width="23.28515625" style="110" customWidth="1"/>
    <col min="14615" max="14615" width="11.7109375" style="110" customWidth="1"/>
    <col min="14616" max="14616" width="11.85546875" style="110" customWidth="1"/>
    <col min="14617" max="14617" width="5.5703125" style="110" customWidth="1"/>
    <col min="14618" max="14618" width="4.7109375" style="110" customWidth="1"/>
    <col min="14619" max="14620" width="7.28515625" style="110" customWidth="1"/>
    <col min="14621" max="14621" width="8.42578125" style="110" customWidth="1"/>
    <col min="14622" max="14622" width="9.5703125" style="110" customWidth="1"/>
    <col min="14623" max="14623" width="6.28515625" style="110" customWidth="1"/>
    <col min="14624" max="14624" width="5.85546875" style="110" customWidth="1"/>
    <col min="14625" max="14626" width="4.42578125" style="110" customWidth="1"/>
    <col min="14627" max="14627" width="5" style="110" customWidth="1"/>
    <col min="14628" max="14628" width="5.85546875" style="110" customWidth="1"/>
    <col min="14629" max="14629" width="6.140625" style="110" customWidth="1"/>
    <col min="14630" max="14630" width="6.28515625" style="110" customWidth="1"/>
    <col min="14631" max="14631" width="4.85546875" style="110" customWidth="1"/>
    <col min="14632" max="14632" width="8.140625" style="110" customWidth="1"/>
    <col min="14633" max="14633" width="11.5703125" style="110" customWidth="1"/>
    <col min="14634" max="14634" width="13.7109375" style="110" customWidth="1"/>
    <col min="14635" max="14635" width="20.85546875" style="110" customWidth="1"/>
    <col min="14636" max="14848" width="11.42578125" style="110"/>
    <col min="14849" max="14849" width="13.140625" style="110" customWidth="1"/>
    <col min="14850" max="14850" width="4" style="110" customWidth="1"/>
    <col min="14851" max="14851" width="20.7109375" style="110" customWidth="1"/>
    <col min="14852" max="14852" width="14.7109375" style="110" customWidth="1"/>
    <col min="14853" max="14853" width="10" style="110" customWidth="1"/>
    <col min="14854" max="14854" width="6.28515625" style="110" customWidth="1"/>
    <col min="14855" max="14855" width="12.28515625" style="110" customWidth="1"/>
    <col min="14856" max="14856" width="8.5703125" style="110" customWidth="1"/>
    <col min="14857" max="14857" width="13.7109375" style="110" customWidth="1"/>
    <col min="14858" max="14858" width="11.5703125" style="110" customWidth="1"/>
    <col min="14859" max="14859" width="20" style="110" customWidth="1"/>
    <col min="14860" max="14860" width="17.42578125" style="110" customWidth="1"/>
    <col min="14861" max="14861" width="21.140625" style="110" customWidth="1"/>
    <col min="14862" max="14862" width="22.140625" style="110" customWidth="1"/>
    <col min="14863" max="14863" width="8" style="110" customWidth="1"/>
    <col min="14864" max="14864" width="17" style="110" customWidth="1"/>
    <col min="14865" max="14865" width="12.7109375" style="110" customWidth="1"/>
    <col min="14866" max="14866" width="19" style="110" customWidth="1"/>
    <col min="14867" max="14867" width="23.5703125" style="110" customWidth="1"/>
    <col min="14868" max="14868" width="31.5703125" style="110" customWidth="1"/>
    <col min="14869" max="14869" width="19" style="110" customWidth="1"/>
    <col min="14870" max="14870" width="23.28515625" style="110" customWidth="1"/>
    <col min="14871" max="14871" width="11.7109375" style="110" customWidth="1"/>
    <col min="14872" max="14872" width="11.85546875" style="110" customWidth="1"/>
    <col min="14873" max="14873" width="5.5703125" style="110" customWidth="1"/>
    <col min="14874" max="14874" width="4.7109375" style="110" customWidth="1"/>
    <col min="14875" max="14876" width="7.28515625" style="110" customWidth="1"/>
    <col min="14877" max="14877" width="8.42578125" style="110" customWidth="1"/>
    <col min="14878" max="14878" width="9.5703125" style="110" customWidth="1"/>
    <col min="14879" max="14879" width="6.28515625" style="110" customWidth="1"/>
    <col min="14880" max="14880" width="5.85546875" style="110" customWidth="1"/>
    <col min="14881" max="14882" width="4.42578125" style="110" customWidth="1"/>
    <col min="14883" max="14883" width="5" style="110" customWidth="1"/>
    <col min="14884" max="14884" width="5.85546875" style="110" customWidth="1"/>
    <col min="14885" max="14885" width="6.140625" style="110" customWidth="1"/>
    <col min="14886" max="14886" width="6.28515625" style="110" customWidth="1"/>
    <col min="14887" max="14887" width="4.85546875" style="110" customWidth="1"/>
    <col min="14888" max="14888" width="8.140625" style="110" customWidth="1"/>
    <col min="14889" max="14889" width="11.5703125" style="110" customWidth="1"/>
    <col min="14890" max="14890" width="13.7109375" style="110" customWidth="1"/>
    <col min="14891" max="14891" width="20.85546875" style="110" customWidth="1"/>
    <col min="14892" max="15104" width="11.42578125" style="110"/>
    <col min="15105" max="15105" width="13.140625" style="110" customWidth="1"/>
    <col min="15106" max="15106" width="4" style="110" customWidth="1"/>
    <col min="15107" max="15107" width="20.7109375" style="110" customWidth="1"/>
    <col min="15108" max="15108" width="14.7109375" style="110" customWidth="1"/>
    <col min="15109" max="15109" width="10" style="110" customWidth="1"/>
    <col min="15110" max="15110" width="6.28515625" style="110" customWidth="1"/>
    <col min="15111" max="15111" width="12.28515625" style="110" customWidth="1"/>
    <col min="15112" max="15112" width="8.5703125" style="110" customWidth="1"/>
    <col min="15113" max="15113" width="13.7109375" style="110" customWidth="1"/>
    <col min="15114" max="15114" width="11.5703125" style="110" customWidth="1"/>
    <col min="15115" max="15115" width="20" style="110" customWidth="1"/>
    <col min="15116" max="15116" width="17.42578125" style="110" customWidth="1"/>
    <col min="15117" max="15117" width="21.140625" style="110" customWidth="1"/>
    <col min="15118" max="15118" width="22.140625" style="110" customWidth="1"/>
    <col min="15119" max="15119" width="8" style="110" customWidth="1"/>
    <col min="15120" max="15120" width="17" style="110" customWidth="1"/>
    <col min="15121" max="15121" width="12.7109375" style="110" customWidth="1"/>
    <col min="15122" max="15122" width="19" style="110" customWidth="1"/>
    <col min="15123" max="15123" width="23.5703125" style="110" customWidth="1"/>
    <col min="15124" max="15124" width="31.5703125" style="110" customWidth="1"/>
    <col min="15125" max="15125" width="19" style="110" customWidth="1"/>
    <col min="15126" max="15126" width="23.28515625" style="110" customWidth="1"/>
    <col min="15127" max="15127" width="11.7109375" style="110" customWidth="1"/>
    <col min="15128" max="15128" width="11.85546875" style="110" customWidth="1"/>
    <col min="15129" max="15129" width="5.5703125" style="110" customWidth="1"/>
    <col min="15130" max="15130" width="4.7109375" style="110" customWidth="1"/>
    <col min="15131" max="15132" width="7.28515625" style="110" customWidth="1"/>
    <col min="15133" max="15133" width="8.42578125" style="110" customWidth="1"/>
    <col min="15134" max="15134" width="9.5703125" style="110" customWidth="1"/>
    <col min="15135" max="15135" width="6.28515625" style="110" customWidth="1"/>
    <col min="15136" max="15136" width="5.85546875" style="110" customWidth="1"/>
    <col min="15137" max="15138" width="4.42578125" style="110" customWidth="1"/>
    <col min="15139" max="15139" width="5" style="110" customWidth="1"/>
    <col min="15140" max="15140" width="5.85546875" style="110" customWidth="1"/>
    <col min="15141" max="15141" width="6.140625" style="110" customWidth="1"/>
    <col min="15142" max="15142" width="6.28515625" style="110" customWidth="1"/>
    <col min="15143" max="15143" width="4.85546875" style="110" customWidth="1"/>
    <col min="15144" max="15144" width="8.140625" style="110" customWidth="1"/>
    <col min="15145" max="15145" width="11.5703125" style="110" customWidth="1"/>
    <col min="15146" max="15146" width="13.7109375" style="110" customWidth="1"/>
    <col min="15147" max="15147" width="20.85546875" style="110" customWidth="1"/>
    <col min="15148" max="15360" width="11.42578125" style="110"/>
    <col min="15361" max="15361" width="13.140625" style="110" customWidth="1"/>
    <col min="15362" max="15362" width="4" style="110" customWidth="1"/>
    <col min="15363" max="15363" width="20.7109375" style="110" customWidth="1"/>
    <col min="15364" max="15364" width="14.7109375" style="110" customWidth="1"/>
    <col min="15365" max="15365" width="10" style="110" customWidth="1"/>
    <col min="15366" max="15366" width="6.28515625" style="110" customWidth="1"/>
    <col min="15367" max="15367" width="12.28515625" style="110" customWidth="1"/>
    <col min="15368" max="15368" width="8.5703125" style="110" customWidth="1"/>
    <col min="15369" max="15369" width="13.7109375" style="110" customWidth="1"/>
    <col min="15370" max="15370" width="11.5703125" style="110" customWidth="1"/>
    <col min="15371" max="15371" width="20" style="110" customWidth="1"/>
    <col min="15372" max="15372" width="17.42578125" style="110" customWidth="1"/>
    <col min="15373" max="15373" width="21.140625" style="110" customWidth="1"/>
    <col min="15374" max="15374" width="22.140625" style="110" customWidth="1"/>
    <col min="15375" max="15375" width="8" style="110" customWidth="1"/>
    <col min="15376" max="15376" width="17" style="110" customWidth="1"/>
    <col min="15377" max="15377" width="12.7109375" style="110" customWidth="1"/>
    <col min="15378" max="15378" width="19" style="110" customWidth="1"/>
    <col min="15379" max="15379" width="23.5703125" style="110" customWidth="1"/>
    <col min="15380" max="15380" width="31.5703125" style="110" customWidth="1"/>
    <col min="15381" max="15381" width="19" style="110" customWidth="1"/>
    <col min="15382" max="15382" width="23.28515625" style="110" customWidth="1"/>
    <col min="15383" max="15383" width="11.7109375" style="110" customWidth="1"/>
    <col min="15384" max="15384" width="11.85546875" style="110" customWidth="1"/>
    <col min="15385" max="15385" width="5.5703125" style="110" customWidth="1"/>
    <col min="15386" max="15386" width="4.7109375" style="110" customWidth="1"/>
    <col min="15387" max="15388" width="7.28515625" style="110" customWidth="1"/>
    <col min="15389" max="15389" width="8.42578125" style="110" customWidth="1"/>
    <col min="15390" max="15390" width="9.5703125" style="110" customWidth="1"/>
    <col min="15391" max="15391" width="6.28515625" style="110" customWidth="1"/>
    <col min="15392" max="15392" width="5.85546875" style="110" customWidth="1"/>
    <col min="15393" max="15394" width="4.42578125" style="110" customWidth="1"/>
    <col min="15395" max="15395" width="5" style="110" customWidth="1"/>
    <col min="15396" max="15396" width="5.85546875" style="110" customWidth="1"/>
    <col min="15397" max="15397" width="6.140625" style="110" customWidth="1"/>
    <col min="15398" max="15398" width="6.28515625" style="110" customWidth="1"/>
    <col min="15399" max="15399" width="4.85546875" style="110" customWidth="1"/>
    <col min="15400" max="15400" width="8.140625" style="110" customWidth="1"/>
    <col min="15401" max="15401" width="11.5703125" style="110" customWidth="1"/>
    <col min="15402" max="15402" width="13.7109375" style="110" customWidth="1"/>
    <col min="15403" max="15403" width="20.85546875" style="110" customWidth="1"/>
    <col min="15404" max="15616" width="11.42578125" style="110"/>
    <col min="15617" max="15617" width="13.140625" style="110" customWidth="1"/>
    <col min="15618" max="15618" width="4" style="110" customWidth="1"/>
    <col min="15619" max="15619" width="20.7109375" style="110" customWidth="1"/>
    <col min="15620" max="15620" width="14.7109375" style="110" customWidth="1"/>
    <col min="15621" max="15621" width="10" style="110" customWidth="1"/>
    <col min="15622" max="15622" width="6.28515625" style="110" customWidth="1"/>
    <col min="15623" max="15623" width="12.28515625" style="110" customWidth="1"/>
    <col min="15624" max="15624" width="8.5703125" style="110" customWidth="1"/>
    <col min="15625" max="15625" width="13.7109375" style="110" customWidth="1"/>
    <col min="15626" max="15626" width="11.5703125" style="110" customWidth="1"/>
    <col min="15627" max="15627" width="20" style="110" customWidth="1"/>
    <col min="15628" max="15628" width="17.42578125" style="110" customWidth="1"/>
    <col min="15629" max="15629" width="21.140625" style="110" customWidth="1"/>
    <col min="15630" max="15630" width="22.140625" style="110" customWidth="1"/>
    <col min="15631" max="15631" width="8" style="110" customWidth="1"/>
    <col min="15632" max="15632" width="17" style="110" customWidth="1"/>
    <col min="15633" max="15633" width="12.7109375" style="110" customWidth="1"/>
    <col min="15634" max="15634" width="19" style="110" customWidth="1"/>
    <col min="15635" max="15635" width="23.5703125" style="110" customWidth="1"/>
    <col min="15636" max="15636" width="31.5703125" style="110" customWidth="1"/>
    <col min="15637" max="15637" width="19" style="110" customWidth="1"/>
    <col min="15638" max="15638" width="23.28515625" style="110" customWidth="1"/>
    <col min="15639" max="15639" width="11.7109375" style="110" customWidth="1"/>
    <col min="15640" max="15640" width="11.85546875" style="110" customWidth="1"/>
    <col min="15641" max="15641" width="5.5703125" style="110" customWidth="1"/>
    <col min="15642" max="15642" width="4.7109375" style="110" customWidth="1"/>
    <col min="15643" max="15644" width="7.28515625" style="110" customWidth="1"/>
    <col min="15645" max="15645" width="8.42578125" style="110" customWidth="1"/>
    <col min="15646" max="15646" width="9.5703125" style="110" customWidth="1"/>
    <col min="15647" max="15647" width="6.28515625" style="110" customWidth="1"/>
    <col min="15648" max="15648" width="5.85546875" style="110" customWidth="1"/>
    <col min="15649" max="15650" width="4.42578125" style="110" customWidth="1"/>
    <col min="15651" max="15651" width="5" style="110" customWidth="1"/>
    <col min="15652" max="15652" width="5.85546875" style="110" customWidth="1"/>
    <col min="15653" max="15653" width="6.140625" style="110" customWidth="1"/>
    <col min="15654" max="15654" width="6.28515625" style="110" customWidth="1"/>
    <col min="15655" max="15655" width="4.85546875" style="110" customWidth="1"/>
    <col min="15656" max="15656" width="8.140625" style="110" customWidth="1"/>
    <col min="15657" max="15657" width="11.5703125" style="110" customWidth="1"/>
    <col min="15658" max="15658" width="13.7109375" style="110" customWidth="1"/>
    <col min="15659" max="15659" width="20.85546875" style="110" customWidth="1"/>
    <col min="15660" max="15872" width="11.42578125" style="110"/>
    <col min="15873" max="15873" width="13.140625" style="110" customWidth="1"/>
    <col min="15874" max="15874" width="4" style="110" customWidth="1"/>
    <col min="15875" max="15875" width="20.7109375" style="110" customWidth="1"/>
    <col min="15876" max="15876" width="14.7109375" style="110" customWidth="1"/>
    <col min="15877" max="15877" width="10" style="110" customWidth="1"/>
    <col min="15878" max="15878" width="6.28515625" style="110" customWidth="1"/>
    <col min="15879" max="15879" width="12.28515625" style="110" customWidth="1"/>
    <col min="15880" max="15880" width="8.5703125" style="110" customWidth="1"/>
    <col min="15881" max="15881" width="13.7109375" style="110" customWidth="1"/>
    <col min="15882" max="15882" width="11.5703125" style="110" customWidth="1"/>
    <col min="15883" max="15883" width="20" style="110" customWidth="1"/>
    <col min="15884" max="15884" width="17.42578125" style="110" customWidth="1"/>
    <col min="15885" max="15885" width="21.140625" style="110" customWidth="1"/>
    <col min="15886" max="15886" width="22.140625" style="110" customWidth="1"/>
    <col min="15887" max="15887" width="8" style="110" customWidth="1"/>
    <col min="15888" max="15888" width="17" style="110" customWidth="1"/>
    <col min="15889" max="15889" width="12.7109375" style="110" customWidth="1"/>
    <col min="15890" max="15890" width="19" style="110" customWidth="1"/>
    <col min="15891" max="15891" width="23.5703125" style="110" customWidth="1"/>
    <col min="15892" max="15892" width="31.5703125" style="110" customWidth="1"/>
    <col min="15893" max="15893" width="19" style="110" customWidth="1"/>
    <col min="15894" max="15894" width="23.28515625" style="110" customWidth="1"/>
    <col min="15895" max="15895" width="11.7109375" style="110" customWidth="1"/>
    <col min="15896" max="15896" width="11.85546875" style="110" customWidth="1"/>
    <col min="15897" max="15897" width="5.5703125" style="110" customWidth="1"/>
    <col min="15898" max="15898" width="4.7109375" style="110" customWidth="1"/>
    <col min="15899" max="15900" width="7.28515625" style="110" customWidth="1"/>
    <col min="15901" max="15901" width="8.42578125" style="110" customWidth="1"/>
    <col min="15902" max="15902" width="9.5703125" style="110" customWidth="1"/>
    <col min="15903" max="15903" width="6.28515625" style="110" customWidth="1"/>
    <col min="15904" max="15904" width="5.85546875" style="110" customWidth="1"/>
    <col min="15905" max="15906" width="4.42578125" style="110" customWidth="1"/>
    <col min="15907" max="15907" width="5" style="110" customWidth="1"/>
    <col min="15908" max="15908" width="5.85546875" style="110" customWidth="1"/>
    <col min="15909" max="15909" width="6.140625" style="110" customWidth="1"/>
    <col min="15910" max="15910" width="6.28515625" style="110" customWidth="1"/>
    <col min="15911" max="15911" width="4.85546875" style="110" customWidth="1"/>
    <col min="15912" max="15912" width="8.140625" style="110" customWidth="1"/>
    <col min="15913" max="15913" width="11.5703125" style="110" customWidth="1"/>
    <col min="15914" max="15914" width="13.7109375" style="110" customWidth="1"/>
    <col min="15915" max="15915" width="20.85546875" style="110" customWidth="1"/>
    <col min="15916" max="16128" width="11.42578125" style="110"/>
    <col min="16129" max="16129" width="13.140625" style="110" customWidth="1"/>
    <col min="16130" max="16130" width="4" style="110" customWidth="1"/>
    <col min="16131" max="16131" width="20.7109375" style="110" customWidth="1"/>
    <col min="16132" max="16132" width="14.7109375" style="110" customWidth="1"/>
    <col min="16133" max="16133" width="10" style="110" customWidth="1"/>
    <col min="16134" max="16134" width="6.28515625" style="110" customWidth="1"/>
    <col min="16135" max="16135" width="12.28515625" style="110" customWidth="1"/>
    <col min="16136" max="16136" width="8.5703125" style="110" customWidth="1"/>
    <col min="16137" max="16137" width="13.7109375" style="110" customWidth="1"/>
    <col min="16138" max="16138" width="11.5703125" style="110" customWidth="1"/>
    <col min="16139" max="16139" width="20" style="110" customWidth="1"/>
    <col min="16140" max="16140" width="17.42578125" style="110" customWidth="1"/>
    <col min="16141" max="16141" width="21.140625" style="110" customWidth="1"/>
    <col min="16142" max="16142" width="22.140625" style="110" customWidth="1"/>
    <col min="16143" max="16143" width="8" style="110" customWidth="1"/>
    <col min="16144" max="16144" width="17" style="110" customWidth="1"/>
    <col min="16145" max="16145" width="12.7109375" style="110" customWidth="1"/>
    <col min="16146" max="16146" width="19" style="110" customWidth="1"/>
    <col min="16147" max="16147" width="23.5703125" style="110" customWidth="1"/>
    <col min="16148" max="16148" width="31.5703125" style="110" customWidth="1"/>
    <col min="16149" max="16149" width="19" style="110" customWidth="1"/>
    <col min="16150" max="16150" width="23.28515625" style="110" customWidth="1"/>
    <col min="16151" max="16151" width="11.7109375" style="110" customWidth="1"/>
    <col min="16152" max="16152" width="11.85546875" style="110" customWidth="1"/>
    <col min="16153" max="16153" width="5.5703125" style="110" customWidth="1"/>
    <col min="16154" max="16154" width="4.7109375" style="110" customWidth="1"/>
    <col min="16155" max="16156" width="7.28515625" style="110" customWidth="1"/>
    <col min="16157" max="16157" width="8.42578125" style="110" customWidth="1"/>
    <col min="16158" max="16158" width="9.5703125" style="110" customWidth="1"/>
    <col min="16159" max="16159" width="6.28515625" style="110" customWidth="1"/>
    <col min="16160" max="16160" width="5.85546875" style="110" customWidth="1"/>
    <col min="16161" max="16162" width="4.42578125" style="110" customWidth="1"/>
    <col min="16163" max="16163" width="5" style="110" customWidth="1"/>
    <col min="16164" max="16164" width="5.85546875" style="110" customWidth="1"/>
    <col min="16165" max="16165" width="6.140625" style="110" customWidth="1"/>
    <col min="16166" max="16166" width="6.28515625" style="110" customWidth="1"/>
    <col min="16167" max="16167" width="4.85546875" style="110" customWidth="1"/>
    <col min="16168" max="16168" width="8.140625" style="110" customWidth="1"/>
    <col min="16169" max="16169" width="11.5703125" style="110" customWidth="1"/>
    <col min="16170" max="16170" width="13.7109375" style="110" customWidth="1"/>
    <col min="16171" max="16171" width="20.85546875" style="110" customWidth="1"/>
    <col min="16172" max="16384" width="11.42578125" style="110"/>
  </cols>
  <sheetData>
    <row r="1" spans="1:63" ht="15" x14ac:dyDescent="0.2">
      <c r="A1" s="2323" t="s">
        <v>133</v>
      </c>
      <c r="B1" s="2324"/>
      <c r="C1" s="2324"/>
      <c r="D1" s="2324"/>
      <c r="E1" s="2324"/>
      <c r="F1" s="2324"/>
      <c r="G1" s="2324"/>
      <c r="H1" s="2324"/>
      <c r="I1" s="2324"/>
      <c r="J1" s="2324"/>
      <c r="K1" s="2324"/>
      <c r="L1" s="2324"/>
      <c r="M1" s="2324"/>
      <c r="N1" s="2324"/>
      <c r="O1" s="2324"/>
      <c r="P1" s="2324"/>
      <c r="Q1" s="2324"/>
      <c r="R1" s="2324"/>
      <c r="S1" s="2324"/>
      <c r="T1" s="2324"/>
      <c r="U1" s="2324"/>
      <c r="V1" s="2324"/>
      <c r="W1" s="2324"/>
      <c r="X1" s="2324"/>
      <c r="Y1" s="2324"/>
      <c r="Z1" s="2324"/>
      <c r="AA1" s="2324"/>
      <c r="AB1" s="2324"/>
      <c r="AC1" s="2324"/>
      <c r="AD1" s="2324"/>
      <c r="AE1" s="2324"/>
      <c r="AF1" s="2324"/>
      <c r="AG1" s="2324"/>
      <c r="AH1" s="2324"/>
      <c r="AI1" s="2324"/>
      <c r="AJ1" s="2324"/>
      <c r="AK1" s="2324"/>
      <c r="AL1" s="2324"/>
      <c r="AM1" s="2324"/>
      <c r="AN1" s="2324"/>
      <c r="AO1" s="2324"/>
      <c r="AP1" s="2325"/>
      <c r="AQ1" s="108" t="s">
        <v>134</v>
      </c>
      <c r="AR1" s="109"/>
      <c r="AS1" s="109"/>
      <c r="AT1" s="109"/>
      <c r="AU1" s="109"/>
      <c r="AV1" s="109"/>
      <c r="AW1" s="109"/>
      <c r="AX1" s="109"/>
      <c r="AY1" s="109"/>
      <c r="AZ1" s="109"/>
      <c r="BA1" s="109"/>
      <c r="BB1" s="109"/>
      <c r="BC1" s="109"/>
      <c r="BD1" s="109"/>
      <c r="BE1" s="109"/>
      <c r="BF1" s="109"/>
      <c r="BG1" s="109"/>
      <c r="BH1" s="109"/>
      <c r="BI1" s="109"/>
      <c r="BJ1" s="109"/>
      <c r="BK1" s="109"/>
    </row>
    <row r="2" spans="1:63" ht="15" x14ac:dyDescent="0.2">
      <c r="A2" s="2326"/>
      <c r="B2" s="2252"/>
      <c r="C2" s="2252"/>
      <c r="D2" s="2252"/>
      <c r="E2" s="2252"/>
      <c r="F2" s="2252"/>
      <c r="G2" s="2252"/>
      <c r="H2" s="2252"/>
      <c r="I2" s="2252"/>
      <c r="J2" s="2252"/>
      <c r="K2" s="2252"/>
      <c r="L2" s="2252"/>
      <c r="M2" s="2252"/>
      <c r="N2" s="2252"/>
      <c r="O2" s="2252"/>
      <c r="P2" s="2252"/>
      <c r="Q2" s="2252"/>
      <c r="R2" s="2252"/>
      <c r="S2" s="2252"/>
      <c r="T2" s="2252"/>
      <c r="U2" s="2252"/>
      <c r="V2" s="2252"/>
      <c r="W2" s="2252"/>
      <c r="X2" s="2252"/>
      <c r="Y2" s="2252"/>
      <c r="Z2" s="2252"/>
      <c r="AA2" s="2252"/>
      <c r="AB2" s="2252"/>
      <c r="AC2" s="2252"/>
      <c r="AD2" s="2252"/>
      <c r="AE2" s="2252"/>
      <c r="AF2" s="2252"/>
      <c r="AG2" s="2252"/>
      <c r="AH2" s="2252"/>
      <c r="AI2" s="2252"/>
      <c r="AJ2" s="2252"/>
      <c r="AK2" s="2252"/>
      <c r="AL2" s="2252"/>
      <c r="AM2" s="2252"/>
      <c r="AN2" s="2252"/>
      <c r="AO2" s="2252"/>
      <c r="AP2" s="2253"/>
      <c r="AQ2" s="111" t="s">
        <v>135</v>
      </c>
      <c r="AR2" s="109"/>
      <c r="AS2" s="109"/>
      <c r="AT2" s="109"/>
      <c r="AU2" s="109"/>
      <c r="AV2" s="109"/>
      <c r="AW2" s="109"/>
      <c r="AX2" s="109"/>
      <c r="AY2" s="109"/>
      <c r="AZ2" s="109"/>
      <c r="BA2" s="109"/>
      <c r="BB2" s="109"/>
      <c r="BC2" s="109"/>
      <c r="BD2" s="109"/>
      <c r="BE2" s="109"/>
      <c r="BF2" s="109"/>
      <c r="BG2" s="109"/>
      <c r="BH2" s="109"/>
      <c r="BI2" s="109"/>
      <c r="BJ2" s="109"/>
      <c r="BK2" s="109"/>
    </row>
    <row r="3" spans="1:63" ht="15" x14ac:dyDescent="0.2">
      <c r="A3" s="2326"/>
      <c r="B3" s="2252"/>
      <c r="C3" s="2252"/>
      <c r="D3" s="2252"/>
      <c r="E3" s="2252"/>
      <c r="F3" s="2252"/>
      <c r="G3" s="2252"/>
      <c r="H3" s="2252"/>
      <c r="I3" s="2252"/>
      <c r="J3" s="2252"/>
      <c r="K3" s="2252"/>
      <c r="L3" s="2252"/>
      <c r="M3" s="2252"/>
      <c r="N3" s="2252"/>
      <c r="O3" s="2252"/>
      <c r="P3" s="2252"/>
      <c r="Q3" s="2252"/>
      <c r="R3" s="2252"/>
      <c r="S3" s="2252"/>
      <c r="T3" s="2252"/>
      <c r="U3" s="2252"/>
      <c r="V3" s="2252"/>
      <c r="W3" s="2252"/>
      <c r="X3" s="2252"/>
      <c r="Y3" s="2252"/>
      <c r="Z3" s="2252"/>
      <c r="AA3" s="2252"/>
      <c r="AB3" s="2252"/>
      <c r="AC3" s="2252"/>
      <c r="AD3" s="2252"/>
      <c r="AE3" s="2252"/>
      <c r="AF3" s="2252"/>
      <c r="AG3" s="2252"/>
      <c r="AH3" s="2252"/>
      <c r="AI3" s="2252"/>
      <c r="AJ3" s="2252"/>
      <c r="AK3" s="2252"/>
      <c r="AL3" s="2252"/>
      <c r="AM3" s="2252"/>
      <c r="AN3" s="2252"/>
      <c r="AO3" s="2252"/>
      <c r="AP3" s="2253"/>
      <c r="AQ3" s="112" t="s">
        <v>136</v>
      </c>
      <c r="AR3" s="109"/>
      <c r="AS3" s="109"/>
      <c r="AT3" s="109"/>
      <c r="AU3" s="109"/>
      <c r="AV3" s="109"/>
      <c r="AW3" s="109"/>
      <c r="AX3" s="109"/>
      <c r="AY3" s="109"/>
      <c r="AZ3" s="109"/>
      <c r="BA3" s="109"/>
      <c r="BB3" s="109"/>
      <c r="BC3" s="109"/>
      <c r="BD3" s="109"/>
      <c r="BE3" s="109"/>
      <c r="BF3" s="109"/>
      <c r="BG3" s="109"/>
      <c r="BH3" s="109"/>
      <c r="BI3" s="109"/>
      <c r="BJ3" s="109"/>
      <c r="BK3" s="109"/>
    </row>
    <row r="4" spans="1:63" ht="15" x14ac:dyDescent="0.2">
      <c r="A4" s="2327"/>
      <c r="B4" s="2254"/>
      <c r="C4" s="2254"/>
      <c r="D4" s="2254"/>
      <c r="E4" s="2254"/>
      <c r="F4" s="2254"/>
      <c r="G4" s="2254"/>
      <c r="H4" s="2254"/>
      <c r="I4" s="2254"/>
      <c r="J4" s="2254"/>
      <c r="K4" s="2254"/>
      <c r="L4" s="2254"/>
      <c r="M4" s="2254"/>
      <c r="N4" s="2254"/>
      <c r="O4" s="2254"/>
      <c r="P4" s="2254"/>
      <c r="Q4" s="2254"/>
      <c r="R4" s="2254"/>
      <c r="S4" s="2254"/>
      <c r="T4" s="2254"/>
      <c r="U4" s="2254"/>
      <c r="V4" s="2254"/>
      <c r="W4" s="2254"/>
      <c r="X4" s="2254"/>
      <c r="Y4" s="2254"/>
      <c r="Z4" s="2254"/>
      <c r="AA4" s="2254"/>
      <c r="AB4" s="2254"/>
      <c r="AC4" s="2254"/>
      <c r="AD4" s="2254"/>
      <c r="AE4" s="2254"/>
      <c r="AF4" s="2254"/>
      <c r="AG4" s="2254"/>
      <c r="AH4" s="2254"/>
      <c r="AI4" s="2254"/>
      <c r="AJ4" s="2254"/>
      <c r="AK4" s="2254"/>
      <c r="AL4" s="2254"/>
      <c r="AM4" s="2254"/>
      <c r="AN4" s="2254"/>
      <c r="AO4" s="2254"/>
      <c r="AP4" s="2255"/>
      <c r="AQ4" s="113" t="s">
        <v>1</v>
      </c>
      <c r="AR4" s="109"/>
      <c r="AS4" s="109"/>
      <c r="AT4" s="109"/>
      <c r="AU4" s="109"/>
      <c r="AV4" s="109"/>
      <c r="AW4" s="109"/>
      <c r="AX4" s="109"/>
      <c r="AY4" s="109"/>
      <c r="AZ4" s="109"/>
      <c r="BA4" s="109"/>
      <c r="BB4" s="109"/>
      <c r="BC4" s="109"/>
      <c r="BD4" s="109"/>
      <c r="BE4" s="109"/>
      <c r="BF4" s="109"/>
      <c r="BG4" s="109"/>
      <c r="BH4" s="109"/>
      <c r="BI4" s="109"/>
      <c r="BJ4" s="109"/>
      <c r="BK4" s="109"/>
    </row>
    <row r="5" spans="1:63" ht="15.75" x14ac:dyDescent="0.2">
      <c r="A5" s="2328" t="s">
        <v>2</v>
      </c>
      <c r="B5" s="2329"/>
      <c r="C5" s="2329"/>
      <c r="D5" s="2329"/>
      <c r="E5" s="2329"/>
      <c r="F5" s="2329"/>
      <c r="G5" s="2329"/>
      <c r="H5" s="2329"/>
      <c r="I5" s="2329"/>
      <c r="J5" s="2329"/>
      <c r="K5" s="2329"/>
      <c r="L5" s="2329"/>
      <c r="M5" s="2329"/>
      <c r="N5" s="2258" t="s">
        <v>137</v>
      </c>
      <c r="O5" s="2258"/>
      <c r="P5" s="2258"/>
      <c r="Q5" s="2258"/>
      <c r="R5" s="2258"/>
      <c r="S5" s="2258"/>
      <c r="T5" s="2258"/>
      <c r="U5" s="2258"/>
      <c r="V5" s="2258"/>
      <c r="W5" s="2258"/>
      <c r="X5" s="2258"/>
      <c r="Y5" s="2258"/>
      <c r="Z5" s="2258"/>
      <c r="AA5" s="2258"/>
      <c r="AB5" s="2258"/>
      <c r="AC5" s="2258"/>
      <c r="AD5" s="2258"/>
      <c r="AE5" s="2258"/>
      <c r="AF5" s="2258"/>
      <c r="AG5" s="2258"/>
      <c r="AH5" s="2258"/>
      <c r="AI5" s="2258"/>
      <c r="AJ5" s="2258"/>
      <c r="AK5" s="2258"/>
      <c r="AL5" s="2258"/>
      <c r="AM5" s="2258"/>
      <c r="AN5" s="2258"/>
      <c r="AO5" s="2258"/>
      <c r="AP5" s="2258"/>
      <c r="AQ5" s="2332"/>
      <c r="AR5" s="109"/>
      <c r="AS5" s="109"/>
      <c r="AT5" s="109"/>
      <c r="AU5" s="109"/>
      <c r="AV5" s="109"/>
      <c r="AW5" s="109"/>
      <c r="AX5" s="109"/>
      <c r="AY5" s="109"/>
      <c r="AZ5" s="109"/>
      <c r="BA5" s="109"/>
      <c r="BB5" s="109"/>
      <c r="BC5" s="109"/>
      <c r="BD5" s="109"/>
      <c r="BE5" s="109"/>
      <c r="BF5" s="109"/>
      <c r="BG5" s="109"/>
      <c r="BH5" s="109"/>
      <c r="BI5" s="109"/>
      <c r="BJ5" s="109"/>
      <c r="BK5" s="109"/>
    </row>
    <row r="6" spans="1:63" ht="15.75" x14ac:dyDescent="0.2">
      <c r="A6" s="2330"/>
      <c r="B6" s="2331"/>
      <c r="C6" s="2331"/>
      <c r="D6" s="2331"/>
      <c r="E6" s="2331"/>
      <c r="F6" s="2331"/>
      <c r="G6" s="2331"/>
      <c r="H6" s="2331"/>
      <c r="I6" s="2331"/>
      <c r="J6" s="2331"/>
      <c r="K6" s="2331"/>
      <c r="L6" s="2331"/>
      <c r="M6" s="2331"/>
      <c r="N6" s="115"/>
      <c r="O6" s="116"/>
      <c r="P6" s="116"/>
      <c r="Q6" s="117"/>
      <c r="R6" s="118"/>
      <c r="S6" s="116"/>
      <c r="T6" s="116"/>
      <c r="U6" s="116"/>
      <c r="V6" s="119"/>
      <c r="W6" s="120"/>
      <c r="X6" s="116"/>
      <c r="Y6" s="2333" t="s">
        <v>4</v>
      </c>
      <c r="Z6" s="2331"/>
      <c r="AA6" s="2331"/>
      <c r="AB6" s="2331"/>
      <c r="AC6" s="2331"/>
      <c r="AD6" s="2331"/>
      <c r="AE6" s="2331"/>
      <c r="AF6" s="2331"/>
      <c r="AG6" s="2331"/>
      <c r="AH6" s="2331"/>
      <c r="AI6" s="2331"/>
      <c r="AJ6" s="2331"/>
      <c r="AK6" s="2331"/>
      <c r="AL6" s="2331"/>
      <c r="AM6" s="2334"/>
      <c r="AN6" s="117"/>
      <c r="AO6" s="120"/>
      <c r="AP6" s="120"/>
      <c r="AQ6" s="121"/>
      <c r="AR6" s="109"/>
      <c r="AS6" s="109"/>
      <c r="AT6" s="109"/>
      <c r="AU6" s="109"/>
      <c r="AV6" s="109"/>
      <c r="AW6" s="109"/>
      <c r="AX6" s="109"/>
      <c r="AY6" s="109"/>
      <c r="AZ6" s="109"/>
      <c r="BA6" s="109"/>
      <c r="BB6" s="109"/>
      <c r="BC6" s="109"/>
      <c r="BD6" s="109"/>
      <c r="BE6" s="109"/>
      <c r="BF6" s="109"/>
      <c r="BG6" s="109"/>
      <c r="BH6" s="109"/>
      <c r="BI6" s="109"/>
      <c r="BJ6" s="109"/>
      <c r="BK6" s="109"/>
    </row>
    <row r="7" spans="1:63" ht="15.75" customHeight="1" x14ac:dyDescent="0.2">
      <c r="A7" s="2335" t="s">
        <v>5</v>
      </c>
      <c r="B7" s="2238" t="s">
        <v>6</v>
      </c>
      <c r="C7" s="2238"/>
      <c r="D7" s="2238" t="s">
        <v>5</v>
      </c>
      <c r="E7" s="2238" t="s">
        <v>7</v>
      </c>
      <c r="F7" s="2238"/>
      <c r="G7" s="2238" t="s">
        <v>5</v>
      </c>
      <c r="H7" s="2238" t="s">
        <v>8</v>
      </c>
      <c r="I7" s="2238"/>
      <c r="J7" s="2238" t="s">
        <v>5</v>
      </c>
      <c r="K7" s="2238" t="s">
        <v>9</v>
      </c>
      <c r="L7" s="2238" t="s">
        <v>10</v>
      </c>
      <c r="M7" s="2238" t="s">
        <v>11</v>
      </c>
      <c r="N7" s="2238" t="s">
        <v>12</v>
      </c>
      <c r="O7" s="2238" t="s">
        <v>13</v>
      </c>
      <c r="P7" s="2238" t="s">
        <v>3</v>
      </c>
      <c r="Q7" s="2341" t="s">
        <v>14</v>
      </c>
      <c r="R7" s="2313" t="s">
        <v>15</v>
      </c>
      <c r="S7" s="2264" t="s">
        <v>16</v>
      </c>
      <c r="T7" s="2315" t="s">
        <v>17</v>
      </c>
      <c r="U7" s="2317" t="s">
        <v>18</v>
      </c>
      <c r="V7" s="122" t="s">
        <v>15</v>
      </c>
      <c r="W7" s="123"/>
      <c r="X7" s="2265" t="s">
        <v>19</v>
      </c>
      <c r="Y7" s="2240" t="s">
        <v>20</v>
      </c>
      <c r="Z7" s="2241"/>
      <c r="AA7" s="2242" t="s">
        <v>21</v>
      </c>
      <c r="AB7" s="2243"/>
      <c r="AC7" s="2243"/>
      <c r="AD7" s="2243"/>
      <c r="AE7" s="2244" t="s">
        <v>22</v>
      </c>
      <c r="AF7" s="2245"/>
      <c r="AG7" s="2245"/>
      <c r="AH7" s="2245"/>
      <c r="AI7" s="2245"/>
      <c r="AJ7" s="2245"/>
      <c r="AK7" s="2242" t="s">
        <v>23</v>
      </c>
      <c r="AL7" s="2243"/>
      <c r="AM7" s="2243"/>
      <c r="AN7" s="2337" t="s">
        <v>24</v>
      </c>
      <c r="AO7" s="2321" t="s">
        <v>25</v>
      </c>
      <c r="AP7" s="2321" t="s">
        <v>26</v>
      </c>
      <c r="AQ7" s="2339" t="s">
        <v>27</v>
      </c>
      <c r="AR7" s="109"/>
      <c r="AS7" s="109"/>
      <c r="AT7" s="109"/>
      <c r="AU7" s="109"/>
      <c r="AV7" s="109"/>
      <c r="AW7" s="109"/>
      <c r="AX7" s="109"/>
      <c r="AY7" s="109"/>
      <c r="AZ7" s="109"/>
      <c r="BA7" s="109"/>
      <c r="BB7" s="109"/>
      <c r="BC7" s="109"/>
      <c r="BD7" s="109"/>
      <c r="BE7" s="109"/>
      <c r="BF7" s="109"/>
      <c r="BG7" s="109"/>
      <c r="BH7" s="109"/>
      <c r="BI7" s="109"/>
      <c r="BJ7" s="109"/>
      <c r="BK7" s="109"/>
    </row>
    <row r="8" spans="1:63" ht="145.5" customHeight="1" x14ac:dyDescent="0.2">
      <c r="A8" s="2336"/>
      <c r="B8" s="2239"/>
      <c r="C8" s="2239"/>
      <c r="D8" s="2239"/>
      <c r="E8" s="2239"/>
      <c r="F8" s="2239"/>
      <c r="G8" s="2239"/>
      <c r="H8" s="2239"/>
      <c r="I8" s="2239"/>
      <c r="J8" s="2239"/>
      <c r="K8" s="2239"/>
      <c r="L8" s="2239"/>
      <c r="M8" s="2239"/>
      <c r="N8" s="2267"/>
      <c r="O8" s="2239"/>
      <c r="P8" s="2239"/>
      <c r="Q8" s="2342"/>
      <c r="R8" s="2314"/>
      <c r="S8" s="2266"/>
      <c r="T8" s="2316"/>
      <c r="U8" s="2318"/>
      <c r="V8" s="218" t="s">
        <v>42</v>
      </c>
      <c r="W8" s="219" t="s">
        <v>5</v>
      </c>
      <c r="X8" s="2267"/>
      <c r="Y8" s="124" t="s">
        <v>28</v>
      </c>
      <c r="Z8" s="125" t="s">
        <v>29</v>
      </c>
      <c r="AA8" s="124" t="s">
        <v>30</v>
      </c>
      <c r="AB8" s="124" t="s">
        <v>31</v>
      </c>
      <c r="AC8" s="124" t="s">
        <v>138</v>
      </c>
      <c r="AD8" s="124" t="s">
        <v>225</v>
      </c>
      <c r="AE8" s="124" t="s">
        <v>33</v>
      </c>
      <c r="AF8" s="124" t="s">
        <v>34</v>
      </c>
      <c r="AG8" s="124" t="s">
        <v>35</v>
      </c>
      <c r="AH8" s="124" t="s">
        <v>36</v>
      </c>
      <c r="AI8" s="124" t="s">
        <v>37</v>
      </c>
      <c r="AJ8" s="124" t="s">
        <v>38</v>
      </c>
      <c r="AK8" s="124" t="s">
        <v>39</v>
      </c>
      <c r="AL8" s="124" t="s">
        <v>40</v>
      </c>
      <c r="AM8" s="124" t="s">
        <v>41</v>
      </c>
      <c r="AN8" s="2338"/>
      <c r="AO8" s="2322"/>
      <c r="AP8" s="2322"/>
      <c r="AQ8" s="2340"/>
      <c r="AR8" s="109"/>
      <c r="AS8" s="109"/>
      <c r="AT8" s="109"/>
      <c r="AU8" s="109"/>
      <c r="AV8" s="109"/>
      <c r="AW8" s="109"/>
      <c r="AX8" s="109"/>
      <c r="AY8" s="109"/>
      <c r="AZ8" s="109"/>
      <c r="BA8" s="109"/>
      <c r="BB8" s="109"/>
      <c r="BC8" s="109"/>
      <c r="BD8" s="109"/>
      <c r="BE8" s="109"/>
      <c r="BF8" s="109"/>
      <c r="BG8" s="109"/>
      <c r="BH8" s="109"/>
      <c r="BI8" s="109"/>
      <c r="BJ8" s="109"/>
      <c r="BK8" s="109"/>
    </row>
    <row r="9" spans="1:63" ht="15.75" x14ac:dyDescent="0.2">
      <c r="A9" s="126">
        <v>5</v>
      </c>
      <c r="B9" s="127" t="s">
        <v>43</v>
      </c>
      <c r="C9" s="127"/>
      <c r="D9" s="128"/>
      <c r="E9" s="128"/>
      <c r="F9" s="127"/>
      <c r="G9" s="127"/>
      <c r="H9" s="127"/>
      <c r="I9" s="127"/>
      <c r="J9" s="127"/>
      <c r="K9" s="129"/>
      <c r="L9" s="129"/>
      <c r="M9" s="130"/>
      <c r="N9" s="129"/>
      <c r="O9" s="129"/>
      <c r="P9" s="129"/>
      <c r="Q9" s="131"/>
      <c r="R9" s="132"/>
      <c r="S9" s="129"/>
      <c r="T9" s="129"/>
      <c r="U9" s="129"/>
      <c r="V9" s="133"/>
      <c r="W9" s="134"/>
      <c r="X9" s="129"/>
      <c r="Y9" s="127"/>
      <c r="Z9" s="127"/>
      <c r="AA9" s="127"/>
      <c r="AB9" s="127"/>
      <c r="AC9" s="127"/>
      <c r="AD9" s="127"/>
      <c r="AE9" s="127"/>
      <c r="AF9" s="127"/>
      <c r="AG9" s="127"/>
      <c r="AH9" s="127"/>
      <c r="AI9" s="127"/>
      <c r="AJ9" s="127"/>
      <c r="AK9" s="127"/>
      <c r="AL9" s="127"/>
      <c r="AM9" s="127"/>
      <c r="AN9" s="127"/>
      <c r="AO9" s="135"/>
      <c r="AP9" s="135"/>
      <c r="AQ9" s="136"/>
      <c r="AR9" s="109"/>
      <c r="AS9" s="109"/>
      <c r="AT9" s="109"/>
      <c r="AU9" s="109"/>
      <c r="AV9" s="109"/>
      <c r="AW9" s="109"/>
      <c r="AX9" s="109"/>
      <c r="AY9" s="109"/>
      <c r="AZ9" s="109"/>
      <c r="BA9" s="109"/>
      <c r="BB9" s="109"/>
      <c r="BC9" s="109"/>
      <c r="BD9" s="109"/>
      <c r="BE9" s="109"/>
      <c r="BF9" s="109"/>
      <c r="BG9" s="109"/>
      <c r="BH9" s="109"/>
      <c r="BI9" s="109"/>
      <c r="BJ9" s="109"/>
      <c r="BK9" s="109"/>
    </row>
    <row r="10" spans="1:63" s="109" customFormat="1" ht="15.75" x14ac:dyDescent="0.2">
      <c r="A10" s="137"/>
      <c r="B10" s="138"/>
      <c r="C10" s="138"/>
      <c r="D10" s="139">
        <v>28</v>
      </c>
      <c r="E10" s="140" t="s">
        <v>139</v>
      </c>
      <c r="F10" s="140"/>
      <c r="G10" s="140"/>
      <c r="H10" s="140"/>
      <c r="I10" s="140"/>
      <c r="J10" s="140"/>
      <c r="K10" s="141"/>
      <c r="L10" s="141"/>
      <c r="M10" s="142"/>
      <c r="N10" s="143"/>
      <c r="O10" s="141"/>
      <c r="P10" s="141"/>
      <c r="Q10" s="144"/>
      <c r="R10" s="145"/>
      <c r="S10" s="141"/>
      <c r="T10" s="141"/>
      <c r="U10" s="141"/>
      <c r="V10" s="146"/>
      <c r="W10" s="147"/>
      <c r="X10" s="141"/>
      <c r="Y10" s="140"/>
      <c r="Z10" s="140"/>
      <c r="AA10" s="140"/>
      <c r="AB10" s="140"/>
      <c r="AC10" s="140"/>
      <c r="AD10" s="140"/>
      <c r="AE10" s="140"/>
      <c r="AF10" s="140"/>
      <c r="AG10" s="140"/>
      <c r="AH10" s="140"/>
      <c r="AI10" s="140"/>
      <c r="AJ10" s="140"/>
      <c r="AK10" s="140"/>
      <c r="AL10" s="140"/>
      <c r="AM10" s="140"/>
      <c r="AN10" s="140"/>
      <c r="AO10" s="148"/>
      <c r="AP10" s="148"/>
      <c r="AQ10" s="149"/>
    </row>
    <row r="11" spans="1:63" s="109" customFormat="1" ht="15.75" x14ac:dyDescent="0.2">
      <c r="A11" s="137"/>
      <c r="B11" s="138"/>
      <c r="C11" s="138"/>
      <c r="D11" s="150"/>
      <c r="E11" s="138"/>
      <c r="F11" s="138"/>
      <c r="G11" s="151">
        <v>89</v>
      </c>
      <c r="H11" s="152" t="s">
        <v>45</v>
      </c>
      <c r="I11" s="152"/>
      <c r="J11" s="152"/>
      <c r="K11" s="153"/>
      <c r="L11" s="153"/>
      <c r="M11" s="154"/>
      <c r="N11" s="155"/>
      <c r="O11" s="153"/>
      <c r="P11" s="153"/>
      <c r="Q11" s="156"/>
      <c r="R11" s="157"/>
      <c r="S11" s="153"/>
      <c r="T11" s="153"/>
      <c r="U11" s="153"/>
      <c r="V11" s="158"/>
      <c r="W11" s="159"/>
      <c r="X11" s="153"/>
      <c r="Y11" s="160"/>
      <c r="Z11" s="160"/>
      <c r="AA11" s="160"/>
      <c r="AB11" s="160"/>
      <c r="AC11" s="160"/>
      <c r="AD11" s="160"/>
      <c r="AE11" s="160"/>
      <c r="AF11" s="160"/>
      <c r="AG11" s="160"/>
      <c r="AH11" s="160"/>
      <c r="AI11" s="160"/>
      <c r="AJ11" s="160"/>
      <c r="AK11" s="160"/>
      <c r="AL11" s="160"/>
      <c r="AM11" s="160"/>
      <c r="AN11" s="160"/>
      <c r="AO11" s="161"/>
      <c r="AP11" s="161"/>
      <c r="AQ11" s="162"/>
    </row>
    <row r="12" spans="1:63" s="170" customFormat="1" ht="76.5" customHeight="1" x14ac:dyDescent="0.2">
      <c r="A12" s="163"/>
      <c r="B12" s="164"/>
      <c r="C12" s="164"/>
      <c r="D12" s="165"/>
      <c r="E12" s="164"/>
      <c r="F12" s="164"/>
      <c r="G12" s="166"/>
      <c r="H12" s="164"/>
      <c r="I12" s="164"/>
      <c r="J12" s="2275">
        <v>275</v>
      </c>
      <c r="K12" s="2277" t="s">
        <v>140</v>
      </c>
      <c r="L12" s="2277" t="s">
        <v>141</v>
      </c>
      <c r="M12" s="2278">
        <v>4</v>
      </c>
      <c r="N12" s="167"/>
      <c r="O12" s="2306" t="s">
        <v>142</v>
      </c>
      <c r="P12" s="2147" t="s">
        <v>143</v>
      </c>
      <c r="Q12" s="2281">
        <f>SUM(V12:V14)/R12</f>
        <v>0.67599522873623608</v>
      </c>
      <c r="R12" s="2319">
        <f>SUM(V12:V19)</f>
        <v>2184941457</v>
      </c>
      <c r="S12" s="2147" t="s">
        <v>144</v>
      </c>
      <c r="T12" s="2277" t="s">
        <v>145</v>
      </c>
      <c r="U12" s="168" t="s">
        <v>146</v>
      </c>
      <c r="V12" s="169">
        <f>52000000+26000000</f>
        <v>78000000</v>
      </c>
      <c r="W12" s="2320" t="s">
        <v>147</v>
      </c>
      <c r="X12" s="2184" t="s">
        <v>148</v>
      </c>
      <c r="Y12" s="2305">
        <v>292684</v>
      </c>
      <c r="Z12" s="2305">
        <v>282326</v>
      </c>
      <c r="AA12" s="2305">
        <v>135912</v>
      </c>
      <c r="AB12" s="2305">
        <v>45122</v>
      </c>
      <c r="AC12" s="2305">
        <v>307101</v>
      </c>
      <c r="AD12" s="2305">
        <v>86875</v>
      </c>
      <c r="AE12" s="2305">
        <v>2145</v>
      </c>
      <c r="AF12" s="2305">
        <v>12718</v>
      </c>
      <c r="AG12" s="2305">
        <v>26</v>
      </c>
      <c r="AH12" s="2305">
        <v>37</v>
      </c>
      <c r="AI12" s="2305">
        <v>0</v>
      </c>
      <c r="AJ12" s="2305">
        <v>0</v>
      </c>
      <c r="AK12" s="2305">
        <v>53164</v>
      </c>
      <c r="AL12" s="2305">
        <v>16982</v>
      </c>
      <c r="AM12" s="2305">
        <v>60013</v>
      </c>
      <c r="AN12" s="2305">
        <v>575010</v>
      </c>
      <c r="AO12" s="2291">
        <v>43101</v>
      </c>
      <c r="AP12" s="2293">
        <v>43465</v>
      </c>
      <c r="AQ12" s="2294" t="s">
        <v>149</v>
      </c>
    </row>
    <row r="13" spans="1:63" s="170" customFormat="1" ht="76.5" customHeight="1" x14ac:dyDescent="0.2">
      <c r="A13" s="163"/>
      <c r="B13" s="164"/>
      <c r="C13" s="164"/>
      <c r="D13" s="165"/>
      <c r="E13" s="164"/>
      <c r="F13" s="164"/>
      <c r="G13" s="165"/>
      <c r="H13" s="164"/>
      <c r="I13" s="164"/>
      <c r="J13" s="2275"/>
      <c r="K13" s="2277"/>
      <c r="L13" s="2277"/>
      <c r="M13" s="2278"/>
      <c r="N13" s="171" t="s">
        <v>150</v>
      </c>
      <c r="O13" s="2306"/>
      <c r="P13" s="2147"/>
      <c r="Q13" s="2281"/>
      <c r="R13" s="2319"/>
      <c r="S13" s="2147"/>
      <c r="T13" s="2277"/>
      <c r="U13" s="168" t="s">
        <v>151</v>
      </c>
      <c r="V13" s="169">
        <f>52000000+8000000</f>
        <v>60000000</v>
      </c>
      <c r="W13" s="2320"/>
      <c r="X13" s="2184"/>
      <c r="Y13" s="2305"/>
      <c r="Z13" s="2305"/>
      <c r="AA13" s="2305"/>
      <c r="AB13" s="2305"/>
      <c r="AC13" s="2305"/>
      <c r="AD13" s="2305"/>
      <c r="AE13" s="2305"/>
      <c r="AF13" s="2305"/>
      <c r="AG13" s="2305"/>
      <c r="AH13" s="2305"/>
      <c r="AI13" s="2305"/>
      <c r="AJ13" s="2305"/>
      <c r="AK13" s="2305"/>
      <c r="AL13" s="2305"/>
      <c r="AM13" s="2305"/>
      <c r="AN13" s="2305"/>
      <c r="AO13" s="2309"/>
      <c r="AP13" s="2311"/>
      <c r="AQ13" s="2294"/>
    </row>
    <row r="14" spans="1:63" s="170" customFormat="1" ht="76.5" customHeight="1" x14ac:dyDescent="0.2">
      <c r="A14" s="163"/>
      <c r="B14" s="164"/>
      <c r="C14" s="164"/>
      <c r="D14" s="165"/>
      <c r="E14" s="164"/>
      <c r="F14" s="164"/>
      <c r="G14" s="165"/>
      <c r="H14" s="164"/>
      <c r="I14" s="164"/>
      <c r="J14" s="2276"/>
      <c r="K14" s="2277"/>
      <c r="L14" s="2277"/>
      <c r="M14" s="2278"/>
      <c r="N14" s="171" t="s">
        <v>152</v>
      </c>
      <c r="O14" s="2306"/>
      <c r="P14" s="2147"/>
      <c r="Q14" s="2281"/>
      <c r="R14" s="2319"/>
      <c r="S14" s="2147"/>
      <c r="T14" s="2277"/>
      <c r="U14" s="168" t="s">
        <v>153</v>
      </c>
      <c r="V14" s="169">
        <f>796000000+353010000+75000000+115000000</f>
        <v>1339010000</v>
      </c>
      <c r="W14" s="2320"/>
      <c r="X14" s="2184"/>
      <c r="Y14" s="2305"/>
      <c r="Z14" s="2305"/>
      <c r="AA14" s="2305"/>
      <c r="AB14" s="2305"/>
      <c r="AC14" s="2305"/>
      <c r="AD14" s="2305"/>
      <c r="AE14" s="2305"/>
      <c r="AF14" s="2305"/>
      <c r="AG14" s="2305"/>
      <c r="AH14" s="2305"/>
      <c r="AI14" s="2305"/>
      <c r="AJ14" s="2305"/>
      <c r="AK14" s="2305"/>
      <c r="AL14" s="2305"/>
      <c r="AM14" s="2305"/>
      <c r="AN14" s="2305"/>
      <c r="AO14" s="2309"/>
      <c r="AP14" s="2311"/>
      <c r="AQ14" s="2294"/>
    </row>
    <row r="15" spans="1:63" s="170" customFormat="1" ht="54" customHeight="1" x14ac:dyDescent="0.2">
      <c r="A15" s="163"/>
      <c r="B15" s="2274"/>
      <c r="C15" s="2274"/>
      <c r="D15" s="165"/>
      <c r="E15" s="2274"/>
      <c r="F15" s="2274"/>
      <c r="G15" s="165"/>
      <c r="H15" s="2274"/>
      <c r="I15" s="2274"/>
      <c r="J15" s="2276">
        <v>276</v>
      </c>
      <c r="K15" s="2308" t="s">
        <v>154</v>
      </c>
      <c r="L15" s="2277" t="s">
        <v>155</v>
      </c>
      <c r="M15" s="2278">
        <v>1</v>
      </c>
      <c r="N15" s="2302" t="s">
        <v>156</v>
      </c>
      <c r="O15" s="2306"/>
      <c r="P15" s="2147"/>
      <c r="Q15" s="2281">
        <f>+V15/R12</f>
        <v>0.15112142064134032</v>
      </c>
      <c r="R15" s="2319"/>
      <c r="S15" s="2147"/>
      <c r="T15" s="2277" t="s">
        <v>157</v>
      </c>
      <c r="U15" s="2277" t="s">
        <v>158</v>
      </c>
      <c r="V15" s="2303">
        <v>330191457</v>
      </c>
      <c r="W15" s="2320"/>
      <c r="X15" s="2184"/>
      <c r="Y15" s="2305"/>
      <c r="Z15" s="2305"/>
      <c r="AA15" s="2305"/>
      <c r="AB15" s="2305"/>
      <c r="AC15" s="2305"/>
      <c r="AD15" s="2305"/>
      <c r="AE15" s="2305"/>
      <c r="AF15" s="2305"/>
      <c r="AG15" s="2305"/>
      <c r="AH15" s="2305"/>
      <c r="AI15" s="2305"/>
      <c r="AJ15" s="2305"/>
      <c r="AK15" s="2305"/>
      <c r="AL15" s="2305"/>
      <c r="AM15" s="2305"/>
      <c r="AN15" s="2305"/>
      <c r="AO15" s="2309"/>
      <c r="AP15" s="2311"/>
      <c r="AQ15" s="2294"/>
    </row>
    <row r="16" spans="1:63" s="170" customFormat="1" ht="64.5" customHeight="1" x14ac:dyDescent="0.2">
      <c r="A16" s="163"/>
      <c r="B16" s="164"/>
      <c r="C16" s="164"/>
      <c r="D16" s="165"/>
      <c r="E16" s="164"/>
      <c r="F16" s="164"/>
      <c r="G16" s="165"/>
      <c r="H16" s="164"/>
      <c r="I16" s="164"/>
      <c r="J16" s="2307"/>
      <c r="K16" s="2308"/>
      <c r="L16" s="2277"/>
      <c r="M16" s="2278"/>
      <c r="N16" s="2302"/>
      <c r="O16" s="2306"/>
      <c r="P16" s="2147"/>
      <c r="Q16" s="2281"/>
      <c r="R16" s="2319"/>
      <c r="S16" s="2147"/>
      <c r="T16" s="2277"/>
      <c r="U16" s="2277"/>
      <c r="V16" s="2303"/>
      <c r="W16" s="2320"/>
      <c r="X16" s="2184"/>
      <c r="Y16" s="2305"/>
      <c r="Z16" s="2305"/>
      <c r="AA16" s="2305"/>
      <c r="AB16" s="2305"/>
      <c r="AC16" s="2305"/>
      <c r="AD16" s="2305"/>
      <c r="AE16" s="2305"/>
      <c r="AF16" s="2305"/>
      <c r="AG16" s="2305"/>
      <c r="AH16" s="2305"/>
      <c r="AI16" s="2305"/>
      <c r="AJ16" s="2305"/>
      <c r="AK16" s="2305"/>
      <c r="AL16" s="2305"/>
      <c r="AM16" s="2305"/>
      <c r="AN16" s="2305"/>
      <c r="AO16" s="2309"/>
      <c r="AP16" s="2311"/>
      <c r="AQ16" s="2294"/>
    </row>
    <row r="17" spans="1:119" s="170" customFormat="1" ht="57" customHeight="1" x14ac:dyDescent="0.2">
      <c r="A17" s="163"/>
      <c r="B17" s="164"/>
      <c r="C17" s="164"/>
      <c r="D17" s="165"/>
      <c r="E17" s="164"/>
      <c r="F17" s="164"/>
      <c r="G17" s="165"/>
      <c r="H17" s="164"/>
      <c r="I17" s="164"/>
      <c r="J17" s="2279">
        <v>277</v>
      </c>
      <c r="K17" s="2277" t="s">
        <v>159</v>
      </c>
      <c r="L17" s="2277" t="s">
        <v>160</v>
      </c>
      <c r="M17" s="2278">
        <v>1</v>
      </c>
      <c r="N17" s="2302"/>
      <c r="O17" s="2306"/>
      <c r="P17" s="2147"/>
      <c r="Q17" s="2281">
        <f>+V17/R12</f>
        <v>0.17288335062242358</v>
      </c>
      <c r="R17" s="2319"/>
      <c r="S17" s="2147"/>
      <c r="T17" s="2277" t="s">
        <v>161</v>
      </c>
      <c r="U17" s="2277" t="s">
        <v>162</v>
      </c>
      <c r="V17" s="2303">
        <v>377740000</v>
      </c>
      <c r="W17" s="2320"/>
      <c r="X17" s="2184"/>
      <c r="Y17" s="2305"/>
      <c r="Z17" s="2305"/>
      <c r="AA17" s="2305"/>
      <c r="AB17" s="2305"/>
      <c r="AC17" s="2305"/>
      <c r="AD17" s="2305"/>
      <c r="AE17" s="2305"/>
      <c r="AF17" s="2305"/>
      <c r="AG17" s="2305"/>
      <c r="AH17" s="2305"/>
      <c r="AI17" s="2305"/>
      <c r="AJ17" s="2305"/>
      <c r="AK17" s="2305"/>
      <c r="AL17" s="2305"/>
      <c r="AM17" s="2305"/>
      <c r="AN17" s="2305"/>
      <c r="AO17" s="2309"/>
      <c r="AP17" s="2311"/>
      <c r="AQ17" s="2294"/>
    </row>
    <row r="18" spans="1:119" s="170" customFormat="1" ht="45" customHeight="1" x14ac:dyDescent="0.2">
      <c r="A18" s="163"/>
      <c r="B18" s="164"/>
      <c r="C18" s="164"/>
      <c r="D18" s="165"/>
      <c r="E18" s="164"/>
      <c r="F18" s="164"/>
      <c r="G18" s="165"/>
      <c r="H18" s="164"/>
      <c r="I18" s="164"/>
      <c r="J18" s="2279"/>
      <c r="K18" s="2277"/>
      <c r="L18" s="2277"/>
      <c r="M18" s="2278"/>
      <c r="N18" s="2302"/>
      <c r="O18" s="2306"/>
      <c r="P18" s="2147"/>
      <c r="Q18" s="2281"/>
      <c r="R18" s="2319"/>
      <c r="S18" s="2147"/>
      <c r="T18" s="2277"/>
      <c r="U18" s="2277"/>
      <c r="V18" s="2303"/>
      <c r="W18" s="2320"/>
      <c r="X18" s="2184"/>
      <c r="Y18" s="2305"/>
      <c r="Z18" s="2305"/>
      <c r="AA18" s="2305"/>
      <c r="AB18" s="2305"/>
      <c r="AC18" s="2305"/>
      <c r="AD18" s="2305"/>
      <c r="AE18" s="2305"/>
      <c r="AF18" s="2305"/>
      <c r="AG18" s="2305"/>
      <c r="AH18" s="2305"/>
      <c r="AI18" s="2305"/>
      <c r="AJ18" s="2305"/>
      <c r="AK18" s="2305"/>
      <c r="AL18" s="2305"/>
      <c r="AM18" s="2305"/>
      <c r="AN18" s="2305"/>
      <c r="AO18" s="2309"/>
      <c r="AP18" s="2311"/>
      <c r="AQ18" s="2294"/>
    </row>
    <row r="19" spans="1:119" s="170" customFormat="1" ht="15" x14ac:dyDescent="0.2">
      <c r="A19" s="163"/>
      <c r="B19" s="164"/>
      <c r="C19" s="164"/>
      <c r="D19" s="165"/>
      <c r="E19" s="164"/>
      <c r="F19" s="164"/>
      <c r="G19" s="165"/>
      <c r="H19" s="164"/>
      <c r="I19" s="164"/>
      <c r="J19" s="2279"/>
      <c r="K19" s="2277"/>
      <c r="L19" s="2277"/>
      <c r="M19" s="2278"/>
      <c r="N19" s="2297"/>
      <c r="O19" s="2306"/>
      <c r="P19" s="2147"/>
      <c r="Q19" s="2281"/>
      <c r="R19" s="2319"/>
      <c r="S19" s="2147"/>
      <c r="T19" s="2277"/>
      <c r="U19" s="2277"/>
      <c r="V19" s="2303"/>
      <c r="W19" s="2320"/>
      <c r="X19" s="2184"/>
      <c r="Y19" s="2305"/>
      <c r="Z19" s="2305"/>
      <c r="AA19" s="2305"/>
      <c r="AB19" s="2305"/>
      <c r="AC19" s="2305"/>
      <c r="AD19" s="2305"/>
      <c r="AE19" s="2305"/>
      <c r="AF19" s="2305"/>
      <c r="AG19" s="2305"/>
      <c r="AH19" s="2305"/>
      <c r="AI19" s="2305"/>
      <c r="AJ19" s="2305"/>
      <c r="AK19" s="2305"/>
      <c r="AL19" s="2305"/>
      <c r="AM19" s="2305"/>
      <c r="AN19" s="2305"/>
      <c r="AO19" s="2310"/>
      <c r="AP19" s="2312"/>
      <c r="AQ19" s="2294"/>
    </row>
    <row r="20" spans="1:119" s="170" customFormat="1" ht="136.5" customHeight="1" x14ac:dyDescent="0.2">
      <c r="A20" s="163"/>
      <c r="B20" s="2274"/>
      <c r="C20" s="2274"/>
      <c r="D20" s="165"/>
      <c r="E20" s="2274"/>
      <c r="F20" s="2274"/>
      <c r="G20" s="165"/>
      <c r="H20" s="2274"/>
      <c r="I20" s="2274"/>
      <c r="J20" s="172">
        <v>278</v>
      </c>
      <c r="K20" s="173" t="s">
        <v>163</v>
      </c>
      <c r="L20" s="173" t="s">
        <v>164</v>
      </c>
      <c r="M20" s="174">
        <v>1</v>
      </c>
      <c r="N20" s="175" t="s">
        <v>165</v>
      </c>
      <c r="O20" s="2304" t="s">
        <v>166</v>
      </c>
      <c r="P20" s="2277" t="s">
        <v>167</v>
      </c>
      <c r="Q20" s="176">
        <f>+V20/R20</f>
        <v>4.6153846153846156E-2</v>
      </c>
      <c r="R20" s="2298">
        <f>+V20+V21+V22</f>
        <v>390000000</v>
      </c>
      <c r="S20" s="2277" t="s">
        <v>168</v>
      </c>
      <c r="T20" s="177" t="s">
        <v>169</v>
      </c>
      <c r="U20" s="177" t="s">
        <v>170</v>
      </c>
      <c r="V20" s="169">
        <v>18000000</v>
      </c>
      <c r="W20" s="2300" t="s">
        <v>67</v>
      </c>
      <c r="X20" s="2186" t="s">
        <v>82</v>
      </c>
      <c r="Y20" s="2288">
        <v>292684</v>
      </c>
      <c r="Z20" s="2288">
        <v>282326</v>
      </c>
      <c r="AA20" s="2288">
        <v>135912</v>
      </c>
      <c r="AB20" s="2288">
        <v>45122</v>
      </c>
      <c r="AC20" s="2288">
        <v>307101</v>
      </c>
      <c r="AD20" s="2288">
        <v>86875</v>
      </c>
      <c r="AE20" s="2288">
        <v>2145</v>
      </c>
      <c r="AF20" s="2288">
        <v>12718</v>
      </c>
      <c r="AG20" s="2288">
        <v>26</v>
      </c>
      <c r="AH20" s="2288">
        <v>37</v>
      </c>
      <c r="AI20" s="2288">
        <v>0</v>
      </c>
      <c r="AJ20" s="2288">
        <v>0</v>
      </c>
      <c r="AK20" s="2288">
        <v>53164</v>
      </c>
      <c r="AL20" s="2288">
        <v>16982</v>
      </c>
      <c r="AM20" s="2288">
        <v>60013</v>
      </c>
      <c r="AN20" s="2288">
        <v>575010</v>
      </c>
      <c r="AO20" s="2290">
        <v>43105</v>
      </c>
      <c r="AP20" s="2292">
        <v>43465</v>
      </c>
      <c r="AQ20" s="2294" t="s">
        <v>171</v>
      </c>
    </row>
    <row r="21" spans="1:119" s="178" customFormat="1" ht="58.5" customHeight="1" x14ac:dyDescent="0.2">
      <c r="A21" s="163"/>
      <c r="B21" s="164"/>
      <c r="C21" s="164"/>
      <c r="D21" s="165"/>
      <c r="E21" s="164"/>
      <c r="F21" s="164"/>
      <c r="G21" s="165"/>
      <c r="H21" s="164"/>
      <c r="I21" s="164"/>
      <c r="J21" s="2276">
        <v>279</v>
      </c>
      <c r="K21" s="2277" t="s">
        <v>172</v>
      </c>
      <c r="L21" s="2277" t="s">
        <v>173</v>
      </c>
      <c r="M21" s="2275">
        <v>1</v>
      </c>
      <c r="N21" s="2297" t="s">
        <v>174</v>
      </c>
      <c r="O21" s="2275"/>
      <c r="P21" s="2277"/>
      <c r="Q21" s="2281">
        <f>+(V21+V22)/R20</f>
        <v>0.9538461538461539</v>
      </c>
      <c r="R21" s="2298"/>
      <c r="S21" s="2277"/>
      <c r="T21" s="2283" t="s">
        <v>175</v>
      </c>
      <c r="U21" s="177" t="s">
        <v>176</v>
      </c>
      <c r="V21" s="169">
        <f>115000000+72000000+85000000</f>
        <v>272000000</v>
      </c>
      <c r="W21" s="2301"/>
      <c r="X21" s="2187"/>
      <c r="Y21" s="2289"/>
      <c r="Z21" s="2289"/>
      <c r="AA21" s="2289"/>
      <c r="AB21" s="2289"/>
      <c r="AC21" s="2289"/>
      <c r="AD21" s="2289"/>
      <c r="AE21" s="2289"/>
      <c r="AF21" s="2289"/>
      <c r="AG21" s="2289"/>
      <c r="AH21" s="2289"/>
      <c r="AI21" s="2289"/>
      <c r="AJ21" s="2289"/>
      <c r="AK21" s="2289"/>
      <c r="AL21" s="2289"/>
      <c r="AM21" s="2289"/>
      <c r="AN21" s="2289"/>
      <c r="AO21" s="2290"/>
      <c r="AP21" s="2292"/>
      <c r="AQ21" s="2294"/>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row>
    <row r="22" spans="1:119" s="178" customFormat="1" ht="75.75" thickBot="1" x14ac:dyDescent="0.25">
      <c r="A22" s="163"/>
      <c r="B22" s="2274"/>
      <c r="C22" s="2274"/>
      <c r="D22" s="165"/>
      <c r="E22" s="2274"/>
      <c r="F22" s="2274"/>
      <c r="G22" s="165"/>
      <c r="H22" s="2274"/>
      <c r="I22" s="2285"/>
      <c r="J22" s="2279"/>
      <c r="K22" s="2296"/>
      <c r="L22" s="2296"/>
      <c r="M22" s="2276"/>
      <c r="N22" s="2296"/>
      <c r="O22" s="2276"/>
      <c r="P22" s="2296"/>
      <c r="Q22" s="2282"/>
      <c r="R22" s="2299"/>
      <c r="S22" s="2296"/>
      <c r="T22" s="2284"/>
      <c r="U22" s="179" t="s">
        <v>177</v>
      </c>
      <c r="V22" s="180">
        <f>185000000-85000000</f>
        <v>100000000</v>
      </c>
      <c r="W22" s="2301"/>
      <c r="X22" s="2187"/>
      <c r="Y22" s="2289"/>
      <c r="Z22" s="2289"/>
      <c r="AA22" s="2289"/>
      <c r="AB22" s="2289"/>
      <c r="AC22" s="2289"/>
      <c r="AD22" s="2289"/>
      <c r="AE22" s="2289"/>
      <c r="AF22" s="2289"/>
      <c r="AG22" s="2289"/>
      <c r="AH22" s="2289"/>
      <c r="AI22" s="2289"/>
      <c r="AJ22" s="2289"/>
      <c r="AK22" s="2289"/>
      <c r="AL22" s="2289"/>
      <c r="AM22" s="2289"/>
      <c r="AN22" s="2289"/>
      <c r="AO22" s="2291"/>
      <c r="AP22" s="2293"/>
      <c r="AQ22" s="2295"/>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row>
    <row r="23" spans="1:119" s="195" customFormat="1" ht="16.5" thickBot="1" x14ac:dyDescent="0.3">
      <c r="A23" s="181"/>
      <c r="B23" s="182"/>
      <c r="C23" s="182"/>
      <c r="D23" s="182"/>
      <c r="E23" s="182"/>
      <c r="F23" s="182"/>
      <c r="G23" s="182"/>
      <c r="H23" s="182"/>
      <c r="I23" s="182"/>
      <c r="J23" s="183"/>
      <c r="K23" s="184"/>
      <c r="L23" s="184"/>
      <c r="M23" s="185"/>
      <c r="N23" s="184"/>
      <c r="O23" s="184"/>
      <c r="P23" s="184"/>
      <c r="Q23" s="186"/>
      <c r="R23" s="187">
        <f>R20+R12</f>
        <v>2574941457</v>
      </c>
      <c r="S23" s="188"/>
      <c r="T23" s="184"/>
      <c r="U23" s="189"/>
      <c r="V23" s="190">
        <f>V22+V21+V20+V17+V15+V14+V13+V12</f>
        <v>2574941457</v>
      </c>
      <c r="W23" s="191"/>
      <c r="X23" s="192"/>
      <c r="Y23" s="182"/>
      <c r="Z23" s="182"/>
      <c r="AA23" s="182"/>
      <c r="AB23" s="182"/>
      <c r="AC23" s="182"/>
      <c r="AD23" s="182"/>
      <c r="AE23" s="182"/>
      <c r="AF23" s="182"/>
      <c r="AG23" s="182"/>
      <c r="AH23" s="182"/>
      <c r="AI23" s="182"/>
      <c r="AJ23" s="182"/>
      <c r="AK23" s="182"/>
      <c r="AL23" s="182"/>
      <c r="AM23" s="182"/>
      <c r="AN23" s="182"/>
      <c r="AO23" s="193"/>
      <c r="AP23" s="194"/>
      <c r="AQ23" s="189"/>
    </row>
    <row r="24" spans="1:119" ht="15.75" x14ac:dyDescent="0.2">
      <c r="A24" s="2286"/>
      <c r="B24" s="2286"/>
      <c r="C24" s="2286"/>
      <c r="D24" s="2286"/>
      <c r="E24" s="2286"/>
      <c r="F24" s="2286"/>
      <c r="G24" s="2286"/>
      <c r="H24" s="2286"/>
      <c r="I24" s="2286"/>
      <c r="J24" s="2286"/>
      <c r="K24" s="2286"/>
      <c r="L24" s="2286"/>
      <c r="M24" s="2286"/>
      <c r="N24" s="2286"/>
      <c r="O24" s="2286"/>
      <c r="P24" s="2286"/>
      <c r="Q24" s="2286"/>
      <c r="R24" s="196" t="s">
        <v>178</v>
      </c>
      <c r="S24" s="2287"/>
      <c r="T24" s="2287"/>
      <c r="U24" s="2287"/>
      <c r="V24" s="197"/>
      <c r="W24" s="198"/>
      <c r="X24" s="199"/>
      <c r="Y24" s="109"/>
      <c r="Z24" s="200"/>
      <c r="AA24" s="200"/>
      <c r="AB24" s="200"/>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0"/>
      <c r="BE24" s="200"/>
      <c r="BF24" s="201"/>
      <c r="BG24" s="201"/>
      <c r="BH24" s="201"/>
      <c r="BI24" s="201"/>
      <c r="BJ24" s="201"/>
      <c r="BK24" s="201"/>
      <c r="BL24" s="201"/>
      <c r="BM24" s="201"/>
    </row>
    <row r="25" spans="1:119" ht="15" x14ac:dyDescent="0.2">
      <c r="J25" s="203"/>
      <c r="K25" s="204"/>
      <c r="L25" s="205"/>
      <c r="M25" s="206"/>
      <c r="N25" s="205"/>
      <c r="O25" s="205"/>
      <c r="P25" s="205"/>
      <c r="Q25" s="206"/>
      <c r="R25" s="207"/>
      <c r="S25" s="205"/>
      <c r="T25" s="204"/>
      <c r="U25" s="204"/>
      <c r="V25" s="208"/>
    </row>
    <row r="26" spans="1:119" ht="15.75" x14ac:dyDescent="0.25">
      <c r="J26" s="203"/>
      <c r="K26" s="204"/>
      <c r="L26" s="205"/>
      <c r="M26" s="2280" t="s">
        <v>179</v>
      </c>
      <c r="N26" s="2280"/>
      <c r="O26" s="2280"/>
      <c r="P26" s="2280"/>
      <c r="Q26" s="2280"/>
      <c r="R26" s="2280"/>
      <c r="S26" s="2280"/>
      <c r="T26" s="204"/>
      <c r="U26" s="204"/>
      <c r="V26" s="208"/>
    </row>
    <row r="27" spans="1:119" ht="15" x14ac:dyDescent="0.2">
      <c r="J27" s="203"/>
      <c r="K27" s="204"/>
      <c r="L27" s="205"/>
      <c r="M27" s="2175" t="s">
        <v>180</v>
      </c>
      <c r="N27" s="2175"/>
      <c r="O27" s="2175"/>
      <c r="P27" s="2175"/>
      <c r="Q27" s="2175"/>
      <c r="R27" s="2175"/>
      <c r="S27" s="2175"/>
      <c r="T27" s="204"/>
      <c r="U27" s="204"/>
      <c r="V27" s="208"/>
    </row>
    <row r="28" spans="1:119" ht="15" x14ac:dyDescent="0.2">
      <c r="K28" s="204"/>
      <c r="L28" s="205"/>
      <c r="M28" s="206"/>
      <c r="N28" s="205"/>
      <c r="O28" s="205"/>
      <c r="P28" s="205"/>
      <c r="Q28" s="206"/>
      <c r="R28" s="207"/>
      <c r="S28" s="205"/>
      <c r="T28" s="204"/>
      <c r="U28" s="204"/>
      <c r="V28" s="208"/>
    </row>
    <row r="29" spans="1:119" ht="15" x14ac:dyDescent="0.2"/>
    <row r="30" spans="1:119" ht="15" x14ac:dyDescent="0.2"/>
    <row r="31" spans="1:119" ht="15" x14ac:dyDescent="0.2"/>
    <row r="32" spans="1:119" ht="15" x14ac:dyDescent="0.2"/>
    <row r="33" ht="15" x14ac:dyDescent="0.2"/>
    <row r="34" ht="15" x14ac:dyDescent="0.2"/>
    <row r="35" ht="15" x14ac:dyDescent="0.2"/>
    <row r="36" ht="15" x14ac:dyDescent="0.2"/>
  </sheetData>
  <sheetProtection password="CBEB" sheet="1" objects="1" scenarios="1"/>
  <mergeCells count="125">
    <mergeCell ref="AO7:AO8"/>
    <mergeCell ref="AP7:AP8"/>
    <mergeCell ref="N7:N8"/>
    <mergeCell ref="O7:O8"/>
    <mergeCell ref="P7:P8"/>
    <mergeCell ref="A1:AP4"/>
    <mergeCell ref="A5:M6"/>
    <mergeCell ref="N5:AQ5"/>
    <mergeCell ref="Y6:AM6"/>
    <mergeCell ref="A7:A8"/>
    <mergeCell ref="B7:C8"/>
    <mergeCell ref="D7:D8"/>
    <mergeCell ref="E7:F8"/>
    <mergeCell ref="G7:G8"/>
    <mergeCell ref="H7:I8"/>
    <mergeCell ref="Y7:Z7"/>
    <mergeCell ref="AA7:AD7"/>
    <mergeCell ref="AE7:AJ7"/>
    <mergeCell ref="AK7:AM7"/>
    <mergeCell ref="AN7:AN8"/>
    <mergeCell ref="AQ7:AQ8"/>
    <mergeCell ref="Q7:Q8"/>
    <mergeCell ref="M7:M8"/>
    <mergeCell ref="J7:J8"/>
    <mergeCell ref="K7:K8"/>
    <mergeCell ref="L7:L8"/>
    <mergeCell ref="AA12:AA19"/>
    <mergeCell ref="AB12:AB19"/>
    <mergeCell ref="AC12:AC19"/>
    <mergeCell ref="AD12:AD19"/>
    <mergeCell ref="R7:R8"/>
    <mergeCell ref="S7:S8"/>
    <mergeCell ref="T7:T8"/>
    <mergeCell ref="U7:U8"/>
    <mergeCell ref="X7:X8"/>
    <mergeCell ref="R12:R19"/>
    <mergeCell ref="S12:S19"/>
    <mergeCell ref="T12:T14"/>
    <mergeCell ref="W12:W19"/>
    <mergeCell ref="X12:X19"/>
    <mergeCell ref="T15:T16"/>
    <mergeCell ref="AQ12:AQ19"/>
    <mergeCell ref="B15:C15"/>
    <mergeCell ref="E15:F15"/>
    <mergeCell ref="H15:I15"/>
    <mergeCell ref="J15:J16"/>
    <mergeCell ref="K15:K16"/>
    <mergeCell ref="L15:L16"/>
    <mergeCell ref="M15:M16"/>
    <mergeCell ref="N15:N16"/>
    <mergeCell ref="Q15:Q16"/>
    <mergeCell ref="AK12:AK19"/>
    <mergeCell ref="AL12:AL19"/>
    <mergeCell ref="AM12:AM19"/>
    <mergeCell ref="AN12:AN19"/>
    <mergeCell ref="AO12:AO19"/>
    <mergeCell ref="AP12:AP19"/>
    <mergeCell ref="AE12:AE19"/>
    <mergeCell ref="AF12:AF19"/>
    <mergeCell ref="AG12:AG19"/>
    <mergeCell ref="U15:U16"/>
    <mergeCell ref="V15:V16"/>
    <mergeCell ref="AH12:AH19"/>
    <mergeCell ref="AI12:AI19"/>
    <mergeCell ref="AJ12:AJ19"/>
    <mergeCell ref="W20:W22"/>
    <mergeCell ref="X20:X22"/>
    <mergeCell ref="Y20:Y22"/>
    <mergeCell ref="Z20:Z22"/>
    <mergeCell ref="N17:N19"/>
    <mergeCell ref="Q17:Q19"/>
    <mergeCell ref="T17:T19"/>
    <mergeCell ref="U17:U19"/>
    <mergeCell ref="V17:V19"/>
    <mergeCell ref="O20:O22"/>
    <mergeCell ref="P20:P22"/>
    <mergeCell ref="Y12:Y19"/>
    <mergeCell ref="Z12:Z19"/>
    <mergeCell ref="O12:O19"/>
    <mergeCell ref="P12:P19"/>
    <mergeCell ref="Q12:Q14"/>
    <mergeCell ref="AM20:AM22"/>
    <mergeCell ref="AN20:AN22"/>
    <mergeCell ref="AO20:AO22"/>
    <mergeCell ref="AP20:AP22"/>
    <mergeCell ref="AQ20:AQ22"/>
    <mergeCell ref="J21:J22"/>
    <mergeCell ref="K21:K22"/>
    <mergeCell ref="L21:L22"/>
    <mergeCell ref="M21:M22"/>
    <mergeCell ref="N21:N22"/>
    <mergeCell ref="AG20:AG22"/>
    <mergeCell ref="AH20:AH22"/>
    <mergeCell ref="AI20:AI22"/>
    <mergeCell ref="AJ20:AJ22"/>
    <mergeCell ref="AK20:AK22"/>
    <mergeCell ref="AL20:AL22"/>
    <mergeCell ref="AA20:AA22"/>
    <mergeCell ref="AB20:AB22"/>
    <mergeCell ref="AC20:AC22"/>
    <mergeCell ref="AD20:AD22"/>
    <mergeCell ref="AE20:AE22"/>
    <mergeCell ref="AF20:AF22"/>
    <mergeCell ref="R20:R22"/>
    <mergeCell ref="S20:S22"/>
    <mergeCell ref="M26:S26"/>
    <mergeCell ref="M27:S27"/>
    <mergeCell ref="Q21:Q22"/>
    <mergeCell ref="T21:T22"/>
    <mergeCell ref="B22:C22"/>
    <mergeCell ref="E22:F22"/>
    <mergeCell ref="H22:I22"/>
    <mergeCell ref="A24:Q24"/>
    <mergeCell ref="S24:U24"/>
    <mergeCell ref="B20:C20"/>
    <mergeCell ref="E20:F20"/>
    <mergeCell ref="H20:I20"/>
    <mergeCell ref="J12:J14"/>
    <mergeCell ref="K12:K14"/>
    <mergeCell ref="L12:L14"/>
    <mergeCell ref="M12:M14"/>
    <mergeCell ref="J17:J19"/>
    <mergeCell ref="K17:K19"/>
    <mergeCell ref="L17:L19"/>
    <mergeCell ref="M17:M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X231"/>
  <sheetViews>
    <sheetView showGridLines="0" zoomScale="50" zoomScaleNormal="50" workbookViewId="0">
      <selection activeCell="A7" sqref="A7:A8"/>
    </sheetView>
  </sheetViews>
  <sheetFormatPr baseColWidth="10" defaultColWidth="11.42578125" defaultRowHeight="15" x14ac:dyDescent="0.2"/>
  <cols>
    <col min="1" max="1" width="12.7109375" style="1929" customWidth="1"/>
    <col min="2" max="2" width="4.85546875" style="1478" customWidth="1"/>
    <col min="3" max="3" width="14.28515625" style="1478" customWidth="1"/>
    <col min="4" max="4" width="15.42578125" style="1478" customWidth="1"/>
    <col min="5" max="5" width="4.85546875" style="1478" customWidth="1"/>
    <col min="6" max="6" width="14.85546875" style="1478" customWidth="1"/>
    <col min="7" max="7" width="16" style="1478" customWidth="1"/>
    <col min="8" max="8" width="4.85546875" style="1478" customWidth="1"/>
    <col min="9" max="9" width="20.42578125" style="1478" customWidth="1"/>
    <col min="10" max="10" width="19.42578125" style="1479" customWidth="1"/>
    <col min="11" max="11" width="31.5703125" style="1938" customWidth="1"/>
    <col min="12" max="12" width="28.42578125" style="1732" customWidth="1"/>
    <col min="13" max="13" width="22.5703125" style="1732" customWidth="1"/>
    <col min="14" max="14" width="33.42578125" style="1732" customWidth="1"/>
    <col min="15" max="15" width="30.140625" style="1939" customWidth="1"/>
    <col min="16" max="16" width="36.85546875" style="1938" customWidth="1"/>
    <col min="17" max="17" width="16.42578125" style="1940" customWidth="1"/>
    <col min="18" max="18" width="30" style="1932" customWidth="1"/>
    <col min="19" max="19" width="33.42578125" style="1938" customWidth="1"/>
    <col min="20" max="20" width="39.140625" style="1938" customWidth="1"/>
    <col min="21" max="21" width="32.5703125" style="1938" customWidth="1"/>
    <col min="22" max="22" width="31.42578125" style="1937" customWidth="1"/>
    <col min="23" max="23" width="14.5703125" style="1941" customWidth="1"/>
    <col min="24" max="24" width="21" style="1938" customWidth="1"/>
    <col min="25" max="40" width="14.140625" style="1478" customWidth="1"/>
    <col min="41" max="41" width="22.7109375" style="1942" customWidth="1"/>
    <col min="42" max="42" width="22.7109375" style="1943" customWidth="1"/>
    <col min="43" max="43" width="24" style="1481" customWidth="1"/>
    <col min="44" max="256" width="11.42578125" style="1478"/>
    <col min="257" max="264" width="4.85546875" style="1478" customWidth="1"/>
    <col min="265" max="265" width="9.5703125" style="1478" customWidth="1"/>
    <col min="266" max="266" width="11.5703125" style="1478" customWidth="1"/>
    <col min="267" max="267" width="38.42578125" style="1478" customWidth="1"/>
    <col min="268" max="268" width="22.7109375" style="1478" customWidth="1"/>
    <col min="269" max="269" width="38" style="1478" customWidth="1"/>
    <col min="270" max="270" width="30.28515625" style="1478" customWidth="1"/>
    <col min="271" max="271" width="10.42578125" style="1478" customWidth="1"/>
    <col min="272" max="272" width="28.42578125" style="1478" customWidth="1"/>
    <col min="273" max="273" width="19.140625" style="1478" customWidth="1"/>
    <col min="274" max="274" width="28.140625" style="1478" customWidth="1"/>
    <col min="275" max="275" width="26.42578125" style="1478" customWidth="1"/>
    <col min="276" max="276" width="26.7109375" style="1478" customWidth="1"/>
    <col min="277" max="277" width="44.28515625" style="1478" customWidth="1"/>
    <col min="278" max="278" width="25.42578125" style="1478" customWidth="1"/>
    <col min="279" max="279" width="30.5703125" style="1478" customWidth="1"/>
    <col min="280" max="280" width="16.85546875" style="1478" customWidth="1"/>
    <col min="281" max="296" width="14.140625" style="1478" customWidth="1"/>
    <col min="297" max="298" width="22.7109375" style="1478" customWidth="1"/>
    <col min="299" max="299" width="28.7109375" style="1478" customWidth="1"/>
    <col min="300" max="512" width="11.42578125" style="1478"/>
    <col min="513" max="520" width="4.85546875" style="1478" customWidth="1"/>
    <col min="521" max="521" width="9.5703125" style="1478" customWidth="1"/>
    <col min="522" max="522" width="11.5703125" style="1478" customWidth="1"/>
    <col min="523" max="523" width="38.42578125" style="1478" customWidth="1"/>
    <col min="524" max="524" width="22.7109375" style="1478" customWidth="1"/>
    <col min="525" max="525" width="38" style="1478" customWidth="1"/>
    <col min="526" max="526" width="30.28515625" style="1478" customWidth="1"/>
    <col min="527" max="527" width="10.42578125" style="1478" customWidth="1"/>
    <col min="528" max="528" width="28.42578125" style="1478" customWidth="1"/>
    <col min="529" max="529" width="19.140625" style="1478" customWidth="1"/>
    <col min="530" max="530" width="28.140625" style="1478" customWidth="1"/>
    <col min="531" max="531" width="26.42578125" style="1478" customWidth="1"/>
    <col min="532" max="532" width="26.7109375" style="1478" customWidth="1"/>
    <col min="533" max="533" width="44.28515625" style="1478" customWidth="1"/>
    <col min="534" max="534" width="25.42578125" style="1478" customWidth="1"/>
    <col min="535" max="535" width="30.5703125" style="1478" customWidth="1"/>
    <col min="536" max="536" width="16.85546875" style="1478" customWidth="1"/>
    <col min="537" max="552" width="14.140625" style="1478" customWidth="1"/>
    <col min="553" max="554" width="22.7109375" style="1478" customWidth="1"/>
    <col min="555" max="555" width="28.7109375" style="1478" customWidth="1"/>
    <col min="556" max="768" width="11.42578125" style="1478"/>
    <col min="769" max="776" width="4.85546875" style="1478" customWidth="1"/>
    <col min="777" max="777" width="9.5703125" style="1478" customWidth="1"/>
    <col min="778" max="778" width="11.5703125" style="1478" customWidth="1"/>
    <col min="779" max="779" width="38.42578125" style="1478" customWidth="1"/>
    <col min="780" max="780" width="22.7109375" style="1478" customWidth="1"/>
    <col min="781" max="781" width="38" style="1478" customWidth="1"/>
    <col min="782" max="782" width="30.28515625" style="1478" customWidth="1"/>
    <col min="783" max="783" width="10.42578125" style="1478" customWidth="1"/>
    <col min="784" max="784" width="28.42578125" style="1478" customWidth="1"/>
    <col min="785" max="785" width="19.140625" style="1478" customWidth="1"/>
    <col min="786" max="786" width="28.140625" style="1478" customWidth="1"/>
    <col min="787" max="787" width="26.42578125" style="1478" customWidth="1"/>
    <col min="788" max="788" width="26.7109375" style="1478" customWidth="1"/>
    <col min="789" max="789" width="44.28515625" style="1478" customWidth="1"/>
    <col min="790" max="790" width="25.42578125" style="1478" customWidth="1"/>
    <col min="791" max="791" width="30.5703125" style="1478" customWidth="1"/>
    <col min="792" max="792" width="16.85546875" style="1478" customWidth="1"/>
    <col min="793" max="808" width="14.140625" style="1478" customWidth="1"/>
    <col min="809" max="810" width="22.7109375" style="1478" customWidth="1"/>
    <col min="811" max="811" width="28.7109375" style="1478" customWidth="1"/>
    <col min="812" max="1024" width="11.42578125" style="1478"/>
    <col min="1025" max="1032" width="4.85546875" style="1478" customWidth="1"/>
    <col min="1033" max="1033" width="9.5703125" style="1478" customWidth="1"/>
    <col min="1034" max="1034" width="11.5703125" style="1478" customWidth="1"/>
    <col min="1035" max="1035" width="38.42578125" style="1478" customWidth="1"/>
    <col min="1036" max="1036" width="22.7109375" style="1478" customWidth="1"/>
    <col min="1037" max="1037" width="38" style="1478" customWidth="1"/>
    <col min="1038" max="1038" width="30.28515625" style="1478" customWidth="1"/>
    <col min="1039" max="1039" width="10.42578125" style="1478" customWidth="1"/>
    <col min="1040" max="1040" width="28.42578125" style="1478" customWidth="1"/>
    <col min="1041" max="1041" width="19.140625" style="1478" customWidth="1"/>
    <col min="1042" max="1042" width="28.140625" style="1478" customWidth="1"/>
    <col min="1043" max="1043" width="26.42578125" style="1478" customWidth="1"/>
    <col min="1044" max="1044" width="26.7109375" style="1478" customWidth="1"/>
    <col min="1045" max="1045" width="44.28515625" style="1478" customWidth="1"/>
    <col min="1046" max="1046" width="25.42578125" style="1478" customWidth="1"/>
    <col min="1047" max="1047" width="30.5703125" style="1478" customWidth="1"/>
    <col min="1048" max="1048" width="16.85546875" style="1478" customWidth="1"/>
    <col min="1049" max="1064" width="14.140625" style="1478" customWidth="1"/>
    <col min="1065" max="1066" width="22.7109375" style="1478" customWidth="1"/>
    <col min="1067" max="1067" width="28.7109375" style="1478" customWidth="1"/>
    <col min="1068" max="1280" width="11.42578125" style="1478"/>
    <col min="1281" max="1288" width="4.85546875" style="1478" customWidth="1"/>
    <col min="1289" max="1289" width="9.5703125" style="1478" customWidth="1"/>
    <col min="1290" max="1290" width="11.5703125" style="1478" customWidth="1"/>
    <col min="1291" max="1291" width="38.42578125" style="1478" customWidth="1"/>
    <col min="1292" max="1292" width="22.7109375" style="1478" customWidth="1"/>
    <col min="1293" max="1293" width="38" style="1478" customWidth="1"/>
    <col min="1294" max="1294" width="30.28515625" style="1478" customWidth="1"/>
    <col min="1295" max="1295" width="10.42578125" style="1478" customWidth="1"/>
    <col min="1296" max="1296" width="28.42578125" style="1478" customWidth="1"/>
    <col min="1297" max="1297" width="19.140625" style="1478" customWidth="1"/>
    <col min="1298" max="1298" width="28.140625" style="1478" customWidth="1"/>
    <col min="1299" max="1299" width="26.42578125" style="1478" customWidth="1"/>
    <col min="1300" max="1300" width="26.7109375" style="1478" customWidth="1"/>
    <col min="1301" max="1301" width="44.28515625" style="1478" customWidth="1"/>
    <col min="1302" max="1302" width="25.42578125" style="1478" customWidth="1"/>
    <col min="1303" max="1303" width="30.5703125" style="1478" customWidth="1"/>
    <col min="1304" max="1304" width="16.85546875" style="1478" customWidth="1"/>
    <col min="1305" max="1320" width="14.140625" style="1478" customWidth="1"/>
    <col min="1321" max="1322" width="22.7109375" style="1478" customWidth="1"/>
    <col min="1323" max="1323" width="28.7109375" style="1478" customWidth="1"/>
    <col min="1324" max="1536" width="11.42578125" style="1478"/>
    <col min="1537" max="1544" width="4.85546875" style="1478" customWidth="1"/>
    <col min="1545" max="1545" width="9.5703125" style="1478" customWidth="1"/>
    <col min="1546" max="1546" width="11.5703125" style="1478" customWidth="1"/>
    <col min="1547" max="1547" width="38.42578125" style="1478" customWidth="1"/>
    <col min="1548" max="1548" width="22.7109375" style="1478" customWidth="1"/>
    <col min="1549" max="1549" width="38" style="1478" customWidth="1"/>
    <col min="1550" max="1550" width="30.28515625" style="1478" customWidth="1"/>
    <col min="1551" max="1551" width="10.42578125" style="1478" customWidth="1"/>
    <col min="1552" max="1552" width="28.42578125" style="1478" customWidth="1"/>
    <col min="1553" max="1553" width="19.140625" style="1478" customWidth="1"/>
    <col min="1554" max="1554" width="28.140625" style="1478" customWidth="1"/>
    <col min="1555" max="1555" width="26.42578125" style="1478" customWidth="1"/>
    <col min="1556" max="1556" width="26.7109375" style="1478" customWidth="1"/>
    <col min="1557" max="1557" width="44.28515625" style="1478" customWidth="1"/>
    <col min="1558" max="1558" width="25.42578125" style="1478" customWidth="1"/>
    <col min="1559" max="1559" width="30.5703125" style="1478" customWidth="1"/>
    <col min="1560" max="1560" width="16.85546875" style="1478" customWidth="1"/>
    <col min="1561" max="1576" width="14.140625" style="1478" customWidth="1"/>
    <col min="1577" max="1578" width="22.7109375" style="1478" customWidth="1"/>
    <col min="1579" max="1579" width="28.7109375" style="1478" customWidth="1"/>
    <col min="1580" max="1792" width="11.42578125" style="1478"/>
    <col min="1793" max="1800" width="4.85546875" style="1478" customWidth="1"/>
    <col min="1801" max="1801" width="9.5703125" style="1478" customWidth="1"/>
    <col min="1802" max="1802" width="11.5703125" style="1478" customWidth="1"/>
    <col min="1803" max="1803" width="38.42578125" style="1478" customWidth="1"/>
    <col min="1804" max="1804" width="22.7109375" style="1478" customWidth="1"/>
    <col min="1805" max="1805" width="38" style="1478" customWidth="1"/>
    <col min="1806" max="1806" width="30.28515625" style="1478" customWidth="1"/>
    <col min="1807" max="1807" width="10.42578125" style="1478" customWidth="1"/>
    <col min="1808" max="1808" width="28.42578125" style="1478" customWidth="1"/>
    <col min="1809" max="1809" width="19.140625" style="1478" customWidth="1"/>
    <col min="1810" max="1810" width="28.140625" style="1478" customWidth="1"/>
    <col min="1811" max="1811" width="26.42578125" style="1478" customWidth="1"/>
    <col min="1812" max="1812" width="26.7109375" style="1478" customWidth="1"/>
    <col min="1813" max="1813" width="44.28515625" style="1478" customWidth="1"/>
    <col min="1814" max="1814" width="25.42578125" style="1478" customWidth="1"/>
    <col min="1815" max="1815" width="30.5703125" style="1478" customWidth="1"/>
    <col min="1816" max="1816" width="16.85546875" style="1478" customWidth="1"/>
    <col min="1817" max="1832" width="14.140625" style="1478" customWidth="1"/>
    <col min="1833" max="1834" width="22.7109375" style="1478" customWidth="1"/>
    <col min="1835" max="1835" width="28.7109375" style="1478" customWidth="1"/>
    <col min="1836" max="2048" width="11.42578125" style="1478"/>
    <col min="2049" max="2056" width="4.85546875" style="1478" customWidth="1"/>
    <col min="2057" max="2057" width="9.5703125" style="1478" customWidth="1"/>
    <col min="2058" max="2058" width="11.5703125" style="1478" customWidth="1"/>
    <col min="2059" max="2059" width="38.42578125" style="1478" customWidth="1"/>
    <col min="2060" max="2060" width="22.7109375" style="1478" customWidth="1"/>
    <col min="2061" max="2061" width="38" style="1478" customWidth="1"/>
    <col min="2062" max="2062" width="30.28515625" style="1478" customWidth="1"/>
    <col min="2063" max="2063" width="10.42578125" style="1478" customWidth="1"/>
    <col min="2064" max="2064" width="28.42578125" style="1478" customWidth="1"/>
    <col min="2065" max="2065" width="19.140625" style="1478" customWidth="1"/>
    <col min="2066" max="2066" width="28.140625" style="1478" customWidth="1"/>
    <col min="2067" max="2067" width="26.42578125" style="1478" customWidth="1"/>
    <col min="2068" max="2068" width="26.7109375" style="1478" customWidth="1"/>
    <col min="2069" max="2069" width="44.28515625" style="1478" customWidth="1"/>
    <col min="2070" max="2070" width="25.42578125" style="1478" customWidth="1"/>
    <col min="2071" max="2071" width="30.5703125" style="1478" customWidth="1"/>
    <col min="2072" max="2072" width="16.85546875" style="1478" customWidth="1"/>
    <col min="2073" max="2088" width="14.140625" style="1478" customWidth="1"/>
    <col min="2089" max="2090" width="22.7109375" style="1478" customWidth="1"/>
    <col min="2091" max="2091" width="28.7109375" style="1478" customWidth="1"/>
    <col min="2092" max="2304" width="11.42578125" style="1478"/>
    <col min="2305" max="2312" width="4.85546875" style="1478" customWidth="1"/>
    <col min="2313" max="2313" width="9.5703125" style="1478" customWidth="1"/>
    <col min="2314" max="2314" width="11.5703125" style="1478" customWidth="1"/>
    <col min="2315" max="2315" width="38.42578125" style="1478" customWidth="1"/>
    <col min="2316" max="2316" width="22.7109375" style="1478" customWidth="1"/>
    <col min="2317" max="2317" width="38" style="1478" customWidth="1"/>
    <col min="2318" max="2318" width="30.28515625" style="1478" customWidth="1"/>
    <col min="2319" max="2319" width="10.42578125" style="1478" customWidth="1"/>
    <col min="2320" max="2320" width="28.42578125" style="1478" customWidth="1"/>
    <col min="2321" max="2321" width="19.140625" style="1478" customWidth="1"/>
    <col min="2322" max="2322" width="28.140625" style="1478" customWidth="1"/>
    <col min="2323" max="2323" width="26.42578125" style="1478" customWidth="1"/>
    <col min="2324" max="2324" width="26.7109375" style="1478" customWidth="1"/>
    <col min="2325" max="2325" width="44.28515625" style="1478" customWidth="1"/>
    <col min="2326" max="2326" width="25.42578125" style="1478" customWidth="1"/>
    <col min="2327" max="2327" width="30.5703125" style="1478" customWidth="1"/>
    <col min="2328" max="2328" width="16.85546875" style="1478" customWidth="1"/>
    <col min="2329" max="2344" width="14.140625" style="1478" customWidth="1"/>
    <col min="2345" max="2346" width="22.7109375" style="1478" customWidth="1"/>
    <col min="2347" max="2347" width="28.7109375" style="1478" customWidth="1"/>
    <col min="2348" max="2560" width="11.42578125" style="1478"/>
    <col min="2561" max="2568" width="4.85546875" style="1478" customWidth="1"/>
    <col min="2569" max="2569" width="9.5703125" style="1478" customWidth="1"/>
    <col min="2570" max="2570" width="11.5703125" style="1478" customWidth="1"/>
    <col min="2571" max="2571" width="38.42578125" style="1478" customWidth="1"/>
    <col min="2572" max="2572" width="22.7109375" style="1478" customWidth="1"/>
    <col min="2573" max="2573" width="38" style="1478" customWidth="1"/>
    <col min="2574" max="2574" width="30.28515625" style="1478" customWidth="1"/>
    <col min="2575" max="2575" width="10.42578125" style="1478" customWidth="1"/>
    <col min="2576" max="2576" width="28.42578125" style="1478" customWidth="1"/>
    <col min="2577" max="2577" width="19.140625" style="1478" customWidth="1"/>
    <col min="2578" max="2578" width="28.140625" style="1478" customWidth="1"/>
    <col min="2579" max="2579" width="26.42578125" style="1478" customWidth="1"/>
    <col min="2580" max="2580" width="26.7109375" style="1478" customWidth="1"/>
    <col min="2581" max="2581" width="44.28515625" style="1478" customWidth="1"/>
    <col min="2582" max="2582" width="25.42578125" style="1478" customWidth="1"/>
    <col min="2583" max="2583" width="30.5703125" style="1478" customWidth="1"/>
    <col min="2584" max="2584" width="16.85546875" style="1478" customWidth="1"/>
    <col min="2585" max="2600" width="14.140625" style="1478" customWidth="1"/>
    <col min="2601" max="2602" width="22.7109375" style="1478" customWidth="1"/>
    <col min="2603" max="2603" width="28.7109375" style="1478" customWidth="1"/>
    <col min="2604" max="2816" width="11.42578125" style="1478"/>
    <col min="2817" max="2824" width="4.85546875" style="1478" customWidth="1"/>
    <col min="2825" max="2825" width="9.5703125" style="1478" customWidth="1"/>
    <col min="2826" max="2826" width="11.5703125" style="1478" customWidth="1"/>
    <col min="2827" max="2827" width="38.42578125" style="1478" customWidth="1"/>
    <col min="2828" max="2828" width="22.7109375" style="1478" customWidth="1"/>
    <col min="2829" max="2829" width="38" style="1478" customWidth="1"/>
    <col min="2830" max="2830" width="30.28515625" style="1478" customWidth="1"/>
    <col min="2831" max="2831" width="10.42578125" style="1478" customWidth="1"/>
    <col min="2832" max="2832" width="28.42578125" style="1478" customWidth="1"/>
    <col min="2833" max="2833" width="19.140625" style="1478" customWidth="1"/>
    <col min="2834" max="2834" width="28.140625" style="1478" customWidth="1"/>
    <col min="2835" max="2835" width="26.42578125" style="1478" customWidth="1"/>
    <col min="2836" max="2836" width="26.7109375" style="1478" customWidth="1"/>
    <col min="2837" max="2837" width="44.28515625" style="1478" customWidth="1"/>
    <col min="2838" max="2838" width="25.42578125" style="1478" customWidth="1"/>
    <col min="2839" max="2839" width="30.5703125" style="1478" customWidth="1"/>
    <col min="2840" max="2840" width="16.85546875" style="1478" customWidth="1"/>
    <col min="2841" max="2856" width="14.140625" style="1478" customWidth="1"/>
    <col min="2857" max="2858" width="22.7109375" style="1478" customWidth="1"/>
    <col min="2859" max="2859" width="28.7109375" style="1478" customWidth="1"/>
    <col min="2860" max="3072" width="11.42578125" style="1478"/>
    <col min="3073" max="3080" width="4.85546875" style="1478" customWidth="1"/>
    <col min="3081" max="3081" width="9.5703125" style="1478" customWidth="1"/>
    <col min="3082" max="3082" width="11.5703125" style="1478" customWidth="1"/>
    <col min="3083" max="3083" width="38.42578125" style="1478" customWidth="1"/>
    <col min="3084" max="3084" width="22.7109375" style="1478" customWidth="1"/>
    <col min="3085" max="3085" width="38" style="1478" customWidth="1"/>
    <col min="3086" max="3086" width="30.28515625" style="1478" customWidth="1"/>
    <col min="3087" max="3087" width="10.42578125" style="1478" customWidth="1"/>
    <col min="3088" max="3088" width="28.42578125" style="1478" customWidth="1"/>
    <col min="3089" max="3089" width="19.140625" style="1478" customWidth="1"/>
    <col min="3090" max="3090" width="28.140625" style="1478" customWidth="1"/>
    <col min="3091" max="3091" width="26.42578125" style="1478" customWidth="1"/>
    <col min="3092" max="3092" width="26.7109375" style="1478" customWidth="1"/>
    <col min="3093" max="3093" width="44.28515625" style="1478" customWidth="1"/>
    <col min="3094" max="3094" width="25.42578125" style="1478" customWidth="1"/>
    <col min="3095" max="3095" width="30.5703125" style="1478" customWidth="1"/>
    <col min="3096" max="3096" width="16.85546875" style="1478" customWidth="1"/>
    <col min="3097" max="3112" width="14.140625" style="1478" customWidth="1"/>
    <col min="3113" max="3114" width="22.7109375" style="1478" customWidth="1"/>
    <col min="3115" max="3115" width="28.7109375" style="1478" customWidth="1"/>
    <col min="3116" max="3328" width="11.42578125" style="1478"/>
    <col min="3329" max="3336" width="4.85546875" style="1478" customWidth="1"/>
    <col min="3337" max="3337" width="9.5703125" style="1478" customWidth="1"/>
    <col min="3338" max="3338" width="11.5703125" style="1478" customWidth="1"/>
    <col min="3339" max="3339" width="38.42578125" style="1478" customWidth="1"/>
    <col min="3340" max="3340" width="22.7109375" style="1478" customWidth="1"/>
    <col min="3341" max="3341" width="38" style="1478" customWidth="1"/>
    <col min="3342" max="3342" width="30.28515625" style="1478" customWidth="1"/>
    <col min="3343" max="3343" width="10.42578125" style="1478" customWidth="1"/>
    <col min="3344" max="3344" width="28.42578125" style="1478" customWidth="1"/>
    <col min="3345" max="3345" width="19.140625" style="1478" customWidth="1"/>
    <col min="3346" max="3346" width="28.140625" style="1478" customWidth="1"/>
    <col min="3347" max="3347" width="26.42578125" style="1478" customWidth="1"/>
    <col min="3348" max="3348" width="26.7109375" style="1478" customWidth="1"/>
    <col min="3349" max="3349" width="44.28515625" style="1478" customWidth="1"/>
    <col min="3350" max="3350" width="25.42578125" style="1478" customWidth="1"/>
    <col min="3351" max="3351" width="30.5703125" style="1478" customWidth="1"/>
    <col min="3352" max="3352" width="16.85546875" style="1478" customWidth="1"/>
    <col min="3353" max="3368" width="14.140625" style="1478" customWidth="1"/>
    <col min="3369" max="3370" width="22.7109375" style="1478" customWidth="1"/>
    <col min="3371" max="3371" width="28.7109375" style="1478" customWidth="1"/>
    <col min="3372" max="3584" width="11.42578125" style="1478"/>
    <col min="3585" max="3592" width="4.85546875" style="1478" customWidth="1"/>
    <col min="3593" max="3593" width="9.5703125" style="1478" customWidth="1"/>
    <col min="3594" max="3594" width="11.5703125" style="1478" customWidth="1"/>
    <col min="3595" max="3595" width="38.42578125" style="1478" customWidth="1"/>
    <col min="3596" max="3596" width="22.7109375" style="1478" customWidth="1"/>
    <col min="3597" max="3597" width="38" style="1478" customWidth="1"/>
    <col min="3598" max="3598" width="30.28515625" style="1478" customWidth="1"/>
    <col min="3599" max="3599" width="10.42578125" style="1478" customWidth="1"/>
    <col min="3600" max="3600" width="28.42578125" style="1478" customWidth="1"/>
    <col min="3601" max="3601" width="19.140625" style="1478" customWidth="1"/>
    <col min="3602" max="3602" width="28.140625" style="1478" customWidth="1"/>
    <col min="3603" max="3603" width="26.42578125" style="1478" customWidth="1"/>
    <col min="3604" max="3604" width="26.7109375" style="1478" customWidth="1"/>
    <col min="3605" max="3605" width="44.28515625" style="1478" customWidth="1"/>
    <col min="3606" max="3606" width="25.42578125" style="1478" customWidth="1"/>
    <col min="3607" max="3607" width="30.5703125" style="1478" customWidth="1"/>
    <col min="3608" max="3608" width="16.85546875" style="1478" customWidth="1"/>
    <col min="3609" max="3624" width="14.140625" style="1478" customWidth="1"/>
    <col min="3625" max="3626" width="22.7109375" style="1478" customWidth="1"/>
    <col min="3627" max="3627" width="28.7109375" style="1478" customWidth="1"/>
    <col min="3628" max="3840" width="11.42578125" style="1478"/>
    <col min="3841" max="3848" width="4.85546875" style="1478" customWidth="1"/>
    <col min="3849" max="3849" width="9.5703125" style="1478" customWidth="1"/>
    <col min="3850" max="3850" width="11.5703125" style="1478" customWidth="1"/>
    <col min="3851" max="3851" width="38.42578125" style="1478" customWidth="1"/>
    <col min="3852" max="3852" width="22.7109375" style="1478" customWidth="1"/>
    <col min="3853" max="3853" width="38" style="1478" customWidth="1"/>
    <col min="3854" max="3854" width="30.28515625" style="1478" customWidth="1"/>
    <col min="3855" max="3855" width="10.42578125" style="1478" customWidth="1"/>
    <col min="3856" max="3856" width="28.42578125" style="1478" customWidth="1"/>
    <col min="3857" max="3857" width="19.140625" style="1478" customWidth="1"/>
    <col min="3858" max="3858" width="28.140625" style="1478" customWidth="1"/>
    <col min="3859" max="3859" width="26.42578125" style="1478" customWidth="1"/>
    <col min="3860" max="3860" width="26.7109375" style="1478" customWidth="1"/>
    <col min="3861" max="3861" width="44.28515625" style="1478" customWidth="1"/>
    <col min="3862" max="3862" width="25.42578125" style="1478" customWidth="1"/>
    <col min="3863" max="3863" width="30.5703125" style="1478" customWidth="1"/>
    <col min="3864" max="3864" width="16.85546875" style="1478" customWidth="1"/>
    <col min="3865" max="3880" width="14.140625" style="1478" customWidth="1"/>
    <col min="3881" max="3882" width="22.7109375" style="1478" customWidth="1"/>
    <col min="3883" max="3883" width="28.7109375" style="1478" customWidth="1"/>
    <col min="3884" max="4096" width="11.42578125" style="1478"/>
    <col min="4097" max="4104" width="4.85546875" style="1478" customWidth="1"/>
    <col min="4105" max="4105" width="9.5703125" style="1478" customWidth="1"/>
    <col min="4106" max="4106" width="11.5703125" style="1478" customWidth="1"/>
    <col min="4107" max="4107" width="38.42578125" style="1478" customWidth="1"/>
    <col min="4108" max="4108" width="22.7109375" style="1478" customWidth="1"/>
    <col min="4109" max="4109" width="38" style="1478" customWidth="1"/>
    <col min="4110" max="4110" width="30.28515625" style="1478" customWidth="1"/>
    <col min="4111" max="4111" width="10.42578125" style="1478" customWidth="1"/>
    <col min="4112" max="4112" width="28.42578125" style="1478" customWidth="1"/>
    <col min="4113" max="4113" width="19.140625" style="1478" customWidth="1"/>
    <col min="4114" max="4114" width="28.140625" style="1478" customWidth="1"/>
    <col min="4115" max="4115" width="26.42578125" style="1478" customWidth="1"/>
    <col min="4116" max="4116" width="26.7109375" style="1478" customWidth="1"/>
    <col min="4117" max="4117" width="44.28515625" style="1478" customWidth="1"/>
    <col min="4118" max="4118" width="25.42578125" style="1478" customWidth="1"/>
    <col min="4119" max="4119" width="30.5703125" style="1478" customWidth="1"/>
    <col min="4120" max="4120" width="16.85546875" style="1478" customWidth="1"/>
    <col min="4121" max="4136" width="14.140625" style="1478" customWidth="1"/>
    <col min="4137" max="4138" width="22.7109375" style="1478" customWidth="1"/>
    <col min="4139" max="4139" width="28.7109375" style="1478" customWidth="1"/>
    <col min="4140" max="4352" width="11.42578125" style="1478"/>
    <col min="4353" max="4360" width="4.85546875" style="1478" customWidth="1"/>
    <col min="4361" max="4361" width="9.5703125" style="1478" customWidth="1"/>
    <col min="4362" max="4362" width="11.5703125" style="1478" customWidth="1"/>
    <col min="4363" max="4363" width="38.42578125" style="1478" customWidth="1"/>
    <col min="4364" max="4364" width="22.7109375" style="1478" customWidth="1"/>
    <col min="4365" max="4365" width="38" style="1478" customWidth="1"/>
    <col min="4366" max="4366" width="30.28515625" style="1478" customWidth="1"/>
    <col min="4367" max="4367" width="10.42578125" style="1478" customWidth="1"/>
    <col min="4368" max="4368" width="28.42578125" style="1478" customWidth="1"/>
    <col min="4369" max="4369" width="19.140625" style="1478" customWidth="1"/>
    <col min="4370" max="4370" width="28.140625" style="1478" customWidth="1"/>
    <col min="4371" max="4371" width="26.42578125" style="1478" customWidth="1"/>
    <col min="4372" max="4372" width="26.7109375" style="1478" customWidth="1"/>
    <col min="4373" max="4373" width="44.28515625" style="1478" customWidth="1"/>
    <col min="4374" max="4374" width="25.42578125" style="1478" customWidth="1"/>
    <col min="4375" max="4375" width="30.5703125" style="1478" customWidth="1"/>
    <col min="4376" max="4376" width="16.85546875" style="1478" customWidth="1"/>
    <col min="4377" max="4392" width="14.140625" style="1478" customWidth="1"/>
    <col min="4393" max="4394" width="22.7109375" style="1478" customWidth="1"/>
    <col min="4395" max="4395" width="28.7109375" style="1478" customWidth="1"/>
    <col min="4396" max="4608" width="11.42578125" style="1478"/>
    <col min="4609" max="4616" width="4.85546875" style="1478" customWidth="1"/>
    <col min="4617" max="4617" width="9.5703125" style="1478" customWidth="1"/>
    <col min="4618" max="4618" width="11.5703125" style="1478" customWidth="1"/>
    <col min="4619" max="4619" width="38.42578125" style="1478" customWidth="1"/>
    <col min="4620" max="4620" width="22.7109375" style="1478" customWidth="1"/>
    <col min="4621" max="4621" width="38" style="1478" customWidth="1"/>
    <col min="4622" max="4622" width="30.28515625" style="1478" customWidth="1"/>
    <col min="4623" max="4623" width="10.42578125" style="1478" customWidth="1"/>
    <col min="4624" max="4624" width="28.42578125" style="1478" customWidth="1"/>
    <col min="4625" max="4625" width="19.140625" style="1478" customWidth="1"/>
    <col min="4626" max="4626" width="28.140625" style="1478" customWidth="1"/>
    <col min="4627" max="4627" width="26.42578125" style="1478" customWidth="1"/>
    <col min="4628" max="4628" width="26.7109375" style="1478" customWidth="1"/>
    <col min="4629" max="4629" width="44.28515625" style="1478" customWidth="1"/>
    <col min="4630" max="4630" width="25.42578125" style="1478" customWidth="1"/>
    <col min="4631" max="4631" width="30.5703125" style="1478" customWidth="1"/>
    <col min="4632" max="4632" width="16.85546875" style="1478" customWidth="1"/>
    <col min="4633" max="4648" width="14.140625" style="1478" customWidth="1"/>
    <col min="4649" max="4650" width="22.7109375" style="1478" customWidth="1"/>
    <col min="4651" max="4651" width="28.7109375" style="1478" customWidth="1"/>
    <col min="4652" max="4864" width="11.42578125" style="1478"/>
    <col min="4865" max="4872" width="4.85546875" style="1478" customWidth="1"/>
    <col min="4873" max="4873" width="9.5703125" style="1478" customWidth="1"/>
    <col min="4874" max="4874" width="11.5703125" style="1478" customWidth="1"/>
    <col min="4875" max="4875" width="38.42578125" style="1478" customWidth="1"/>
    <col min="4876" max="4876" width="22.7109375" style="1478" customWidth="1"/>
    <col min="4877" max="4877" width="38" style="1478" customWidth="1"/>
    <col min="4878" max="4878" width="30.28515625" style="1478" customWidth="1"/>
    <col min="4879" max="4879" width="10.42578125" style="1478" customWidth="1"/>
    <col min="4880" max="4880" width="28.42578125" style="1478" customWidth="1"/>
    <col min="4881" max="4881" width="19.140625" style="1478" customWidth="1"/>
    <col min="4882" max="4882" width="28.140625" style="1478" customWidth="1"/>
    <col min="4883" max="4883" width="26.42578125" style="1478" customWidth="1"/>
    <col min="4884" max="4884" width="26.7109375" style="1478" customWidth="1"/>
    <col min="4885" max="4885" width="44.28515625" style="1478" customWidth="1"/>
    <col min="4886" max="4886" width="25.42578125" style="1478" customWidth="1"/>
    <col min="4887" max="4887" width="30.5703125" style="1478" customWidth="1"/>
    <col min="4888" max="4888" width="16.85546875" style="1478" customWidth="1"/>
    <col min="4889" max="4904" width="14.140625" style="1478" customWidth="1"/>
    <col min="4905" max="4906" width="22.7109375" style="1478" customWidth="1"/>
    <col min="4907" max="4907" width="28.7109375" style="1478" customWidth="1"/>
    <col min="4908" max="5120" width="11.42578125" style="1478"/>
    <col min="5121" max="5128" width="4.85546875" style="1478" customWidth="1"/>
    <col min="5129" max="5129" width="9.5703125" style="1478" customWidth="1"/>
    <col min="5130" max="5130" width="11.5703125" style="1478" customWidth="1"/>
    <col min="5131" max="5131" width="38.42578125" style="1478" customWidth="1"/>
    <col min="5132" max="5132" width="22.7109375" style="1478" customWidth="1"/>
    <col min="5133" max="5133" width="38" style="1478" customWidth="1"/>
    <col min="5134" max="5134" width="30.28515625" style="1478" customWidth="1"/>
    <col min="5135" max="5135" width="10.42578125" style="1478" customWidth="1"/>
    <col min="5136" max="5136" width="28.42578125" style="1478" customWidth="1"/>
    <col min="5137" max="5137" width="19.140625" style="1478" customWidth="1"/>
    <col min="5138" max="5138" width="28.140625" style="1478" customWidth="1"/>
    <col min="5139" max="5139" width="26.42578125" style="1478" customWidth="1"/>
    <col min="5140" max="5140" width="26.7109375" style="1478" customWidth="1"/>
    <col min="5141" max="5141" width="44.28515625" style="1478" customWidth="1"/>
    <col min="5142" max="5142" width="25.42578125" style="1478" customWidth="1"/>
    <col min="5143" max="5143" width="30.5703125" style="1478" customWidth="1"/>
    <col min="5144" max="5144" width="16.85546875" style="1478" customWidth="1"/>
    <col min="5145" max="5160" width="14.140625" style="1478" customWidth="1"/>
    <col min="5161" max="5162" width="22.7109375" style="1478" customWidth="1"/>
    <col min="5163" max="5163" width="28.7109375" style="1478" customWidth="1"/>
    <col min="5164" max="5376" width="11.42578125" style="1478"/>
    <col min="5377" max="5384" width="4.85546875" style="1478" customWidth="1"/>
    <col min="5385" max="5385" width="9.5703125" style="1478" customWidth="1"/>
    <col min="5386" max="5386" width="11.5703125" style="1478" customWidth="1"/>
    <col min="5387" max="5387" width="38.42578125" style="1478" customWidth="1"/>
    <col min="5388" max="5388" width="22.7109375" style="1478" customWidth="1"/>
    <col min="5389" max="5389" width="38" style="1478" customWidth="1"/>
    <col min="5390" max="5390" width="30.28515625" style="1478" customWidth="1"/>
    <col min="5391" max="5391" width="10.42578125" style="1478" customWidth="1"/>
    <col min="5392" max="5392" width="28.42578125" style="1478" customWidth="1"/>
    <col min="5393" max="5393" width="19.140625" style="1478" customWidth="1"/>
    <col min="5394" max="5394" width="28.140625" style="1478" customWidth="1"/>
    <col min="5395" max="5395" width="26.42578125" style="1478" customWidth="1"/>
    <col min="5396" max="5396" width="26.7109375" style="1478" customWidth="1"/>
    <col min="5397" max="5397" width="44.28515625" style="1478" customWidth="1"/>
    <col min="5398" max="5398" width="25.42578125" style="1478" customWidth="1"/>
    <col min="5399" max="5399" width="30.5703125" style="1478" customWidth="1"/>
    <col min="5400" max="5400" width="16.85546875" style="1478" customWidth="1"/>
    <col min="5401" max="5416" width="14.140625" style="1478" customWidth="1"/>
    <col min="5417" max="5418" width="22.7109375" style="1478" customWidth="1"/>
    <col min="5419" max="5419" width="28.7109375" style="1478" customWidth="1"/>
    <col min="5420" max="5632" width="11.42578125" style="1478"/>
    <col min="5633" max="5640" width="4.85546875" style="1478" customWidth="1"/>
    <col min="5641" max="5641" width="9.5703125" style="1478" customWidth="1"/>
    <col min="5642" max="5642" width="11.5703125" style="1478" customWidth="1"/>
    <col min="5643" max="5643" width="38.42578125" style="1478" customWidth="1"/>
    <col min="5644" max="5644" width="22.7109375" style="1478" customWidth="1"/>
    <col min="5645" max="5645" width="38" style="1478" customWidth="1"/>
    <col min="5646" max="5646" width="30.28515625" style="1478" customWidth="1"/>
    <col min="5647" max="5647" width="10.42578125" style="1478" customWidth="1"/>
    <col min="5648" max="5648" width="28.42578125" style="1478" customWidth="1"/>
    <col min="5649" max="5649" width="19.140625" style="1478" customWidth="1"/>
    <col min="5650" max="5650" width="28.140625" style="1478" customWidth="1"/>
    <col min="5651" max="5651" width="26.42578125" style="1478" customWidth="1"/>
    <col min="5652" max="5652" width="26.7109375" style="1478" customWidth="1"/>
    <col min="5653" max="5653" width="44.28515625" style="1478" customWidth="1"/>
    <col min="5654" max="5654" width="25.42578125" style="1478" customWidth="1"/>
    <col min="5655" max="5655" width="30.5703125" style="1478" customWidth="1"/>
    <col min="5656" max="5656" width="16.85546875" style="1478" customWidth="1"/>
    <col min="5657" max="5672" width="14.140625" style="1478" customWidth="1"/>
    <col min="5673" max="5674" width="22.7109375" style="1478" customWidth="1"/>
    <col min="5675" max="5675" width="28.7109375" style="1478" customWidth="1"/>
    <col min="5676" max="5888" width="11.42578125" style="1478"/>
    <col min="5889" max="5896" width="4.85546875" style="1478" customWidth="1"/>
    <col min="5897" max="5897" width="9.5703125" style="1478" customWidth="1"/>
    <col min="5898" max="5898" width="11.5703125" style="1478" customWidth="1"/>
    <col min="5899" max="5899" width="38.42578125" style="1478" customWidth="1"/>
    <col min="5900" max="5900" width="22.7109375" style="1478" customWidth="1"/>
    <col min="5901" max="5901" width="38" style="1478" customWidth="1"/>
    <col min="5902" max="5902" width="30.28515625" style="1478" customWidth="1"/>
    <col min="5903" max="5903" width="10.42578125" style="1478" customWidth="1"/>
    <col min="5904" max="5904" width="28.42578125" style="1478" customWidth="1"/>
    <col min="5905" max="5905" width="19.140625" style="1478" customWidth="1"/>
    <col min="5906" max="5906" width="28.140625" style="1478" customWidth="1"/>
    <col min="5907" max="5907" width="26.42578125" style="1478" customWidth="1"/>
    <col min="5908" max="5908" width="26.7109375" style="1478" customWidth="1"/>
    <col min="5909" max="5909" width="44.28515625" style="1478" customWidth="1"/>
    <col min="5910" max="5910" width="25.42578125" style="1478" customWidth="1"/>
    <col min="5911" max="5911" width="30.5703125" style="1478" customWidth="1"/>
    <col min="5912" max="5912" width="16.85546875" style="1478" customWidth="1"/>
    <col min="5913" max="5928" width="14.140625" style="1478" customWidth="1"/>
    <col min="5929" max="5930" width="22.7109375" style="1478" customWidth="1"/>
    <col min="5931" max="5931" width="28.7109375" style="1478" customWidth="1"/>
    <col min="5932" max="6144" width="11.42578125" style="1478"/>
    <col min="6145" max="6152" width="4.85546875" style="1478" customWidth="1"/>
    <col min="6153" max="6153" width="9.5703125" style="1478" customWidth="1"/>
    <col min="6154" max="6154" width="11.5703125" style="1478" customWidth="1"/>
    <col min="6155" max="6155" width="38.42578125" style="1478" customWidth="1"/>
    <col min="6156" max="6156" width="22.7109375" style="1478" customWidth="1"/>
    <col min="6157" max="6157" width="38" style="1478" customWidth="1"/>
    <col min="6158" max="6158" width="30.28515625" style="1478" customWidth="1"/>
    <col min="6159" max="6159" width="10.42578125" style="1478" customWidth="1"/>
    <col min="6160" max="6160" width="28.42578125" style="1478" customWidth="1"/>
    <col min="6161" max="6161" width="19.140625" style="1478" customWidth="1"/>
    <col min="6162" max="6162" width="28.140625" style="1478" customWidth="1"/>
    <col min="6163" max="6163" width="26.42578125" style="1478" customWidth="1"/>
    <col min="6164" max="6164" width="26.7109375" style="1478" customWidth="1"/>
    <col min="6165" max="6165" width="44.28515625" style="1478" customWidth="1"/>
    <col min="6166" max="6166" width="25.42578125" style="1478" customWidth="1"/>
    <col min="6167" max="6167" width="30.5703125" style="1478" customWidth="1"/>
    <col min="6168" max="6168" width="16.85546875" style="1478" customWidth="1"/>
    <col min="6169" max="6184" width="14.140625" style="1478" customWidth="1"/>
    <col min="6185" max="6186" width="22.7109375" style="1478" customWidth="1"/>
    <col min="6187" max="6187" width="28.7109375" style="1478" customWidth="1"/>
    <col min="6188" max="6400" width="11.42578125" style="1478"/>
    <col min="6401" max="6408" width="4.85546875" style="1478" customWidth="1"/>
    <col min="6409" max="6409" width="9.5703125" style="1478" customWidth="1"/>
    <col min="6410" max="6410" width="11.5703125" style="1478" customWidth="1"/>
    <col min="6411" max="6411" width="38.42578125" style="1478" customWidth="1"/>
    <col min="6412" max="6412" width="22.7109375" style="1478" customWidth="1"/>
    <col min="6413" max="6413" width="38" style="1478" customWidth="1"/>
    <col min="6414" max="6414" width="30.28515625" style="1478" customWidth="1"/>
    <col min="6415" max="6415" width="10.42578125" style="1478" customWidth="1"/>
    <col min="6416" max="6416" width="28.42578125" style="1478" customWidth="1"/>
    <col min="6417" max="6417" width="19.140625" style="1478" customWidth="1"/>
    <col min="6418" max="6418" width="28.140625" style="1478" customWidth="1"/>
    <col min="6419" max="6419" width="26.42578125" style="1478" customWidth="1"/>
    <col min="6420" max="6420" width="26.7109375" style="1478" customWidth="1"/>
    <col min="6421" max="6421" width="44.28515625" style="1478" customWidth="1"/>
    <col min="6422" max="6422" width="25.42578125" style="1478" customWidth="1"/>
    <col min="6423" max="6423" width="30.5703125" style="1478" customWidth="1"/>
    <col min="6424" max="6424" width="16.85546875" style="1478" customWidth="1"/>
    <col min="6425" max="6440" width="14.140625" style="1478" customWidth="1"/>
    <col min="6441" max="6442" width="22.7109375" style="1478" customWidth="1"/>
    <col min="6443" max="6443" width="28.7109375" style="1478" customWidth="1"/>
    <col min="6444" max="6656" width="11.42578125" style="1478"/>
    <col min="6657" max="6664" width="4.85546875" style="1478" customWidth="1"/>
    <col min="6665" max="6665" width="9.5703125" style="1478" customWidth="1"/>
    <col min="6666" max="6666" width="11.5703125" style="1478" customWidth="1"/>
    <col min="6667" max="6667" width="38.42578125" style="1478" customWidth="1"/>
    <col min="6668" max="6668" width="22.7109375" style="1478" customWidth="1"/>
    <col min="6669" max="6669" width="38" style="1478" customWidth="1"/>
    <col min="6670" max="6670" width="30.28515625" style="1478" customWidth="1"/>
    <col min="6671" max="6671" width="10.42578125" style="1478" customWidth="1"/>
    <col min="6672" max="6672" width="28.42578125" style="1478" customWidth="1"/>
    <col min="6673" max="6673" width="19.140625" style="1478" customWidth="1"/>
    <col min="6674" max="6674" width="28.140625" style="1478" customWidth="1"/>
    <col min="6675" max="6675" width="26.42578125" style="1478" customWidth="1"/>
    <col min="6676" max="6676" width="26.7109375" style="1478" customWidth="1"/>
    <col min="6677" max="6677" width="44.28515625" style="1478" customWidth="1"/>
    <col min="6678" max="6678" width="25.42578125" style="1478" customWidth="1"/>
    <col min="6679" max="6679" width="30.5703125" style="1478" customWidth="1"/>
    <col min="6680" max="6680" width="16.85546875" style="1478" customWidth="1"/>
    <col min="6681" max="6696" width="14.140625" style="1478" customWidth="1"/>
    <col min="6697" max="6698" width="22.7109375" style="1478" customWidth="1"/>
    <col min="6699" max="6699" width="28.7109375" style="1478" customWidth="1"/>
    <col min="6700" max="6912" width="11.42578125" style="1478"/>
    <col min="6913" max="6920" width="4.85546875" style="1478" customWidth="1"/>
    <col min="6921" max="6921" width="9.5703125" style="1478" customWidth="1"/>
    <col min="6922" max="6922" width="11.5703125" style="1478" customWidth="1"/>
    <col min="6923" max="6923" width="38.42578125" style="1478" customWidth="1"/>
    <col min="6924" max="6924" width="22.7109375" style="1478" customWidth="1"/>
    <col min="6925" max="6925" width="38" style="1478" customWidth="1"/>
    <col min="6926" max="6926" width="30.28515625" style="1478" customWidth="1"/>
    <col min="6927" max="6927" width="10.42578125" style="1478" customWidth="1"/>
    <col min="6928" max="6928" width="28.42578125" style="1478" customWidth="1"/>
    <col min="6929" max="6929" width="19.140625" style="1478" customWidth="1"/>
    <col min="6930" max="6930" width="28.140625" style="1478" customWidth="1"/>
    <col min="6931" max="6931" width="26.42578125" style="1478" customWidth="1"/>
    <col min="6932" max="6932" width="26.7109375" style="1478" customWidth="1"/>
    <col min="6933" max="6933" width="44.28515625" style="1478" customWidth="1"/>
    <col min="6934" max="6934" width="25.42578125" style="1478" customWidth="1"/>
    <col min="6935" max="6935" width="30.5703125" style="1478" customWidth="1"/>
    <col min="6936" max="6936" width="16.85546875" style="1478" customWidth="1"/>
    <col min="6937" max="6952" width="14.140625" style="1478" customWidth="1"/>
    <col min="6953" max="6954" width="22.7109375" style="1478" customWidth="1"/>
    <col min="6955" max="6955" width="28.7109375" style="1478" customWidth="1"/>
    <col min="6956" max="7168" width="11.42578125" style="1478"/>
    <col min="7169" max="7176" width="4.85546875" style="1478" customWidth="1"/>
    <col min="7177" max="7177" width="9.5703125" style="1478" customWidth="1"/>
    <col min="7178" max="7178" width="11.5703125" style="1478" customWidth="1"/>
    <col min="7179" max="7179" width="38.42578125" style="1478" customWidth="1"/>
    <col min="7180" max="7180" width="22.7109375" style="1478" customWidth="1"/>
    <col min="7181" max="7181" width="38" style="1478" customWidth="1"/>
    <col min="7182" max="7182" width="30.28515625" style="1478" customWidth="1"/>
    <col min="7183" max="7183" width="10.42578125" style="1478" customWidth="1"/>
    <col min="7184" max="7184" width="28.42578125" style="1478" customWidth="1"/>
    <col min="7185" max="7185" width="19.140625" style="1478" customWidth="1"/>
    <col min="7186" max="7186" width="28.140625" style="1478" customWidth="1"/>
    <col min="7187" max="7187" width="26.42578125" style="1478" customWidth="1"/>
    <col min="7188" max="7188" width="26.7109375" style="1478" customWidth="1"/>
    <col min="7189" max="7189" width="44.28515625" style="1478" customWidth="1"/>
    <col min="7190" max="7190" width="25.42578125" style="1478" customWidth="1"/>
    <col min="7191" max="7191" width="30.5703125" style="1478" customWidth="1"/>
    <col min="7192" max="7192" width="16.85546875" style="1478" customWidth="1"/>
    <col min="7193" max="7208" width="14.140625" style="1478" customWidth="1"/>
    <col min="7209" max="7210" width="22.7109375" style="1478" customWidth="1"/>
    <col min="7211" max="7211" width="28.7109375" style="1478" customWidth="1"/>
    <col min="7212" max="7424" width="11.42578125" style="1478"/>
    <col min="7425" max="7432" width="4.85546875" style="1478" customWidth="1"/>
    <col min="7433" max="7433" width="9.5703125" style="1478" customWidth="1"/>
    <col min="7434" max="7434" width="11.5703125" style="1478" customWidth="1"/>
    <col min="7435" max="7435" width="38.42578125" style="1478" customWidth="1"/>
    <col min="7436" max="7436" width="22.7109375" style="1478" customWidth="1"/>
    <col min="7437" max="7437" width="38" style="1478" customWidth="1"/>
    <col min="7438" max="7438" width="30.28515625" style="1478" customWidth="1"/>
    <col min="7439" max="7439" width="10.42578125" style="1478" customWidth="1"/>
    <col min="7440" max="7440" width="28.42578125" style="1478" customWidth="1"/>
    <col min="7441" max="7441" width="19.140625" style="1478" customWidth="1"/>
    <col min="7442" max="7442" width="28.140625" style="1478" customWidth="1"/>
    <col min="7443" max="7443" width="26.42578125" style="1478" customWidth="1"/>
    <col min="7444" max="7444" width="26.7109375" style="1478" customWidth="1"/>
    <col min="7445" max="7445" width="44.28515625" style="1478" customWidth="1"/>
    <col min="7446" max="7446" width="25.42578125" style="1478" customWidth="1"/>
    <col min="7447" max="7447" width="30.5703125" style="1478" customWidth="1"/>
    <col min="7448" max="7448" width="16.85546875" style="1478" customWidth="1"/>
    <col min="7449" max="7464" width="14.140625" style="1478" customWidth="1"/>
    <col min="7465" max="7466" width="22.7109375" style="1478" customWidth="1"/>
    <col min="7467" max="7467" width="28.7109375" style="1478" customWidth="1"/>
    <col min="7468" max="7680" width="11.42578125" style="1478"/>
    <col min="7681" max="7688" width="4.85546875" style="1478" customWidth="1"/>
    <col min="7689" max="7689" width="9.5703125" style="1478" customWidth="1"/>
    <col min="7690" max="7690" width="11.5703125" style="1478" customWidth="1"/>
    <col min="7691" max="7691" width="38.42578125" style="1478" customWidth="1"/>
    <col min="7692" max="7692" width="22.7109375" style="1478" customWidth="1"/>
    <col min="7693" max="7693" width="38" style="1478" customWidth="1"/>
    <col min="7694" max="7694" width="30.28515625" style="1478" customWidth="1"/>
    <col min="7695" max="7695" width="10.42578125" style="1478" customWidth="1"/>
    <col min="7696" max="7696" width="28.42578125" style="1478" customWidth="1"/>
    <col min="7697" max="7697" width="19.140625" style="1478" customWidth="1"/>
    <col min="7698" max="7698" width="28.140625" style="1478" customWidth="1"/>
    <col min="7699" max="7699" width="26.42578125" style="1478" customWidth="1"/>
    <col min="7700" max="7700" width="26.7109375" style="1478" customWidth="1"/>
    <col min="7701" max="7701" width="44.28515625" style="1478" customWidth="1"/>
    <col min="7702" max="7702" width="25.42578125" style="1478" customWidth="1"/>
    <col min="7703" max="7703" width="30.5703125" style="1478" customWidth="1"/>
    <col min="7704" max="7704" width="16.85546875" style="1478" customWidth="1"/>
    <col min="7705" max="7720" width="14.140625" style="1478" customWidth="1"/>
    <col min="7721" max="7722" width="22.7109375" style="1478" customWidth="1"/>
    <col min="7723" max="7723" width="28.7109375" style="1478" customWidth="1"/>
    <col min="7724" max="7936" width="11.42578125" style="1478"/>
    <col min="7937" max="7944" width="4.85546875" style="1478" customWidth="1"/>
    <col min="7945" max="7945" width="9.5703125" style="1478" customWidth="1"/>
    <col min="7946" max="7946" width="11.5703125" style="1478" customWidth="1"/>
    <col min="7947" max="7947" width="38.42578125" style="1478" customWidth="1"/>
    <col min="7948" max="7948" width="22.7109375" style="1478" customWidth="1"/>
    <col min="7949" max="7949" width="38" style="1478" customWidth="1"/>
    <col min="7950" max="7950" width="30.28515625" style="1478" customWidth="1"/>
    <col min="7951" max="7951" width="10.42578125" style="1478" customWidth="1"/>
    <col min="7952" max="7952" width="28.42578125" style="1478" customWidth="1"/>
    <col min="7953" max="7953" width="19.140625" style="1478" customWidth="1"/>
    <col min="7954" max="7954" width="28.140625" style="1478" customWidth="1"/>
    <col min="7955" max="7955" width="26.42578125" style="1478" customWidth="1"/>
    <col min="7956" max="7956" width="26.7109375" style="1478" customWidth="1"/>
    <col min="7957" max="7957" width="44.28515625" style="1478" customWidth="1"/>
    <col min="7958" max="7958" width="25.42578125" style="1478" customWidth="1"/>
    <col min="7959" max="7959" width="30.5703125" style="1478" customWidth="1"/>
    <col min="7960" max="7960" width="16.85546875" style="1478" customWidth="1"/>
    <col min="7961" max="7976" width="14.140625" style="1478" customWidth="1"/>
    <col min="7977" max="7978" width="22.7109375" style="1478" customWidth="1"/>
    <col min="7979" max="7979" width="28.7109375" style="1478" customWidth="1"/>
    <col min="7980" max="8192" width="11.42578125" style="1478"/>
    <col min="8193" max="8200" width="4.85546875" style="1478" customWidth="1"/>
    <col min="8201" max="8201" width="9.5703125" style="1478" customWidth="1"/>
    <col min="8202" max="8202" width="11.5703125" style="1478" customWidth="1"/>
    <col min="8203" max="8203" width="38.42578125" style="1478" customWidth="1"/>
    <col min="8204" max="8204" width="22.7109375" style="1478" customWidth="1"/>
    <col min="8205" max="8205" width="38" style="1478" customWidth="1"/>
    <col min="8206" max="8206" width="30.28515625" style="1478" customWidth="1"/>
    <col min="8207" max="8207" width="10.42578125" style="1478" customWidth="1"/>
    <col min="8208" max="8208" width="28.42578125" style="1478" customWidth="1"/>
    <col min="8209" max="8209" width="19.140625" style="1478" customWidth="1"/>
    <col min="8210" max="8210" width="28.140625" style="1478" customWidth="1"/>
    <col min="8211" max="8211" width="26.42578125" style="1478" customWidth="1"/>
    <col min="8212" max="8212" width="26.7109375" style="1478" customWidth="1"/>
    <col min="8213" max="8213" width="44.28515625" style="1478" customWidth="1"/>
    <col min="8214" max="8214" width="25.42578125" style="1478" customWidth="1"/>
    <col min="8215" max="8215" width="30.5703125" style="1478" customWidth="1"/>
    <col min="8216" max="8216" width="16.85546875" style="1478" customWidth="1"/>
    <col min="8217" max="8232" width="14.140625" style="1478" customWidth="1"/>
    <col min="8233" max="8234" width="22.7109375" style="1478" customWidth="1"/>
    <col min="8235" max="8235" width="28.7109375" style="1478" customWidth="1"/>
    <col min="8236" max="8448" width="11.42578125" style="1478"/>
    <col min="8449" max="8456" width="4.85546875" style="1478" customWidth="1"/>
    <col min="8457" max="8457" width="9.5703125" style="1478" customWidth="1"/>
    <col min="8458" max="8458" width="11.5703125" style="1478" customWidth="1"/>
    <col min="8459" max="8459" width="38.42578125" style="1478" customWidth="1"/>
    <col min="8460" max="8460" width="22.7109375" style="1478" customWidth="1"/>
    <col min="8461" max="8461" width="38" style="1478" customWidth="1"/>
    <col min="8462" max="8462" width="30.28515625" style="1478" customWidth="1"/>
    <col min="8463" max="8463" width="10.42578125" style="1478" customWidth="1"/>
    <col min="8464" max="8464" width="28.42578125" style="1478" customWidth="1"/>
    <col min="8465" max="8465" width="19.140625" style="1478" customWidth="1"/>
    <col min="8466" max="8466" width="28.140625" style="1478" customWidth="1"/>
    <col min="8467" max="8467" width="26.42578125" style="1478" customWidth="1"/>
    <col min="8468" max="8468" width="26.7109375" style="1478" customWidth="1"/>
    <col min="8469" max="8469" width="44.28515625" style="1478" customWidth="1"/>
    <col min="8470" max="8470" width="25.42578125" style="1478" customWidth="1"/>
    <col min="8471" max="8471" width="30.5703125" style="1478" customWidth="1"/>
    <col min="8472" max="8472" width="16.85546875" style="1478" customWidth="1"/>
    <col min="8473" max="8488" width="14.140625" style="1478" customWidth="1"/>
    <col min="8489" max="8490" width="22.7109375" style="1478" customWidth="1"/>
    <col min="8491" max="8491" width="28.7109375" style="1478" customWidth="1"/>
    <col min="8492" max="8704" width="11.42578125" style="1478"/>
    <col min="8705" max="8712" width="4.85546875" style="1478" customWidth="1"/>
    <col min="8713" max="8713" width="9.5703125" style="1478" customWidth="1"/>
    <col min="8714" max="8714" width="11.5703125" style="1478" customWidth="1"/>
    <col min="8715" max="8715" width="38.42578125" style="1478" customWidth="1"/>
    <col min="8716" max="8716" width="22.7109375" style="1478" customWidth="1"/>
    <col min="8717" max="8717" width="38" style="1478" customWidth="1"/>
    <col min="8718" max="8718" width="30.28515625" style="1478" customWidth="1"/>
    <col min="8719" max="8719" width="10.42578125" style="1478" customWidth="1"/>
    <col min="8720" max="8720" width="28.42578125" style="1478" customWidth="1"/>
    <col min="8721" max="8721" width="19.140625" style="1478" customWidth="1"/>
    <col min="8722" max="8722" width="28.140625" style="1478" customWidth="1"/>
    <col min="8723" max="8723" width="26.42578125" style="1478" customWidth="1"/>
    <col min="8724" max="8724" width="26.7109375" style="1478" customWidth="1"/>
    <col min="8725" max="8725" width="44.28515625" style="1478" customWidth="1"/>
    <col min="8726" max="8726" width="25.42578125" style="1478" customWidth="1"/>
    <col min="8727" max="8727" width="30.5703125" style="1478" customWidth="1"/>
    <col min="8728" max="8728" width="16.85546875" style="1478" customWidth="1"/>
    <col min="8729" max="8744" width="14.140625" style="1478" customWidth="1"/>
    <col min="8745" max="8746" width="22.7109375" style="1478" customWidth="1"/>
    <col min="8747" max="8747" width="28.7109375" style="1478" customWidth="1"/>
    <col min="8748" max="8960" width="11.42578125" style="1478"/>
    <col min="8961" max="8968" width="4.85546875" style="1478" customWidth="1"/>
    <col min="8969" max="8969" width="9.5703125" style="1478" customWidth="1"/>
    <col min="8970" max="8970" width="11.5703125" style="1478" customWidth="1"/>
    <col min="8971" max="8971" width="38.42578125" style="1478" customWidth="1"/>
    <col min="8972" max="8972" width="22.7109375" style="1478" customWidth="1"/>
    <col min="8973" max="8973" width="38" style="1478" customWidth="1"/>
    <col min="8974" max="8974" width="30.28515625" style="1478" customWidth="1"/>
    <col min="8975" max="8975" width="10.42578125" style="1478" customWidth="1"/>
    <col min="8976" max="8976" width="28.42578125" style="1478" customWidth="1"/>
    <col min="8977" max="8977" width="19.140625" style="1478" customWidth="1"/>
    <col min="8978" max="8978" width="28.140625" style="1478" customWidth="1"/>
    <col min="8979" max="8979" width="26.42578125" style="1478" customWidth="1"/>
    <col min="8980" max="8980" width="26.7109375" style="1478" customWidth="1"/>
    <col min="8981" max="8981" width="44.28515625" style="1478" customWidth="1"/>
    <col min="8982" max="8982" width="25.42578125" style="1478" customWidth="1"/>
    <col min="8983" max="8983" width="30.5703125" style="1478" customWidth="1"/>
    <col min="8984" max="8984" width="16.85546875" style="1478" customWidth="1"/>
    <col min="8985" max="9000" width="14.140625" style="1478" customWidth="1"/>
    <col min="9001" max="9002" width="22.7109375" style="1478" customWidth="1"/>
    <col min="9003" max="9003" width="28.7109375" style="1478" customWidth="1"/>
    <col min="9004" max="9216" width="11.42578125" style="1478"/>
    <col min="9217" max="9224" width="4.85546875" style="1478" customWidth="1"/>
    <col min="9225" max="9225" width="9.5703125" style="1478" customWidth="1"/>
    <col min="9226" max="9226" width="11.5703125" style="1478" customWidth="1"/>
    <col min="9227" max="9227" width="38.42578125" style="1478" customWidth="1"/>
    <col min="9228" max="9228" width="22.7109375" style="1478" customWidth="1"/>
    <col min="9229" max="9229" width="38" style="1478" customWidth="1"/>
    <col min="9230" max="9230" width="30.28515625" style="1478" customWidth="1"/>
    <col min="9231" max="9231" width="10.42578125" style="1478" customWidth="1"/>
    <col min="9232" max="9232" width="28.42578125" style="1478" customWidth="1"/>
    <col min="9233" max="9233" width="19.140625" style="1478" customWidth="1"/>
    <col min="9234" max="9234" width="28.140625" style="1478" customWidth="1"/>
    <col min="9235" max="9235" width="26.42578125" style="1478" customWidth="1"/>
    <col min="9236" max="9236" width="26.7109375" style="1478" customWidth="1"/>
    <col min="9237" max="9237" width="44.28515625" style="1478" customWidth="1"/>
    <col min="9238" max="9238" width="25.42578125" style="1478" customWidth="1"/>
    <col min="9239" max="9239" width="30.5703125" style="1478" customWidth="1"/>
    <col min="9240" max="9240" width="16.85546875" style="1478" customWidth="1"/>
    <col min="9241" max="9256" width="14.140625" style="1478" customWidth="1"/>
    <col min="9257" max="9258" width="22.7109375" style="1478" customWidth="1"/>
    <col min="9259" max="9259" width="28.7109375" style="1478" customWidth="1"/>
    <col min="9260" max="9472" width="11.42578125" style="1478"/>
    <col min="9473" max="9480" width="4.85546875" style="1478" customWidth="1"/>
    <col min="9481" max="9481" width="9.5703125" style="1478" customWidth="1"/>
    <col min="9482" max="9482" width="11.5703125" style="1478" customWidth="1"/>
    <col min="9483" max="9483" width="38.42578125" style="1478" customWidth="1"/>
    <col min="9484" max="9484" width="22.7109375" style="1478" customWidth="1"/>
    <col min="9485" max="9485" width="38" style="1478" customWidth="1"/>
    <col min="9486" max="9486" width="30.28515625" style="1478" customWidth="1"/>
    <col min="9487" max="9487" width="10.42578125" style="1478" customWidth="1"/>
    <col min="9488" max="9488" width="28.42578125" style="1478" customWidth="1"/>
    <col min="9489" max="9489" width="19.140625" style="1478" customWidth="1"/>
    <col min="9490" max="9490" width="28.140625" style="1478" customWidth="1"/>
    <col min="9491" max="9491" width="26.42578125" style="1478" customWidth="1"/>
    <col min="9492" max="9492" width="26.7109375" style="1478" customWidth="1"/>
    <col min="9493" max="9493" width="44.28515625" style="1478" customWidth="1"/>
    <col min="9494" max="9494" width="25.42578125" style="1478" customWidth="1"/>
    <col min="9495" max="9495" width="30.5703125" style="1478" customWidth="1"/>
    <col min="9496" max="9496" width="16.85546875" style="1478" customWidth="1"/>
    <col min="9497" max="9512" width="14.140625" style="1478" customWidth="1"/>
    <col min="9513" max="9514" width="22.7109375" style="1478" customWidth="1"/>
    <col min="9515" max="9515" width="28.7109375" style="1478" customWidth="1"/>
    <col min="9516" max="9728" width="11.42578125" style="1478"/>
    <col min="9729" max="9736" width="4.85546875" style="1478" customWidth="1"/>
    <col min="9737" max="9737" width="9.5703125" style="1478" customWidth="1"/>
    <col min="9738" max="9738" width="11.5703125" style="1478" customWidth="1"/>
    <col min="9739" max="9739" width="38.42578125" style="1478" customWidth="1"/>
    <col min="9740" max="9740" width="22.7109375" style="1478" customWidth="1"/>
    <col min="9741" max="9741" width="38" style="1478" customWidth="1"/>
    <col min="9742" max="9742" width="30.28515625" style="1478" customWidth="1"/>
    <col min="9743" max="9743" width="10.42578125" style="1478" customWidth="1"/>
    <col min="9744" max="9744" width="28.42578125" style="1478" customWidth="1"/>
    <col min="9745" max="9745" width="19.140625" style="1478" customWidth="1"/>
    <col min="9746" max="9746" width="28.140625" style="1478" customWidth="1"/>
    <col min="9747" max="9747" width="26.42578125" style="1478" customWidth="1"/>
    <col min="9748" max="9748" width="26.7109375" style="1478" customWidth="1"/>
    <col min="9749" max="9749" width="44.28515625" style="1478" customWidth="1"/>
    <col min="9750" max="9750" width="25.42578125" style="1478" customWidth="1"/>
    <col min="9751" max="9751" width="30.5703125" style="1478" customWidth="1"/>
    <col min="9752" max="9752" width="16.85546875" style="1478" customWidth="1"/>
    <col min="9753" max="9768" width="14.140625" style="1478" customWidth="1"/>
    <col min="9769" max="9770" width="22.7109375" style="1478" customWidth="1"/>
    <col min="9771" max="9771" width="28.7109375" style="1478" customWidth="1"/>
    <col min="9772" max="9984" width="11.42578125" style="1478"/>
    <col min="9985" max="9992" width="4.85546875" style="1478" customWidth="1"/>
    <col min="9993" max="9993" width="9.5703125" style="1478" customWidth="1"/>
    <col min="9994" max="9994" width="11.5703125" style="1478" customWidth="1"/>
    <col min="9995" max="9995" width="38.42578125" style="1478" customWidth="1"/>
    <col min="9996" max="9996" width="22.7109375" style="1478" customWidth="1"/>
    <col min="9997" max="9997" width="38" style="1478" customWidth="1"/>
    <col min="9998" max="9998" width="30.28515625" style="1478" customWidth="1"/>
    <col min="9999" max="9999" width="10.42578125" style="1478" customWidth="1"/>
    <col min="10000" max="10000" width="28.42578125" style="1478" customWidth="1"/>
    <col min="10001" max="10001" width="19.140625" style="1478" customWidth="1"/>
    <col min="10002" max="10002" width="28.140625" style="1478" customWidth="1"/>
    <col min="10003" max="10003" width="26.42578125" style="1478" customWidth="1"/>
    <col min="10004" max="10004" width="26.7109375" style="1478" customWidth="1"/>
    <col min="10005" max="10005" width="44.28515625" style="1478" customWidth="1"/>
    <col min="10006" max="10006" width="25.42578125" style="1478" customWidth="1"/>
    <col min="10007" max="10007" width="30.5703125" style="1478" customWidth="1"/>
    <col min="10008" max="10008" width="16.85546875" style="1478" customWidth="1"/>
    <col min="10009" max="10024" width="14.140625" style="1478" customWidth="1"/>
    <col min="10025" max="10026" width="22.7109375" style="1478" customWidth="1"/>
    <col min="10027" max="10027" width="28.7109375" style="1478" customWidth="1"/>
    <col min="10028" max="10240" width="11.42578125" style="1478"/>
    <col min="10241" max="10248" width="4.85546875" style="1478" customWidth="1"/>
    <col min="10249" max="10249" width="9.5703125" style="1478" customWidth="1"/>
    <col min="10250" max="10250" width="11.5703125" style="1478" customWidth="1"/>
    <col min="10251" max="10251" width="38.42578125" style="1478" customWidth="1"/>
    <col min="10252" max="10252" width="22.7109375" style="1478" customWidth="1"/>
    <col min="10253" max="10253" width="38" style="1478" customWidth="1"/>
    <col min="10254" max="10254" width="30.28515625" style="1478" customWidth="1"/>
    <col min="10255" max="10255" width="10.42578125" style="1478" customWidth="1"/>
    <col min="10256" max="10256" width="28.42578125" style="1478" customWidth="1"/>
    <col min="10257" max="10257" width="19.140625" style="1478" customWidth="1"/>
    <col min="10258" max="10258" width="28.140625" style="1478" customWidth="1"/>
    <col min="10259" max="10259" width="26.42578125" style="1478" customWidth="1"/>
    <col min="10260" max="10260" width="26.7109375" style="1478" customWidth="1"/>
    <col min="10261" max="10261" width="44.28515625" style="1478" customWidth="1"/>
    <col min="10262" max="10262" width="25.42578125" style="1478" customWidth="1"/>
    <col min="10263" max="10263" width="30.5703125" style="1478" customWidth="1"/>
    <col min="10264" max="10264" width="16.85546875" style="1478" customWidth="1"/>
    <col min="10265" max="10280" width="14.140625" style="1478" customWidth="1"/>
    <col min="10281" max="10282" width="22.7109375" style="1478" customWidth="1"/>
    <col min="10283" max="10283" width="28.7109375" style="1478" customWidth="1"/>
    <col min="10284" max="10496" width="11.42578125" style="1478"/>
    <col min="10497" max="10504" width="4.85546875" style="1478" customWidth="1"/>
    <col min="10505" max="10505" width="9.5703125" style="1478" customWidth="1"/>
    <col min="10506" max="10506" width="11.5703125" style="1478" customWidth="1"/>
    <col min="10507" max="10507" width="38.42578125" style="1478" customWidth="1"/>
    <col min="10508" max="10508" width="22.7109375" style="1478" customWidth="1"/>
    <col min="10509" max="10509" width="38" style="1478" customWidth="1"/>
    <col min="10510" max="10510" width="30.28515625" style="1478" customWidth="1"/>
    <col min="10511" max="10511" width="10.42578125" style="1478" customWidth="1"/>
    <col min="10512" max="10512" width="28.42578125" style="1478" customWidth="1"/>
    <col min="10513" max="10513" width="19.140625" style="1478" customWidth="1"/>
    <col min="10514" max="10514" width="28.140625" style="1478" customWidth="1"/>
    <col min="10515" max="10515" width="26.42578125" style="1478" customWidth="1"/>
    <col min="10516" max="10516" width="26.7109375" style="1478" customWidth="1"/>
    <col min="10517" max="10517" width="44.28515625" style="1478" customWidth="1"/>
    <col min="10518" max="10518" width="25.42578125" style="1478" customWidth="1"/>
    <col min="10519" max="10519" width="30.5703125" style="1478" customWidth="1"/>
    <col min="10520" max="10520" width="16.85546875" style="1478" customWidth="1"/>
    <col min="10521" max="10536" width="14.140625" style="1478" customWidth="1"/>
    <col min="10537" max="10538" width="22.7109375" style="1478" customWidth="1"/>
    <col min="10539" max="10539" width="28.7109375" style="1478" customWidth="1"/>
    <col min="10540" max="10752" width="11.42578125" style="1478"/>
    <col min="10753" max="10760" width="4.85546875" style="1478" customWidth="1"/>
    <col min="10761" max="10761" width="9.5703125" style="1478" customWidth="1"/>
    <col min="10762" max="10762" width="11.5703125" style="1478" customWidth="1"/>
    <col min="10763" max="10763" width="38.42578125" style="1478" customWidth="1"/>
    <col min="10764" max="10764" width="22.7109375" style="1478" customWidth="1"/>
    <col min="10765" max="10765" width="38" style="1478" customWidth="1"/>
    <col min="10766" max="10766" width="30.28515625" style="1478" customWidth="1"/>
    <col min="10767" max="10767" width="10.42578125" style="1478" customWidth="1"/>
    <col min="10768" max="10768" width="28.42578125" style="1478" customWidth="1"/>
    <col min="10769" max="10769" width="19.140625" style="1478" customWidth="1"/>
    <col min="10770" max="10770" width="28.140625" style="1478" customWidth="1"/>
    <col min="10771" max="10771" width="26.42578125" style="1478" customWidth="1"/>
    <col min="10772" max="10772" width="26.7109375" style="1478" customWidth="1"/>
    <col min="10773" max="10773" width="44.28515625" style="1478" customWidth="1"/>
    <col min="10774" max="10774" width="25.42578125" style="1478" customWidth="1"/>
    <col min="10775" max="10775" width="30.5703125" style="1478" customWidth="1"/>
    <col min="10776" max="10776" width="16.85546875" style="1478" customWidth="1"/>
    <col min="10777" max="10792" width="14.140625" style="1478" customWidth="1"/>
    <col min="10793" max="10794" width="22.7109375" style="1478" customWidth="1"/>
    <col min="10795" max="10795" width="28.7109375" style="1478" customWidth="1"/>
    <col min="10796" max="11008" width="11.42578125" style="1478"/>
    <col min="11009" max="11016" width="4.85546875" style="1478" customWidth="1"/>
    <col min="11017" max="11017" width="9.5703125" style="1478" customWidth="1"/>
    <col min="11018" max="11018" width="11.5703125" style="1478" customWidth="1"/>
    <col min="11019" max="11019" width="38.42578125" style="1478" customWidth="1"/>
    <col min="11020" max="11020" width="22.7109375" style="1478" customWidth="1"/>
    <col min="11021" max="11021" width="38" style="1478" customWidth="1"/>
    <col min="11022" max="11022" width="30.28515625" style="1478" customWidth="1"/>
    <col min="11023" max="11023" width="10.42578125" style="1478" customWidth="1"/>
    <col min="11024" max="11024" width="28.42578125" style="1478" customWidth="1"/>
    <col min="11025" max="11025" width="19.140625" style="1478" customWidth="1"/>
    <col min="11026" max="11026" width="28.140625" style="1478" customWidth="1"/>
    <col min="11027" max="11027" width="26.42578125" style="1478" customWidth="1"/>
    <col min="11028" max="11028" width="26.7109375" style="1478" customWidth="1"/>
    <col min="11029" max="11029" width="44.28515625" style="1478" customWidth="1"/>
    <col min="11030" max="11030" width="25.42578125" style="1478" customWidth="1"/>
    <col min="11031" max="11031" width="30.5703125" style="1478" customWidth="1"/>
    <col min="11032" max="11032" width="16.85546875" style="1478" customWidth="1"/>
    <col min="11033" max="11048" width="14.140625" style="1478" customWidth="1"/>
    <col min="11049" max="11050" width="22.7109375" style="1478" customWidth="1"/>
    <col min="11051" max="11051" width="28.7109375" style="1478" customWidth="1"/>
    <col min="11052" max="11264" width="11.42578125" style="1478"/>
    <col min="11265" max="11272" width="4.85546875" style="1478" customWidth="1"/>
    <col min="11273" max="11273" width="9.5703125" style="1478" customWidth="1"/>
    <col min="11274" max="11274" width="11.5703125" style="1478" customWidth="1"/>
    <col min="11275" max="11275" width="38.42578125" style="1478" customWidth="1"/>
    <col min="11276" max="11276" width="22.7109375" style="1478" customWidth="1"/>
    <col min="11277" max="11277" width="38" style="1478" customWidth="1"/>
    <col min="11278" max="11278" width="30.28515625" style="1478" customWidth="1"/>
    <col min="11279" max="11279" width="10.42578125" style="1478" customWidth="1"/>
    <col min="11280" max="11280" width="28.42578125" style="1478" customWidth="1"/>
    <col min="11281" max="11281" width="19.140625" style="1478" customWidth="1"/>
    <col min="11282" max="11282" width="28.140625" style="1478" customWidth="1"/>
    <col min="11283" max="11283" width="26.42578125" style="1478" customWidth="1"/>
    <col min="11284" max="11284" width="26.7109375" style="1478" customWidth="1"/>
    <col min="11285" max="11285" width="44.28515625" style="1478" customWidth="1"/>
    <col min="11286" max="11286" width="25.42578125" style="1478" customWidth="1"/>
    <col min="11287" max="11287" width="30.5703125" style="1478" customWidth="1"/>
    <col min="11288" max="11288" width="16.85546875" style="1478" customWidth="1"/>
    <col min="11289" max="11304" width="14.140625" style="1478" customWidth="1"/>
    <col min="11305" max="11306" width="22.7109375" style="1478" customWidth="1"/>
    <col min="11307" max="11307" width="28.7109375" style="1478" customWidth="1"/>
    <col min="11308" max="11520" width="11.42578125" style="1478"/>
    <col min="11521" max="11528" width="4.85546875" style="1478" customWidth="1"/>
    <col min="11529" max="11529" width="9.5703125" style="1478" customWidth="1"/>
    <col min="11530" max="11530" width="11.5703125" style="1478" customWidth="1"/>
    <col min="11531" max="11531" width="38.42578125" style="1478" customWidth="1"/>
    <col min="11532" max="11532" width="22.7109375" style="1478" customWidth="1"/>
    <col min="11533" max="11533" width="38" style="1478" customWidth="1"/>
    <col min="11534" max="11534" width="30.28515625" style="1478" customWidth="1"/>
    <col min="11535" max="11535" width="10.42578125" style="1478" customWidth="1"/>
    <col min="11536" max="11536" width="28.42578125" style="1478" customWidth="1"/>
    <col min="11537" max="11537" width="19.140625" style="1478" customWidth="1"/>
    <col min="11538" max="11538" width="28.140625" style="1478" customWidth="1"/>
    <col min="11539" max="11539" width="26.42578125" style="1478" customWidth="1"/>
    <col min="11540" max="11540" width="26.7109375" style="1478" customWidth="1"/>
    <col min="11541" max="11541" width="44.28515625" style="1478" customWidth="1"/>
    <col min="11542" max="11542" width="25.42578125" style="1478" customWidth="1"/>
    <col min="11543" max="11543" width="30.5703125" style="1478" customWidth="1"/>
    <col min="11544" max="11544" width="16.85546875" style="1478" customWidth="1"/>
    <col min="11545" max="11560" width="14.140625" style="1478" customWidth="1"/>
    <col min="11561" max="11562" width="22.7109375" style="1478" customWidth="1"/>
    <col min="11563" max="11563" width="28.7109375" style="1478" customWidth="1"/>
    <col min="11564" max="11776" width="11.42578125" style="1478"/>
    <col min="11777" max="11784" width="4.85546875" style="1478" customWidth="1"/>
    <col min="11785" max="11785" width="9.5703125" style="1478" customWidth="1"/>
    <col min="11786" max="11786" width="11.5703125" style="1478" customWidth="1"/>
    <col min="11787" max="11787" width="38.42578125" style="1478" customWidth="1"/>
    <col min="11788" max="11788" width="22.7109375" style="1478" customWidth="1"/>
    <col min="11789" max="11789" width="38" style="1478" customWidth="1"/>
    <col min="11790" max="11790" width="30.28515625" style="1478" customWidth="1"/>
    <col min="11791" max="11791" width="10.42578125" style="1478" customWidth="1"/>
    <col min="11792" max="11792" width="28.42578125" style="1478" customWidth="1"/>
    <col min="11793" max="11793" width="19.140625" style="1478" customWidth="1"/>
    <col min="11794" max="11794" width="28.140625" style="1478" customWidth="1"/>
    <col min="11795" max="11795" width="26.42578125" style="1478" customWidth="1"/>
    <col min="11796" max="11796" width="26.7109375" style="1478" customWidth="1"/>
    <col min="11797" max="11797" width="44.28515625" style="1478" customWidth="1"/>
    <col min="11798" max="11798" width="25.42578125" style="1478" customWidth="1"/>
    <col min="11799" max="11799" width="30.5703125" style="1478" customWidth="1"/>
    <col min="11800" max="11800" width="16.85546875" style="1478" customWidth="1"/>
    <col min="11801" max="11816" width="14.140625" style="1478" customWidth="1"/>
    <col min="11817" max="11818" width="22.7109375" style="1478" customWidth="1"/>
    <col min="11819" max="11819" width="28.7109375" style="1478" customWidth="1"/>
    <col min="11820" max="12032" width="11.42578125" style="1478"/>
    <col min="12033" max="12040" width="4.85546875" style="1478" customWidth="1"/>
    <col min="12041" max="12041" width="9.5703125" style="1478" customWidth="1"/>
    <col min="12042" max="12042" width="11.5703125" style="1478" customWidth="1"/>
    <col min="12043" max="12043" width="38.42578125" style="1478" customWidth="1"/>
    <col min="12044" max="12044" width="22.7109375" style="1478" customWidth="1"/>
    <col min="12045" max="12045" width="38" style="1478" customWidth="1"/>
    <col min="12046" max="12046" width="30.28515625" style="1478" customWidth="1"/>
    <col min="12047" max="12047" width="10.42578125" style="1478" customWidth="1"/>
    <col min="12048" max="12048" width="28.42578125" style="1478" customWidth="1"/>
    <col min="12049" max="12049" width="19.140625" style="1478" customWidth="1"/>
    <col min="12050" max="12050" width="28.140625" style="1478" customWidth="1"/>
    <col min="12051" max="12051" width="26.42578125" style="1478" customWidth="1"/>
    <col min="12052" max="12052" width="26.7109375" style="1478" customWidth="1"/>
    <col min="12053" max="12053" width="44.28515625" style="1478" customWidth="1"/>
    <col min="12054" max="12054" width="25.42578125" style="1478" customWidth="1"/>
    <col min="12055" max="12055" width="30.5703125" style="1478" customWidth="1"/>
    <col min="12056" max="12056" width="16.85546875" style="1478" customWidth="1"/>
    <col min="12057" max="12072" width="14.140625" style="1478" customWidth="1"/>
    <col min="12073" max="12074" width="22.7109375" style="1478" customWidth="1"/>
    <col min="12075" max="12075" width="28.7109375" style="1478" customWidth="1"/>
    <col min="12076" max="12288" width="11.42578125" style="1478"/>
    <col min="12289" max="12296" width="4.85546875" style="1478" customWidth="1"/>
    <col min="12297" max="12297" width="9.5703125" style="1478" customWidth="1"/>
    <col min="12298" max="12298" width="11.5703125" style="1478" customWidth="1"/>
    <col min="12299" max="12299" width="38.42578125" style="1478" customWidth="1"/>
    <col min="12300" max="12300" width="22.7109375" style="1478" customWidth="1"/>
    <col min="12301" max="12301" width="38" style="1478" customWidth="1"/>
    <col min="12302" max="12302" width="30.28515625" style="1478" customWidth="1"/>
    <col min="12303" max="12303" width="10.42578125" style="1478" customWidth="1"/>
    <col min="12304" max="12304" width="28.42578125" style="1478" customWidth="1"/>
    <col min="12305" max="12305" width="19.140625" style="1478" customWidth="1"/>
    <col min="12306" max="12306" width="28.140625" style="1478" customWidth="1"/>
    <col min="12307" max="12307" width="26.42578125" style="1478" customWidth="1"/>
    <col min="12308" max="12308" width="26.7109375" style="1478" customWidth="1"/>
    <col min="12309" max="12309" width="44.28515625" style="1478" customWidth="1"/>
    <col min="12310" max="12310" width="25.42578125" style="1478" customWidth="1"/>
    <col min="12311" max="12311" width="30.5703125" style="1478" customWidth="1"/>
    <col min="12312" max="12312" width="16.85546875" style="1478" customWidth="1"/>
    <col min="12313" max="12328" width="14.140625" style="1478" customWidth="1"/>
    <col min="12329" max="12330" width="22.7109375" style="1478" customWidth="1"/>
    <col min="12331" max="12331" width="28.7109375" style="1478" customWidth="1"/>
    <col min="12332" max="12544" width="11.42578125" style="1478"/>
    <col min="12545" max="12552" width="4.85546875" style="1478" customWidth="1"/>
    <col min="12553" max="12553" width="9.5703125" style="1478" customWidth="1"/>
    <col min="12554" max="12554" width="11.5703125" style="1478" customWidth="1"/>
    <col min="12555" max="12555" width="38.42578125" style="1478" customWidth="1"/>
    <col min="12556" max="12556" width="22.7109375" style="1478" customWidth="1"/>
    <col min="12557" max="12557" width="38" style="1478" customWidth="1"/>
    <col min="12558" max="12558" width="30.28515625" style="1478" customWidth="1"/>
    <col min="12559" max="12559" width="10.42578125" style="1478" customWidth="1"/>
    <col min="12560" max="12560" width="28.42578125" style="1478" customWidth="1"/>
    <col min="12561" max="12561" width="19.140625" style="1478" customWidth="1"/>
    <col min="12562" max="12562" width="28.140625" style="1478" customWidth="1"/>
    <col min="12563" max="12563" width="26.42578125" style="1478" customWidth="1"/>
    <col min="12564" max="12564" width="26.7109375" style="1478" customWidth="1"/>
    <col min="12565" max="12565" width="44.28515625" style="1478" customWidth="1"/>
    <col min="12566" max="12566" width="25.42578125" style="1478" customWidth="1"/>
    <col min="12567" max="12567" width="30.5703125" style="1478" customWidth="1"/>
    <col min="12568" max="12568" width="16.85546875" style="1478" customWidth="1"/>
    <col min="12569" max="12584" width="14.140625" style="1478" customWidth="1"/>
    <col min="12585" max="12586" width="22.7109375" style="1478" customWidth="1"/>
    <col min="12587" max="12587" width="28.7109375" style="1478" customWidth="1"/>
    <col min="12588" max="12800" width="11.42578125" style="1478"/>
    <col min="12801" max="12808" width="4.85546875" style="1478" customWidth="1"/>
    <col min="12809" max="12809" width="9.5703125" style="1478" customWidth="1"/>
    <col min="12810" max="12810" width="11.5703125" style="1478" customWidth="1"/>
    <col min="12811" max="12811" width="38.42578125" style="1478" customWidth="1"/>
    <col min="12812" max="12812" width="22.7109375" style="1478" customWidth="1"/>
    <col min="12813" max="12813" width="38" style="1478" customWidth="1"/>
    <col min="12814" max="12814" width="30.28515625" style="1478" customWidth="1"/>
    <col min="12815" max="12815" width="10.42578125" style="1478" customWidth="1"/>
    <col min="12816" max="12816" width="28.42578125" style="1478" customWidth="1"/>
    <col min="12817" max="12817" width="19.140625" style="1478" customWidth="1"/>
    <col min="12818" max="12818" width="28.140625" style="1478" customWidth="1"/>
    <col min="12819" max="12819" width="26.42578125" style="1478" customWidth="1"/>
    <col min="12820" max="12820" width="26.7109375" style="1478" customWidth="1"/>
    <col min="12821" max="12821" width="44.28515625" style="1478" customWidth="1"/>
    <col min="12822" max="12822" width="25.42578125" style="1478" customWidth="1"/>
    <col min="12823" max="12823" width="30.5703125" style="1478" customWidth="1"/>
    <col min="12824" max="12824" width="16.85546875" style="1478" customWidth="1"/>
    <col min="12825" max="12840" width="14.140625" style="1478" customWidth="1"/>
    <col min="12841" max="12842" width="22.7109375" style="1478" customWidth="1"/>
    <col min="12843" max="12843" width="28.7109375" style="1478" customWidth="1"/>
    <col min="12844" max="13056" width="11.42578125" style="1478"/>
    <col min="13057" max="13064" width="4.85546875" style="1478" customWidth="1"/>
    <col min="13065" max="13065" width="9.5703125" style="1478" customWidth="1"/>
    <col min="13066" max="13066" width="11.5703125" style="1478" customWidth="1"/>
    <col min="13067" max="13067" width="38.42578125" style="1478" customWidth="1"/>
    <col min="13068" max="13068" width="22.7109375" style="1478" customWidth="1"/>
    <col min="13069" max="13069" width="38" style="1478" customWidth="1"/>
    <col min="13070" max="13070" width="30.28515625" style="1478" customWidth="1"/>
    <col min="13071" max="13071" width="10.42578125" style="1478" customWidth="1"/>
    <col min="13072" max="13072" width="28.42578125" style="1478" customWidth="1"/>
    <col min="13073" max="13073" width="19.140625" style="1478" customWidth="1"/>
    <col min="13074" max="13074" width="28.140625" style="1478" customWidth="1"/>
    <col min="13075" max="13075" width="26.42578125" style="1478" customWidth="1"/>
    <col min="13076" max="13076" width="26.7109375" style="1478" customWidth="1"/>
    <col min="13077" max="13077" width="44.28515625" style="1478" customWidth="1"/>
    <col min="13078" max="13078" width="25.42578125" style="1478" customWidth="1"/>
    <col min="13079" max="13079" width="30.5703125" style="1478" customWidth="1"/>
    <col min="13080" max="13080" width="16.85546875" style="1478" customWidth="1"/>
    <col min="13081" max="13096" width="14.140625" style="1478" customWidth="1"/>
    <col min="13097" max="13098" width="22.7109375" style="1478" customWidth="1"/>
    <col min="13099" max="13099" width="28.7109375" style="1478" customWidth="1"/>
    <col min="13100" max="13312" width="11.42578125" style="1478"/>
    <col min="13313" max="13320" width="4.85546875" style="1478" customWidth="1"/>
    <col min="13321" max="13321" width="9.5703125" style="1478" customWidth="1"/>
    <col min="13322" max="13322" width="11.5703125" style="1478" customWidth="1"/>
    <col min="13323" max="13323" width="38.42578125" style="1478" customWidth="1"/>
    <col min="13324" max="13324" width="22.7109375" style="1478" customWidth="1"/>
    <col min="13325" max="13325" width="38" style="1478" customWidth="1"/>
    <col min="13326" max="13326" width="30.28515625" style="1478" customWidth="1"/>
    <col min="13327" max="13327" width="10.42578125" style="1478" customWidth="1"/>
    <col min="13328" max="13328" width="28.42578125" style="1478" customWidth="1"/>
    <col min="13329" max="13329" width="19.140625" style="1478" customWidth="1"/>
    <col min="13330" max="13330" width="28.140625" style="1478" customWidth="1"/>
    <col min="13331" max="13331" width="26.42578125" style="1478" customWidth="1"/>
    <col min="13332" max="13332" width="26.7109375" style="1478" customWidth="1"/>
    <col min="13333" max="13333" width="44.28515625" style="1478" customWidth="1"/>
    <col min="13334" max="13334" width="25.42578125" style="1478" customWidth="1"/>
    <col min="13335" max="13335" width="30.5703125" style="1478" customWidth="1"/>
    <col min="13336" max="13336" width="16.85546875" style="1478" customWidth="1"/>
    <col min="13337" max="13352" width="14.140625" style="1478" customWidth="1"/>
    <col min="13353" max="13354" width="22.7109375" style="1478" customWidth="1"/>
    <col min="13355" max="13355" width="28.7109375" style="1478" customWidth="1"/>
    <col min="13356" max="13568" width="11.42578125" style="1478"/>
    <col min="13569" max="13576" width="4.85546875" style="1478" customWidth="1"/>
    <col min="13577" max="13577" width="9.5703125" style="1478" customWidth="1"/>
    <col min="13578" max="13578" width="11.5703125" style="1478" customWidth="1"/>
    <col min="13579" max="13579" width="38.42578125" style="1478" customWidth="1"/>
    <col min="13580" max="13580" width="22.7109375" style="1478" customWidth="1"/>
    <col min="13581" max="13581" width="38" style="1478" customWidth="1"/>
    <col min="13582" max="13582" width="30.28515625" style="1478" customWidth="1"/>
    <col min="13583" max="13583" width="10.42578125" style="1478" customWidth="1"/>
    <col min="13584" max="13584" width="28.42578125" style="1478" customWidth="1"/>
    <col min="13585" max="13585" width="19.140625" style="1478" customWidth="1"/>
    <col min="13586" max="13586" width="28.140625" style="1478" customWidth="1"/>
    <col min="13587" max="13587" width="26.42578125" style="1478" customWidth="1"/>
    <col min="13588" max="13588" width="26.7109375" style="1478" customWidth="1"/>
    <col min="13589" max="13589" width="44.28515625" style="1478" customWidth="1"/>
    <col min="13590" max="13590" width="25.42578125" style="1478" customWidth="1"/>
    <col min="13591" max="13591" width="30.5703125" style="1478" customWidth="1"/>
    <col min="13592" max="13592" width="16.85546875" style="1478" customWidth="1"/>
    <col min="13593" max="13608" width="14.140625" style="1478" customWidth="1"/>
    <col min="13609" max="13610" width="22.7109375" style="1478" customWidth="1"/>
    <col min="13611" max="13611" width="28.7109375" style="1478" customWidth="1"/>
    <col min="13612" max="13824" width="11.42578125" style="1478"/>
    <col min="13825" max="13832" width="4.85546875" style="1478" customWidth="1"/>
    <col min="13833" max="13833" width="9.5703125" style="1478" customWidth="1"/>
    <col min="13834" max="13834" width="11.5703125" style="1478" customWidth="1"/>
    <col min="13835" max="13835" width="38.42578125" style="1478" customWidth="1"/>
    <col min="13836" max="13836" width="22.7109375" style="1478" customWidth="1"/>
    <col min="13837" max="13837" width="38" style="1478" customWidth="1"/>
    <col min="13838" max="13838" width="30.28515625" style="1478" customWidth="1"/>
    <col min="13839" max="13839" width="10.42578125" style="1478" customWidth="1"/>
    <col min="13840" max="13840" width="28.42578125" style="1478" customWidth="1"/>
    <col min="13841" max="13841" width="19.140625" style="1478" customWidth="1"/>
    <col min="13842" max="13842" width="28.140625" style="1478" customWidth="1"/>
    <col min="13843" max="13843" width="26.42578125" style="1478" customWidth="1"/>
    <col min="13844" max="13844" width="26.7109375" style="1478" customWidth="1"/>
    <col min="13845" max="13845" width="44.28515625" style="1478" customWidth="1"/>
    <col min="13846" max="13846" width="25.42578125" style="1478" customWidth="1"/>
    <col min="13847" max="13847" width="30.5703125" style="1478" customWidth="1"/>
    <col min="13848" max="13848" width="16.85546875" style="1478" customWidth="1"/>
    <col min="13849" max="13864" width="14.140625" style="1478" customWidth="1"/>
    <col min="13865" max="13866" width="22.7109375" style="1478" customWidth="1"/>
    <col min="13867" max="13867" width="28.7109375" style="1478" customWidth="1"/>
    <col min="13868" max="14080" width="11.42578125" style="1478"/>
    <col min="14081" max="14088" width="4.85546875" style="1478" customWidth="1"/>
    <col min="14089" max="14089" width="9.5703125" style="1478" customWidth="1"/>
    <col min="14090" max="14090" width="11.5703125" style="1478" customWidth="1"/>
    <col min="14091" max="14091" width="38.42578125" style="1478" customWidth="1"/>
    <col min="14092" max="14092" width="22.7109375" style="1478" customWidth="1"/>
    <col min="14093" max="14093" width="38" style="1478" customWidth="1"/>
    <col min="14094" max="14094" width="30.28515625" style="1478" customWidth="1"/>
    <col min="14095" max="14095" width="10.42578125" style="1478" customWidth="1"/>
    <col min="14096" max="14096" width="28.42578125" style="1478" customWidth="1"/>
    <col min="14097" max="14097" width="19.140625" style="1478" customWidth="1"/>
    <col min="14098" max="14098" width="28.140625" style="1478" customWidth="1"/>
    <col min="14099" max="14099" width="26.42578125" style="1478" customWidth="1"/>
    <col min="14100" max="14100" width="26.7109375" style="1478" customWidth="1"/>
    <col min="14101" max="14101" width="44.28515625" style="1478" customWidth="1"/>
    <col min="14102" max="14102" width="25.42578125" style="1478" customWidth="1"/>
    <col min="14103" max="14103" width="30.5703125" style="1478" customWidth="1"/>
    <col min="14104" max="14104" width="16.85546875" style="1478" customWidth="1"/>
    <col min="14105" max="14120" width="14.140625" style="1478" customWidth="1"/>
    <col min="14121" max="14122" width="22.7109375" style="1478" customWidth="1"/>
    <col min="14123" max="14123" width="28.7109375" style="1478" customWidth="1"/>
    <col min="14124" max="14336" width="11.42578125" style="1478"/>
    <col min="14337" max="14344" width="4.85546875" style="1478" customWidth="1"/>
    <col min="14345" max="14345" width="9.5703125" style="1478" customWidth="1"/>
    <col min="14346" max="14346" width="11.5703125" style="1478" customWidth="1"/>
    <col min="14347" max="14347" width="38.42578125" style="1478" customWidth="1"/>
    <col min="14348" max="14348" width="22.7109375" style="1478" customWidth="1"/>
    <col min="14349" max="14349" width="38" style="1478" customWidth="1"/>
    <col min="14350" max="14350" width="30.28515625" style="1478" customWidth="1"/>
    <col min="14351" max="14351" width="10.42578125" style="1478" customWidth="1"/>
    <col min="14352" max="14352" width="28.42578125" style="1478" customWidth="1"/>
    <col min="14353" max="14353" width="19.140625" style="1478" customWidth="1"/>
    <col min="14354" max="14354" width="28.140625" style="1478" customWidth="1"/>
    <col min="14355" max="14355" width="26.42578125" style="1478" customWidth="1"/>
    <col min="14356" max="14356" width="26.7109375" style="1478" customWidth="1"/>
    <col min="14357" max="14357" width="44.28515625" style="1478" customWidth="1"/>
    <col min="14358" max="14358" width="25.42578125" style="1478" customWidth="1"/>
    <col min="14359" max="14359" width="30.5703125" style="1478" customWidth="1"/>
    <col min="14360" max="14360" width="16.85546875" style="1478" customWidth="1"/>
    <col min="14361" max="14376" width="14.140625" style="1478" customWidth="1"/>
    <col min="14377" max="14378" width="22.7109375" style="1478" customWidth="1"/>
    <col min="14379" max="14379" width="28.7109375" style="1478" customWidth="1"/>
    <col min="14380" max="14592" width="11.42578125" style="1478"/>
    <col min="14593" max="14600" width="4.85546875" style="1478" customWidth="1"/>
    <col min="14601" max="14601" width="9.5703125" style="1478" customWidth="1"/>
    <col min="14602" max="14602" width="11.5703125" style="1478" customWidth="1"/>
    <col min="14603" max="14603" width="38.42578125" style="1478" customWidth="1"/>
    <col min="14604" max="14604" width="22.7109375" style="1478" customWidth="1"/>
    <col min="14605" max="14605" width="38" style="1478" customWidth="1"/>
    <col min="14606" max="14606" width="30.28515625" style="1478" customWidth="1"/>
    <col min="14607" max="14607" width="10.42578125" style="1478" customWidth="1"/>
    <col min="14608" max="14608" width="28.42578125" style="1478" customWidth="1"/>
    <col min="14609" max="14609" width="19.140625" style="1478" customWidth="1"/>
    <col min="14610" max="14610" width="28.140625" style="1478" customWidth="1"/>
    <col min="14611" max="14611" width="26.42578125" style="1478" customWidth="1"/>
    <col min="14612" max="14612" width="26.7109375" style="1478" customWidth="1"/>
    <col min="14613" max="14613" width="44.28515625" style="1478" customWidth="1"/>
    <col min="14614" max="14614" width="25.42578125" style="1478" customWidth="1"/>
    <col min="14615" max="14615" width="30.5703125" style="1478" customWidth="1"/>
    <col min="14616" max="14616" width="16.85546875" style="1478" customWidth="1"/>
    <col min="14617" max="14632" width="14.140625" style="1478" customWidth="1"/>
    <col min="14633" max="14634" width="22.7109375" style="1478" customWidth="1"/>
    <col min="14635" max="14635" width="28.7109375" style="1478" customWidth="1"/>
    <col min="14636" max="14848" width="11.42578125" style="1478"/>
    <col min="14849" max="14856" width="4.85546875" style="1478" customWidth="1"/>
    <col min="14857" max="14857" width="9.5703125" style="1478" customWidth="1"/>
    <col min="14858" max="14858" width="11.5703125" style="1478" customWidth="1"/>
    <col min="14859" max="14859" width="38.42578125" style="1478" customWidth="1"/>
    <col min="14860" max="14860" width="22.7109375" style="1478" customWidth="1"/>
    <col min="14861" max="14861" width="38" style="1478" customWidth="1"/>
    <col min="14862" max="14862" width="30.28515625" style="1478" customWidth="1"/>
    <col min="14863" max="14863" width="10.42578125" style="1478" customWidth="1"/>
    <col min="14864" max="14864" width="28.42578125" style="1478" customWidth="1"/>
    <col min="14865" max="14865" width="19.140625" style="1478" customWidth="1"/>
    <col min="14866" max="14866" width="28.140625" style="1478" customWidth="1"/>
    <col min="14867" max="14867" width="26.42578125" style="1478" customWidth="1"/>
    <col min="14868" max="14868" width="26.7109375" style="1478" customWidth="1"/>
    <col min="14869" max="14869" width="44.28515625" style="1478" customWidth="1"/>
    <col min="14870" max="14870" width="25.42578125" style="1478" customWidth="1"/>
    <col min="14871" max="14871" width="30.5703125" style="1478" customWidth="1"/>
    <col min="14872" max="14872" width="16.85546875" style="1478" customWidth="1"/>
    <col min="14873" max="14888" width="14.140625" style="1478" customWidth="1"/>
    <col min="14889" max="14890" width="22.7109375" style="1478" customWidth="1"/>
    <col min="14891" max="14891" width="28.7109375" style="1478" customWidth="1"/>
    <col min="14892" max="15104" width="11.42578125" style="1478"/>
    <col min="15105" max="15112" width="4.85546875" style="1478" customWidth="1"/>
    <col min="15113" max="15113" width="9.5703125" style="1478" customWidth="1"/>
    <col min="15114" max="15114" width="11.5703125" style="1478" customWidth="1"/>
    <col min="15115" max="15115" width="38.42578125" style="1478" customWidth="1"/>
    <col min="15116" max="15116" width="22.7109375" style="1478" customWidth="1"/>
    <col min="15117" max="15117" width="38" style="1478" customWidth="1"/>
    <col min="15118" max="15118" width="30.28515625" style="1478" customWidth="1"/>
    <col min="15119" max="15119" width="10.42578125" style="1478" customWidth="1"/>
    <col min="15120" max="15120" width="28.42578125" style="1478" customWidth="1"/>
    <col min="15121" max="15121" width="19.140625" style="1478" customWidth="1"/>
    <col min="15122" max="15122" width="28.140625" style="1478" customWidth="1"/>
    <col min="15123" max="15123" width="26.42578125" style="1478" customWidth="1"/>
    <col min="15124" max="15124" width="26.7109375" style="1478" customWidth="1"/>
    <col min="15125" max="15125" width="44.28515625" style="1478" customWidth="1"/>
    <col min="15126" max="15126" width="25.42578125" style="1478" customWidth="1"/>
    <col min="15127" max="15127" width="30.5703125" style="1478" customWidth="1"/>
    <col min="15128" max="15128" width="16.85546875" style="1478" customWidth="1"/>
    <col min="15129" max="15144" width="14.140625" style="1478" customWidth="1"/>
    <col min="15145" max="15146" width="22.7109375" style="1478" customWidth="1"/>
    <col min="15147" max="15147" width="28.7109375" style="1478" customWidth="1"/>
    <col min="15148" max="15360" width="11.42578125" style="1478"/>
    <col min="15361" max="15368" width="4.85546875" style="1478" customWidth="1"/>
    <col min="15369" max="15369" width="9.5703125" style="1478" customWidth="1"/>
    <col min="15370" max="15370" width="11.5703125" style="1478" customWidth="1"/>
    <col min="15371" max="15371" width="38.42578125" style="1478" customWidth="1"/>
    <col min="15372" max="15372" width="22.7109375" style="1478" customWidth="1"/>
    <col min="15373" max="15373" width="38" style="1478" customWidth="1"/>
    <col min="15374" max="15374" width="30.28515625" style="1478" customWidth="1"/>
    <col min="15375" max="15375" width="10.42578125" style="1478" customWidth="1"/>
    <col min="15376" max="15376" width="28.42578125" style="1478" customWidth="1"/>
    <col min="15377" max="15377" width="19.140625" style="1478" customWidth="1"/>
    <col min="15378" max="15378" width="28.140625" style="1478" customWidth="1"/>
    <col min="15379" max="15379" width="26.42578125" style="1478" customWidth="1"/>
    <col min="15380" max="15380" width="26.7109375" style="1478" customWidth="1"/>
    <col min="15381" max="15381" width="44.28515625" style="1478" customWidth="1"/>
    <col min="15382" max="15382" width="25.42578125" style="1478" customWidth="1"/>
    <col min="15383" max="15383" width="30.5703125" style="1478" customWidth="1"/>
    <col min="15384" max="15384" width="16.85546875" style="1478" customWidth="1"/>
    <col min="15385" max="15400" width="14.140625" style="1478" customWidth="1"/>
    <col min="15401" max="15402" width="22.7109375" style="1478" customWidth="1"/>
    <col min="15403" max="15403" width="28.7109375" style="1478" customWidth="1"/>
    <col min="15404" max="15616" width="11.42578125" style="1478"/>
    <col min="15617" max="15624" width="4.85546875" style="1478" customWidth="1"/>
    <col min="15625" max="15625" width="9.5703125" style="1478" customWidth="1"/>
    <col min="15626" max="15626" width="11.5703125" style="1478" customWidth="1"/>
    <col min="15627" max="15627" width="38.42578125" style="1478" customWidth="1"/>
    <col min="15628" max="15628" width="22.7109375" style="1478" customWidth="1"/>
    <col min="15629" max="15629" width="38" style="1478" customWidth="1"/>
    <col min="15630" max="15630" width="30.28515625" style="1478" customWidth="1"/>
    <col min="15631" max="15631" width="10.42578125" style="1478" customWidth="1"/>
    <col min="15632" max="15632" width="28.42578125" style="1478" customWidth="1"/>
    <col min="15633" max="15633" width="19.140625" style="1478" customWidth="1"/>
    <col min="15634" max="15634" width="28.140625" style="1478" customWidth="1"/>
    <col min="15635" max="15635" width="26.42578125" style="1478" customWidth="1"/>
    <col min="15636" max="15636" width="26.7109375" style="1478" customWidth="1"/>
    <col min="15637" max="15637" width="44.28515625" style="1478" customWidth="1"/>
    <col min="15638" max="15638" width="25.42578125" style="1478" customWidth="1"/>
    <col min="15639" max="15639" width="30.5703125" style="1478" customWidth="1"/>
    <col min="15640" max="15640" width="16.85546875" style="1478" customWidth="1"/>
    <col min="15641" max="15656" width="14.140625" style="1478" customWidth="1"/>
    <col min="15657" max="15658" width="22.7109375" style="1478" customWidth="1"/>
    <col min="15659" max="15659" width="28.7109375" style="1478" customWidth="1"/>
    <col min="15660" max="15872" width="11.42578125" style="1478"/>
    <col min="15873" max="15880" width="4.85546875" style="1478" customWidth="1"/>
    <col min="15881" max="15881" width="9.5703125" style="1478" customWidth="1"/>
    <col min="15882" max="15882" width="11.5703125" style="1478" customWidth="1"/>
    <col min="15883" max="15883" width="38.42578125" style="1478" customWidth="1"/>
    <col min="15884" max="15884" width="22.7109375" style="1478" customWidth="1"/>
    <col min="15885" max="15885" width="38" style="1478" customWidth="1"/>
    <col min="15886" max="15886" width="30.28515625" style="1478" customWidth="1"/>
    <col min="15887" max="15887" width="10.42578125" style="1478" customWidth="1"/>
    <col min="15888" max="15888" width="28.42578125" style="1478" customWidth="1"/>
    <col min="15889" max="15889" width="19.140625" style="1478" customWidth="1"/>
    <col min="15890" max="15890" width="28.140625" style="1478" customWidth="1"/>
    <col min="15891" max="15891" width="26.42578125" style="1478" customWidth="1"/>
    <col min="15892" max="15892" width="26.7109375" style="1478" customWidth="1"/>
    <col min="15893" max="15893" width="44.28515625" style="1478" customWidth="1"/>
    <col min="15894" max="15894" width="25.42578125" style="1478" customWidth="1"/>
    <col min="15895" max="15895" width="30.5703125" style="1478" customWidth="1"/>
    <col min="15896" max="15896" width="16.85546875" style="1478" customWidth="1"/>
    <col min="15897" max="15912" width="14.140625" style="1478" customWidth="1"/>
    <col min="15913" max="15914" width="22.7109375" style="1478" customWidth="1"/>
    <col min="15915" max="15915" width="28.7109375" style="1478" customWidth="1"/>
    <col min="15916" max="16128" width="11.42578125" style="1478"/>
    <col min="16129" max="16136" width="4.85546875" style="1478" customWidth="1"/>
    <col min="16137" max="16137" width="9.5703125" style="1478" customWidth="1"/>
    <col min="16138" max="16138" width="11.5703125" style="1478" customWidth="1"/>
    <col min="16139" max="16139" width="38.42578125" style="1478" customWidth="1"/>
    <col min="16140" max="16140" width="22.7109375" style="1478" customWidth="1"/>
    <col min="16141" max="16141" width="38" style="1478" customWidth="1"/>
    <col min="16142" max="16142" width="30.28515625" style="1478" customWidth="1"/>
    <col min="16143" max="16143" width="10.42578125" style="1478" customWidth="1"/>
    <col min="16144" max="16144" width="28.42578125" style="1478" customWidth="1"/>
    <col min="16145" max="16145" width="19.140625" style="1478" customWidth="1"/>
    <col min="16146" max="16146" width="28.140625" style="1478" customWidth="1"/>
    <col min="16147" max="16147" width="26.42578125" style="1478" customWidth="1"/>
    <col min="16148" max="16148" width="26.7109375" style="1478" customWidth="1"/>
    <col min="16149" max="16149" width="44.28515625" style="1478" customWidth="1"/>
    <col min="16150" max="16150" width="25.42578125" style="1478" customWidth="1"/>
    <col min="16151" max="16151" width="30.5703125" style="1478" customWidth="1"/>
    <col min="16152" max="16152" width="16.85546875" style="1478" customWidth="1"/>
    <col min="16153" max="16168" width="14.140625" style="1478" customWidth="1"/>
    <col min="16169" max="16170" width="22.7109375" style="1478" customWidth="1"/>
    <col min="16171" max="16171" width="28.7109375" style="1478" customWidth="1"/>
    <col min="16172" max="16384" width="11.42578125" style="1478"/>
  </cols>
  <sheetData>
    <row r="1" spans="1:76" ht="15" customHeight="1" x14ac:dyDescent="0.2">
      <c r="A1" s="2516" t="s">
        <v>2503</v>
      </c>
      <c r="B1" s="2517"/>
      <c r="C1" s="2517"/>
      <c r="D1" s="2517"/>
      <c r="E1" s="2517"/>
      <c r="F1" s="2517"/>
      <c r="G1" s="2517"/>
      <c r="H1" s="2517"/>
      <c r="I1" s="2517"/>
      <c r="J1" s="2517"/>
      <c r="K1" s="2517"/>
      <c r="L1" s="2517"/>
      <c r="M1" s="2517"/>
      <c r="N1" s="2517"/>
      <c r="O1" s="2517"/>
      <c r="P1" s="2517"/>
      <c r="Q1" s="2517"/>
      <c r="R1" s="2517"/>
      <c r="S1" s="2517"/>
      <c r="T1" s="2517"/>
      <c r="U1" s="2517"/>
      <c r="V1" s="2517"/>
      <c r="W1" s="2517"/>
      <c r="X1" s="2517"/>
      <c r="Y1" s="2517"/>
      <c r="Z1" s="2517"/>
      <c r="AA1" s="2517"/>
      <c r="AB1" s="2517"/>
      <c r="AC1" s="2517"/>
      <c r="AD1" s="2517"/>
      <c r="AE1" s="2517"/>
      <c r="AF1" s="2517"/>
      <c r="AG1" s="2517"/>
      <c r="AH1" s="2517"/>
      <c r="AI1" s="2517"/>
      <c r="AJ1" s="2517"/>
      <c r="AK1" s="2517"/>
      <c r="AL1" s="2517"/>
      <c r="AM1" s="2517"/>
      <c r="AN1" s="2517"/>
      <c r="AO1" s="2518"/>
      <c r="AP1" s="1730" t="s">
        <v>231</v>
      </c>
      <c r="AQ1" s="1731" t="s">
        <v>131</v>
      </c>
      <c r="AR1" s="1732"/>
      <c r="AS1" s="1732"/>
      <c r="AT1" s="1732"/>
      <c r="AU1" s="1732"/>
      <c r="AV1" s="1732"/>
      <c r="AW1" s="1732"/>
      <c r="AX1" s="1732"/>
      <c r="AY1" s="1732"/>
      <c r="AZ1" s="1732"/>
      <c r="BA1" s="1732"/>
      <c r="BB1" s="1732"/>
      <c r="BC1" s="1732"/>
      <c r="BD1" s="1732"/>
      <c r="BE1" s="1732"/>
      <c r="BF1" s="1732"/>
      <c r="BG1" s="1732"/>
      <c r="BH1" s="1732"/>
      <c r="BI1" s="1732"/>
      <c r="BJ1" s="1732"/>
      <c r="BK1" s="1732"/>
      <c r="BL1" s="1732"/>
      <c r="BM1" s="1732"/>
      <c r="BN1" s="1732"/>
      <c r="BO1" s="1732"/>
      <c r="BP1" s="1732"/>
      <c r="BQ1" s="1732"/>
      <c r="BR1" s="1732"/>
      <c r="BS1" s="1732"/>
      <c r="BT1" s="1732"/>
      <c r="BU1" s="1732"/>
      <c r="BV1" s="1732"/>
      <c r="BW1" s="1732"/>
      <c r="BX1" s="1732"/>
    </row>
    <row r="2" spans="1:76" ht="20.25" customHeight="1" x14ac:dyDescent="0.2">
      <c r="A2" s="2519"/>
      <c r="B2" s="2520"/>
      <c r="C2" s="2520"/>
      <c r="D2" s="2520"/>
      <c r="E2" s="2520"/>
      <c r="F2" s="2520"/>
      <c r="G2" s="2520"/>
      <c r="H2" s="2520"/>
      <c r="I2" s="2520"/>
      <c r="J2" s="2520"/>
      <c r="K2" s="2520"/>
      <c r="L2" s="2520"/>
      <c r="M2" s="2520"/>
      <c r="N2" s="2520"/>
      <c r="O2" s="2520"/>
      <c r="P2" s="2520"/>
      <c r="Q2" s="2520"/>
      <c r="R2" s="2520"/>
      <c r="S2" s="2520"/>
      <c r="T2" s="2520"/>
      <c r="U2" s="2520"/>
      <c r="V2" s="2520"/>
      <c r="W2" s="2520"/>
      <c r="X2" s="2520"/>
      <c r="Y2" s="2520"/>
      <c r="Z2" s="2520"/>
      <c r="AA2" s="2520"/>
      <c r="AB2" s="2520"/>
      <c r="AC2" s="2520"/>
      <c r="AD2" s="2520"/>
      <c r="AE2" s="2520"/>
      <c r="AF2" s="2520"/>
      <c r="AG2" s="2520"/>
      <c r="AH2" s="2520"/>
      <c r="AI2" s="2520"/>
      <c r="AJ2" s="2520"/>
      <c r="AK2" s="2520"/>
      <c r="AL2" s="2520"/>
      <c r="AM2" s="2520"/>
      <c r="AN2" s="2520"/>
      <c r="AO2" s="2521"/>
      <c r="AP2" s="1733" t="s">
        <v>232</v>
      </c>
      <c r="AQ2" s="1734" t="s">
        <v>135</v>
      </c>
      <c r="AR2" s="1732"/>
      <c r="AS2" s="1732"/>
      <c r="AT2" s="1732"/>
      <c r="AU2" s="1732"/>
      <c r="AV2" s="1732"/>
      <c r="AW2" s="1732"/>
      <c r="AX2" s="1732"/>
      <c r="AY2" s="1732"/>
      <c r="AZ2" s="1732"/>
      <c r="BA2" s="1732"/>
      <c r="BB2" s="1732"/>
      <c r="BC2" s="1732"/>
      <c r="BD2" s="1732"/>
      <c r="BE2" s="1732"/>
      <c r="BF2" s="1732"/>
      <c r="BG2" s="1732"/>
      <c r="BH2" s="1732"/>
      <c r="BI2" s="1732"/>
      <c r="BJ2" s="1732"/>
      <c r="BK2" s="1732"/>
      <c r="BL2" s="1732"/>
      <c r="BM2" s="1732"/>
      <c r="BN2" s="1732"/>
      <c r="BO2" s="1732"/>
      <c r="BP2" s="1732"/>
      <c r="BQ2" s="1732"/>
      <c r="BR2" s="1732"/>
      <c r="BS2" s="1732"/>
      <c r="BT2" s="1732"/>
      <c r="BU2" s="1732"/>
      <c r="BV2" s="1732"/>
      <c r="BW2" s="1732"/>
      <c r="BX2" s="1732"/>
    </row>
    <row r="3" spans="1:76" ht="12.75" customHeight="1" x14ac:dyDescent="0.2">
      <c r="A3" s="2519"/>
      <c r="B3" s="2520"/>
      <c r="C3" s="2520"/>
      <c r="D3" s="2520"/>
      <c r="E3" s="2520"/>
      <c r="F3" s="2520"/>
      <c r="G3" s="2520"/>
      <c r="H3" s="2520"/>
      <c r="I3" s="2520"/>
      <c r="J3" s="2520"/>
      <c r="K3" s="2520"/>
      <c r="L3" s="2520"/>
      <c r="M3" s="2520"/>
      <c r="N3" s="2520"/>
      <c r="O3" s="2520"/>
      <c r="P3" s="2520"/>
      <c r="Q3" s="2520"/>
      <c r="R3" s="2520"/>
      <c r="S3" s="2520"/>
      <c r="T3" s="2520"/>
      <c r="U3" s="2520"/>
      <c r="V3" s="2520"/>
      <c r="W3" s="2520"/>
      <c r="X3" s="2520"/>
      <c r="Y3" s="2520"/>
      <c r="Z3" s="2520"/>
      <c r="AA3" s="2520"/>
      <c r="AB3" s="2520"/>
      <c r="AC3" s="2520"/>
      <c r="AD3" s="2520"/>
      <c r="AE3" s="2520"/>
      <c r="AF3" s="2520"/>
      <c r="AG3" s="2520"/>
      <c r="AH3" s="2520"/>
      <c r="AI3" s="2520"/>
      <c r="AJ3" s="2520"/>
      <c r="AK3" s="2520"/>
      <c r="AL3" s="2520"/>
      <c r="AM3" s="2520"/>
      <c r="AN3" s="2520"/>
      <c r="AO3" s="2521"/>
      <c r="AP3" s="1735" t="s">
        <v>233</v>
      </c>
      <c r="AQ3" s="1736" t="s">
        <v>136</v>
      </c>
      <c r="AR3" s="1732"/>
      <c r="AS3" s="1732"/>
      <c r="AT3" s="1732"/>
      <c r="AU3" s="1732"/>
      <c r="AV3" s="1732"/>
      <c r="AW3" s="1732"/>
      <c r="AX3" s="1732"/>
      <c r="AY3" s="1732"/>
      <c r="AZ3" s="1732"/>
      <c r="BA3" s="1732"/>
      <c r="BB3" s="1732"/>
      <c r="BC3" s="1732"/>
      <c r="BD3" s="1732"/>
      <c r="BE3" s="1732"/>
      <c r="BF3" s="1732"/>
      <c r="BG3" s="1732"/>
      <c r="BH3" s="1732"/>
      <c r="BI3" s="1732"/>
      <c r="BJ3" s="1732"/>
      <c r="BK3" s="1732"/>
      <c r="BL3" s="1732"/>
      <c r="BM3" s="1732"/>
      <c r="BN3" s="1732"/>
      <c r="BO3" s="1732"/>
      <c r="BP3" s="1732"/>
      <c r="BQ3" s="1732"/>
      <c r="BR3" s="1732"/>
      <c r="BS3" s="1732"/>
      <c r="BT3" s="1732"/>
      <c r="BU3" s="1732"/>
      <c r="BV3" s="1732"/>
      <c r="BW3" s="1732"/>
      <c r="BX3" s="1732"/>
    </row>
    <row r="4" spans="1:76" ht="24.75" customHeight="1" x14ac:dyDescent="0.2">
      <c r="A4" s="2522"/>
      <c r="B4" s="2523"/>
      <c r="C4" s="2523"/>
      <c r="D4" s="2523"/>
      <c r="E4" s="2523"/>
      <c r="F4" s="2523"/>
      <c r="G4" s="2523"/>
      <c r="H4" s="2523"/>
      <c r="I4" s="2523"/>
      <c r="J4" s="2523"/>
      <c r="K4" s="2523"/>
      <c r="L4" s="2523"/>
      <c r="M4" s="2523"/>
      <c r="N4" s="2523"/>
      <c r="O4" s="2523"/>
      <c r="P4" s="2523"/>
      <c r="Q4" s="2523"/>
      <c r="R4" s="2523"/>
      <c r="S4" s="2523"/>
      <c r="T4" s="2523"/>
      <c r="U4" s="2523"/>
      <c r="V4" s="2523"/>
      <c r="W4" s="2523"/>
      <c r="X4" s="2523"/>
      <c r="Y4" s="2523"/>
      <c r="Z4" s="2523"/>
      <c r="AA4" s="2523"/>
      <c r="AB4" s="2523"/>
      <c r="AC4" s="2523"/>
      <c r="AD4" s="2523"/>
      <c r="AE4" s="2523"/>
      <c r="AF4" s="2523"/>
      <c r="AG4" s="2523"/>
      <c r="AH4" s="2523"/>
      <c r="AI4" s="2523"/>
      <c r="AJ4" s="2523"/>
      <c r="AK4" s="2523"/>
      <c r="AL4" s="2523"/>
      <c r="AM4" s="2523"/>
      <c r="AN4" s="2523"/>
      <c r="AO4" s="2524"/>
      <c r="AP4" s="1737" t="s">
        <v>234</v>
      </c>
      <c r="AQ4" s="1738" t="s">
        <v>1</v>
      </c>
      <c r="AR4" s="1732"/>
      <c r="AS4" s="1732"/>
      <c r="AT4" s="1732"/>
      <c r="AU4" s="1732"/>
      <c r="AV4" s="1732"/>
      <c r="AW4" s="1732"/>
      <c r="AX4" s="1732"/>
      <c r="AY4" s="1732"/>
      <c r="AZ4" s="1732"/>
      <c r="BA4" s="1732"/>
      <c r="BB4" s="1732"/>
      <c r="BC4" s="1732"/>
      <c r="BD4" s="1732"/>
      <c r="BE4" s="1732"/>
      <c r="BF4" s="1732"/>
      <c r="BG4" s="1732"/>
      <c r="BH4" s="1732"/>
      <c r="BI4" s="1732"/>
      <c r="BJ4" s="1732"/>
      <c r="BK4" s="1732"/>
      <c r="BL4" s="1732"/>
      <c r="BM4" s="1732"/>
      <c r="BN4" s="1732"/>
      <c r="BO4" s="1732"/>
      <c r="BP4" s="1732"/>
      <c r="BQ4" s="1732"/>
      <c r="BR4" s="1732"/>
      <c r="BS4" s="1732"/>
      <c r="BT4" s="1732"/>
      <c r="BU4" s="1732"/>
      <c r="BV4" s="1732"/>
      <c r="BW4" s="1732"/>
      <c r="BX4" s="1732"/>
    </row>
    <row r="5" spans="1:76" ht="36.75" customHeight="1" x14ac:dyDescent="0.2">
      <c r="A5" s="2525" t="s">
        <v>2</v>
      </c>
      <c r="B5" s="2526"/>
      <c r="C5" s="2526"/>
      <c r="D5" s="2526"/>
      <c r="E5" s="2526"/>
      <c r="F5" s="2526"/>
      <c r="G5" s="2526"/>
      <c r="H5" s="2526"/>
      <c r="I5" s="2526"/>
      <c r="J5" s="2526"/>
      <c r="K5" s="2526"/>
      <c r="L5" s="2526"/>
      <c r="M5" s="2526"/>
      <c r="N5" s="2527" t="s">
        <v>3</v>
      </c>
      <c r="O5" s="2527"/>
      <c r="P5" s="2527"/>
      <c r="Q5" s="2527"/>
      <c r="R5" s="2527"/>
      <c r="S5" s="2527"/>
      <c r="T5" s="2527"/>
      <c r="U5" s="2527"/>
      <c r="V5" s="2527"/>
      <c r="W5" s="2527"/>
      <c r="X5" s="2527"/>
      <c r="Y5" s="2527"/>
      <c r="Z5" s="2527"/>
      <c r="AA5" s="2527"/>
      <c r="AB5" s="2527"/>
      <c r="AC5" s="2527"/>
      <c r="AD5" s="2527"/>
      <c r="AE5" s="2527"/>
      <c r="AF5" s="2527"/>
      <c r="AG5" s="2527"/>
      <c r="AH5" s="2527"/>
      <c r="AI5" s="2527"/>
      <c r="AJ5" s="2527"/>
      <c r="AK5" s="2527"/>
      <c r="AL5" s="2527"/>
      <c r="AM5" s="2527"/>
      <c r="AN5" s="2527"/>
      <c r="AO5" s="2527"/>
      <c r="AP5" s="2527"/>
      <c r="AQ5" s="2528"/>
      <c r="AR5" s="1732"/>
      <c r="AS5" s="1732"/>
      <c r="AT5" s="1732"/>
      <c r="AU5" s="1732"/>
      <c r="AV5" s="1732"/>
      <c r="AW5" s="1732"/>
      <c r="AX5" s="1732"/>
      <c r="AY5" s="1732"/>
      <c r="AZ5" s="1732"/>
      <c r="BA5" s="1732"/>
      <c r="BB5" s="1732"/>
      <c r="BC5" s="1732"/>
      <c r="BD5" s="1732"/>
      <c r="BE5" s="1732"/>
      <c r="BF5" s="1732"/>
      <c r="BG5" s="1732"/>
      <c r="BH5" s="1732"/>
      <c r="BI5" s="1732"/>
      <c r="BJ5" s="1732"/>
      <c r="BK5" s="1732"/>
      <c r="BL5" s="1732"/>
      <c r="BM5" s="1732"/>
      <c r="BN5" s="1732"/>
      <c r="BO5" s="1732"/>
      <c r="BP5" s="1732"/>
      <c r="BQ5" s="1732"/>
      <c r="BR5" s="1732"/>
      <c r="BS5" s="1732"/>
      <c r="BT5" s="1732"/>
      <c r="BU5" s="1732"/>
      <c r="BV5" s="1732"/>
      <c r="BW5" s="1732"/>
      <c r="BX5" s="1732"/>
    </row>
    <row r="6" spans="1:76" ht="22.5" customHeight="1" x14ac:dyDescent="0.2">
      <c r="A6" s="2522"/>
      <c r="B6" s="2523"/>
      <c r="C6" s="2523"/>
      <c r="D6" s="2523"/>
      <c r="E6" s="2523"/>
      <c r="F6" s="2523"/>
      <c r="G6" s="2523"/>
      <c r="H6" s="2523"/>
      <c r="I6" s="2523"/>
      <c r="J6" s="2523"/>
      <c r="K6" s="2523"/>
      <c r="L6" s="2523"/>
      <c r="M6" s="2523"/>
      <c r="N6" s="1739"/>
      <c r="O6" s="1740"/>
      <c r="P6" s="1741"/>
      <c r="Q6" s="1741"/>
      <c r="R6" s="1741"/>
      <c r="S6" s="1741"/>
      <c r="T6" s="1741"/>
      <c r="U6" s="1741"/>
      <c r="V6" s="1742"/>
      <c r="W6" s="1741"/>
      <c r="X6" s="1743"/>
      <c r="Y6" s="2529" t="s">
        <v>4</v>
      </c>
      <c r="Z6" s="2530"/>
      <c r="AA6" s="2530"/>
      <c r="AB6" s="2530"/>
      <c r="AC6" s="2530"/>
      <c r="AD6" s="2530"/>
      <c r="AE6" s="2530"/>
      <c r="AF6" s="2530"/>
      <c r="AG6" s="2530"/>
      <c r="AH6" s="2530"/>
      <c r="AI6" s="2530"/>
      <c r="AJ6" s="2530"/>
      <c r="AK6" s="2530"/>
      <c r="AL6" s="2530"/>
      <c r="AM6" s="2530"/>
      <c r="AN6" s="2530"/>
      <c r="AO6" s="1741"/>
      <c r="AP6" s="1741"/>
      <c r="AQ6" s="1744"/>
      <c r="AR6" s="1732"/>
      <c r="AS6" s="1732"/>
      <c r="AT6" s="1732"/>
      <c r="AU6" s="1732"/>
      <c r="AV6" s="1732"/>
      <c r="AW6" s="1732"/>
      <c r="AX6" s="1732"/>
      <c r="AY6" s="1732"/>
      <c r="AZ6" s="1732"/>
      <c r="BA6" s="1732"/>
      <c r="BB6" s="1732"/>
      <c r="BC6" s="1732"/>
      <c r="BD6" s="1732"/>
      <c r="BE6" s="1732"/>
      <c r="BF6" s="1732"/>
      <c r="BG6" s="1732"/>
      <c r="BH6" s="1732"/>
      <c r="BI6" s="1732"/>
      <c r="BJ6" s="1732"/>
      <c r="BK6" s="1732"/>
      <c r="BL6" s="1732"/>
      <c r="BM6" s="1732"/>
      <c r="BN6" s="1732"/>
      <c r="BO6" s="1732"/>
      <c r="BP6" s="1732"/>
      <c r="BQ6" s="1732"/>
      <c r="BR6" s="1732"/>
      <c r="BS6" s="1732"/>
      <c r="BT6" s="1732"/>
      <c r="BU6" s="1732"/>
      <c r="BV6" s="1732"/>
      <c r="BW6" s="1732"/>
      <c r="BX6" s="1732"/>
    </row>
    <row r="7" spans="1:76" ht="26.25" customHeight="1" x14ac:dyDescent="0.2">
      <c r="A7" s="2531" t="s">
        <v>5</v>
      </c>
      <c r="B7" s="2512" t="s">
        <v>6</v>
      </c>
      <c r="C7" s="2514"/>
      <c r="D7" s="2514" t="s">
        <v>5</v>
      </c>
      <c r="E7" s="2512" t="s">
        <v>7</v>
      </c>
      <c r="F7" s="2514"/>
      <c r="G7" s="2514" t="s">
        <v>5</v>
      </c>
      <c r="H7" s="2512" t="s">
        <v>8</v>
      </c>
      <c r="I7" s="2514"/>
      <c r="J7" s="2514" t="s">
        <v>5</v>
      </c>
      <c r="K7" s="2505" t="s">
        <v>9</v>
      </c>
      <c r="L7" s="2505" t="s">
        <v>10</v>
      </c>
      <c r="M7" s="2505" t="s">
        <v>11</v>
      </c>
      <c r="N7" s="2505" t="s">
        <v>12</v>
      </c>
      <c r="O7" s="2505" t="s">
        <v>13</v>
      </c>
      <c r="P7" s="2505" t="s">
        <v>3</v>
      </c>
      <c r="Q7" s="2508" t="s">
        <v>14</v>
      </c>
      <c r="R7" s="2510" t="s">
        <v>15</v>
      </c>
      <c r="S7" s="2512" t="s">
        <v>16</v>
      </c>
      <c r="T7" s="2512" t="s">
        <v>17</v>
      </c>
      <c r="U7" s="2505" t="s">
        <v>18</v>
      </c>
      <c r="V7" s="2543" t="s">
        <v>15</v>
      </c>
      <c r="W7" s="1745"/>
      <c r="X7" s="2505" t="s">
        <v>19</v>
      </c>
      <c r="Y7" s="2507" t="s">
        <v>20</v>
      </c>
      <c r="Z7" s="2507"/>
      <c r="AA7" s="2539" t="s">
        <v>21</v>
      </c>
      <c r="AB7" s="2539"/>
      <c r="AC7" s="2539"/>
      <c r="AD7" s="2539"/>
      <c r="AE7" s="2540" t="s">
        <v>22</v>
      </c>
      <c r="AF7" s="2541"/>
      <c r="AG7" s="2541"/>
      <c r="AH7" s="2541"/>
      <c r="AI7" s="2541"/>
      <c r="AJ7" s="2542"/>
      <c r="AK7" s="2539" t="s">
        <v>23</v>
      </c>
      <c r="AL7" s="2539"/>
      <c r="AM7" s="2539"/>
      <c r="AN7" s="2533" t="s">
        <v>24</v>
      </c>
      <c r="AO7" s="2535" t="s">
        <v>25</v>
      </c>
      <c r="AP7" s="2535" t="s">
        <v>26</v>
      </c>
      <c r="AQ7" s="2537" t="s">
        <v>27</v>
      </c>
      <c r="AR7" s="1732"/>
      <c r="AS7" s="1732"/>
      <c r="AT7" s="1732"/>
      <c r="AU7" s="1732"/>
      <c r="AV7" s="1732"/>
      <c r="AW7" s="1732"/>
      <c r="AX7" s="1732"/>
      <c r="AY7" s="1732"/>
      <c r="AZ7" s="1732"/>
      <c r="BA7" s="1732"/>
      <c r="BB7" s="1732"/>
      <c r="BC7" s="1732"/>
      <c r="BD7" s="1732"/>
      <c r="BE7" s="1732"/>
      <c r="BF7" s="1732"/>
      <c r="BG7" s="1732"/>
      <c r="BH7" s="1732"/>
      <c r="BI7" s="1732"/>
      <c r="BJ7" s="1732"/>
      <c r="BK7" s="1732"/>
      <c r="BL7" s="1732"/>
      <c r="BM7" s="1732"/>
      <c r="BN7" s="1732"/>
      <c r="BO7" s="1732"/>
      <c r="BP7" s="1732"/>
      <c r="BQ7" s="1732"/>
      <c r="BR7" s="1732"/>
      <c r="BS7" s="1732"/>
      <c r="BT7" s="1732"/>
      <c r="BU7" s="1732"/>
      <c r="BV7" s="1732"/>
      <c r="BW7" s="1732"/>
      <c r="BX7" s="1732"/>
    </row>
    <row r="8" spans="1:76" ht="131.25" customHeight="1" x14ac:dyDescent="0.2">
      <c r="A8" s="2532"/>
      <c r="B8" s="2513"/>
      <c r="C8" s="2515"/>
      <c r="D8" s="2515"/>
      <c r="E8" s="2513"/>
      <c r="F8" s="2515"/>
      <c r="G8" s="2515"/>
      <c r="H8" s="2513"/>
      <c r="I8" s="2515"/>
      <c r="J8" s="2515"/>
      <c r="K8" s="2506"/>
      <c r="L8" s="2506"/>
      <c r="M8" s="2506"/>
      <c r="N8" s="2506"/>
      <c r="O8" s="2506"/>
      <c r="P8" s="2506"/>
      <c r="Q8" s="2509"/>
      <c r="R8" s="2511"/>
      <c r="S8" s="2513"/>
      <c r="T8" s="2513"/>
      <c r="U8" s="2506"/>
      <c r="V8" s="2544"/>
      <c r="W8" s="1746" t="s">
        <v>5</v>
      </c>
      <c r="X8" s="2506"/>
      <c r="Y8" s="1747" t="s">
        <v>28</v>
      </c>
      <c r="Z8" s="1748" t="s">
        <v>29</v>
      </c>
      <c r="AA8" s="1749" t="s">
        <v>30</v>
      </c>
      <c r="AB8" s="1749" t="s">
        <v>31</v>
      </c>
      <c r="AC8" s="1749" t="s">
        <v>2268</v>
      </c>
      <c r="AD8" s="1749" t="s">
        <v>32</v>
      </c>
      <c r="AE8" s="1749" t="s">
        <v>33</v>
      </c>
      <c r="AF8" s="1749" t="s">
        <v>34</v>
      </c>
      <c r="AG8" s="1749" t="s">
        <v>35</v>
      </c>
      <c r="AH8" s="1749" t="s">
        <v>36</v>
      </c>
      <c r="AI8" s="1749" t="s">
        <v>37</v>
      </c>
      <c r="AJ8" s="1749" t="s">
        <v>38</v>
      </c>
      <c r="AK8" s="1749" t="s">
        <v>39</v>
      </c>
      <c r="AL8" s="1749" t="s">
        <v>40</v>
      </c>
      <c r="AM8" s="1749" t="s">
        <v>41</v>
      </c>
      <c r="AN8" s="2534"/>
      <c r="AO8" s="2536"/>
      <c r="AP8" s="2536"/>
      <c r="AQ8" s="2538"/>
      <c r="AR8" s="1732"/>
      <c r="AS8" s="1732"/>
      <c r="AT8" s="1732"/>
      <c r="AU8" s="1732"/>
      <c r="AV8" s="1732"/>
      <c r="AW8" s="1732"/>
      <c r="AX8" s="1732"/>
      <c r="AY8" s="1732"/>
      <c r="AZ8" s="1732"/>
      <c r="BA8" s="1732"/>
      <c r="BB8" s="1732"/>
      <c r="BC8" s="1732"/>
      <c r="BD8" s="1732"/>
      <c r="BE8" s="1732"/>
      <c r="BF8" s="1732"/>
      <c r="BG8" s="1732"/>
      <c r="BH8" s="1732"/>
      <c r="BI8" s="1732"/>
      <c r="BJ8" s="1732"/>
      <c r="BK8" s="1732"/>
      <c r="BL8" s="1732"/>
      <c r="BM8" s="1732"/>
      <c r="BN8" s="1732"/>
      <c r="BO8" s="1732"/>
      <c r="BP8" s="1732"/>
      <c r="BQ8" s="1732"/>
      <c r="BR8" s="1732"/>
      <c r="BS8" s="1732"/>
      <c r="BT8" s="1732"/>
      <c r="BU8" s="1732"/>
      <c r="BV8" s="1732"/>
      <c r="BW8" s="1732"/>
      <c r="BX8" s="1732"/>
    </row>
    <row r="9" spans="1:76" s="1762" customFormat="1" ht="27" customHeight="1" x14ac:dyDescent="0.2">
      <c r="A9" s="1750">
        <v>1</v>
      </c>
      <c r="B9" s="1751" t="s">
        <v>526</v>
      </c>
      <c r="C9" s="1751"/>
      <c r="D9" s="1752"/>
      <c r="E9" s="1752"/>
      <c r="F9" s="1752"/>
      <c r="G9" s="1752"/>
      <c r="H9" s="1752"/>
      <c r="I9" s="1752"/>
      <c r="J9" s="1753"/>
      <c r="K9" s="1754"/>
      <c r="L9" s="1752"/>
      <c r="M9" s="1752"/>
      <c r="N9" s="1752"/>
      <c r="O9" s="1755"/>
      <c r="P9" s="1754"/>
      <c r="Q9" s="1756"/>
      <c r="R9" s="1757"/>
      <c r="S9" s="1754"/>
      <c r="T9" s="1754"/>
      <c r="U9" s="1754"/>
      <c r="V9" s="1758"/>
      <c r="W9" s="1759"/>
      <c r="X9" s="1754"/>
      <c r="Y9" s="1752"/>
      <c r="Z9" s="1752"/>
      <c r="AA9" s="1752"/>
      <c r="AB9" s="1752"/>
      <c r="AC9" s="1752"/>
      <c r="AD9" s="1752"/>
      <c r="AE9" s="1752"/>
      <c r="AF9" s="1752"/>
      <c r="AG9" s="1752"/>
      <c r="AH9" s="1752"/>
      <c r="AI9" s="1752"/>
      <c r="AJ9" s="1752"/>
      <c r="AK9" s="1752"/>
      <c r="AL9" s="1752"/>
      <c r="AM9" s="1752"/>
      <c r="AN9" s="1752"/>
      <c r="AO9" s="1760"/>
      <c r="AP9" s="1760"/>
      <c r="AQ9" s="1761"/>
      <c r="AR9" s="1732"/>
      <c r="AS9" s="1732"/>
      <c r="AT9" s="1732"/>
      <c r="AU9" s="1732"/>
      <c r="AV9" s="1732"/>
      <c r="AW9" s="1732"/>
      <c r="AX9" s="1732"/>
      <c r="AY9" s="1732"/>
      <c r="AZ9" s="1732"/>
      <c r="BA9" s="1732"/>
      <c r="BB9" s="1732"/>
      <c r="BC9" s="1732"/>
      <c r="BD9" s="1732"/>
      <c r="BE9" s="1732"/>
      <c r="BF9" s="1732"/>
      <c r="BG9" s="1732"/>
      <c r="BH9" s="1732"/>
      <c r="BI9" s="1732"/>
      <c r="BJ9" s="1732"/>
      <c r="BK9" s="1732"/>
      <c r="BL9" s="1732"/>
      <c r="BM9" s="1732"/>
      <c r="BN9" s="1732"/>
      <c r="BO9" s="1732"/>
      <c r="BP9" s="1732"/>
      <c r="BQ9" s="1732"/>
      <c r="BR9" s="1732"/>
      <c r="BS9" s="1732"/>
      <c r="BT9" s="1732"/>
      <c r="BU9" s="1732"/>
      <c r="BV9" s="1732"/>
      <c r="BW9" s="1732"/>
      <c r="BX9" s="1732"/>
    </row>
    <row r="10" spans="1:76" s="1732" customFormat="1" ht="24" customHeight="1" x14ac:dyDescent="0.2">
      <c r="A10" s="1763"/>
      <c r="B10" s="1764"/>
      <c r="C10" s="1765"/>
      <c r="D10" s="1766">
        <v>1</v>
      </c>
      <c r="E10" s="1767" t="s">
        <v>2269</v>
      </c>
      <c r="F10" s="1767"/>
      <c r="G10" s="1768"/>
      <c r="H10" s="1768"/>
      <c r="I10" s="1768"/>
      <c r="J10" s="1769"/>
      <c r="K10" s="1770"/>
      <c r="L10" s="1768"/>
      <c r="M10" s="1768"/>
      <c r="N10" s="1768"/>
      <c r="O10" s="1771"/>
      <c r="P10" s="1770"/>
      <c r="Q10" s="1772"/>
      <c r="R10" s="1773"/>
      <c r="S10" s="1770"/>
      <c r="T10" s="1770"/>
      <c r="U10" s="1770"/>
      <c r="V10" s="1774"/>
      <c r="W10" s="1775"/>
      <c r="X10" s="1770"/>
      <c r="Y10" s="1768"/>
      <c r="Z10" s="1768"/>
      <c r="AA10" s="1768"/>
      <c r="AB10" s="1768"/>
      <c r="AC10" s="1768"/>
      <c r="AD10" s="1768"/>
      <c r="AE10" s="1768"/>
      <c r="AF10" s="1768"/>
      <c r="AG10" s="1768"/>
      <c r="AH10" s="1768"/>
      <c r="AI10" s="1768"/>
      <c r="AJ10" s="1768"/>
      <c r="AK10" s="1768"/>
      <c r="AL10" s="1768"/>
      <c r="AM10" s="1768"/>
      <c r="AN10" s="1768"/>
      <c r="AO10" s="1776"/>
      <c r="AP10" s="1776"/>
      <c r="AQ10" s="1777"/>
    </row>
    <row r="11" spans="1:76" s="1732" customFormat="1" ht="15.75" x14ac:dyDescent="0.25">
      <c r="A11" s="1778"/>
      <c r="B11" s="1779"/>
      <c r="C11" s="1779"/>
      <c r="D11" s="1780"/>
      <c r="E11" s="1781"/>
      <c r="F11" s="1765"/>
      <c r="G11" s="1782">
        <v>2</v>
      </c>
      <c r="H11" s="1783" t="s">
        <v>2270</v>
      </c>
      <c r="I11" s="1783"/>
      <c r="J11" s="1784"/>
      <c r="K11" s="435"/>
      <c r="L11" s="1783"/>
      <c r="M11" s="1783"/>
      <c r="N11" s="1783"/>
      <c r="O11" s="436"/>
      <c r="P11" s="435"/>
      <c r="Q11" s="1785"/>
      <c r="R11" s="1786"/>
      <c r="S11" s="435"/>
      <c r="T11" s="435"/>
      <c r="U11" s="435"/>
      <c r="V11" s="452"/>
      <c r="W11" s="1787"/>
      <c r="X11" s="461"/>
      <c r="Y11" s="1442"/>
      <c r="Z11" s="1442"/>
      <c r="AA11" s="1442"/>
      <c r="AB11" s="1442"/>
      <c r="AC11" s="1442"/>
      <c r="AD11" s="1442"/>
      <c r="AE11" s="1442"/>
      <c r="AF11" s="1442"/>
      <c r="AG11" s="1442"/>
      <c r="AH11" s="1442"/>
      <c r="AI11" s="1442"/>
      <c r="AJ11" s="1442"/>
      <c r="AK11" s="1442"/>
      <c r="AL11" s="1442"/>
      <c r="AM11" s="1442"/>
      <c r="AN11" s="1442"/>
      <c r="AO11" s="1788"/>
      <c r="AP11" s="1788"/>
      <c r="AQ11" s="1789"/>
    </row>
    <row r="12" spans="1:76" s="1732" customFormat="1" ht="33" customHeight="1" x14ac:dyDescent="0.2">
      <c r="A12" s="1790"/>
      <c r="B12" s="1791"/>
      <c r="C12" s="1791"/>
      <c r="D12" s="1792"/>
      <c r="E12" s="1793"/>
      <c r="F12" s="1793"/>
      <c r="G12" s="1794"/>
      <c r="H12" s="2412"/>
      <c r="I12" s="2413"/>
      <c r="J12" s="2503">
        <v>9</v>
      </c>
      <c r="K12" s="2390" t="s">
        <v>2271</v>
      </c>
      <c r="L12" s="2356" t="s">
        <v>2272</v>
      </c>
      <c r="M12" s="2354">
        <v>5</v>
      </c>
      <c r="N12" s="1795"/>
      <c r="O12" s="2398" t="s">
        <v>2273</v>
      </c>
      <c r="P12" s="2390" t="s">
        <v>2274</v>
      </c>
      <c r="Q12" s="2445">
        <v>1</v>
      </c>
      <c r="R12" s="2423">
        <f>+V12+V16</f>
        <v>1267157549</v>
      </c>
      <c r="S12" s="2390" t="s">
        <v>2275</v>
      </c>
      <c r="T12" s="2490" t="s">
        <v>2276</v>
      </c>
      <c r="U12" s="2356" t="s">
        <v>2277</v>
      </c>
      <c r="V12" s="2482">
        <f>3800000+6592117+1074750000+182015432</f>
        <v>1267157549</v>
      </c>
      <c r="W12" s="1796"/>
      <c r="X12" s="2398" t="s">
        <v>2278</v>
      </c>
      <c r="Y12" s="2499">
        <v>292684</v>
      </c>
      <c r="Z12" s="2479">
        <v>282326</v>
      </c>
      <c r="AA12" s="2479">
        <v>135912</v>
      </c>
      <c r="AB12" s="2479">
        <v>45122</v>
      </c>
      <c r="AC12" s="2479">
        <v>307101</v>
      </c>
      <c r="AD12" s="2479">
        <v>86875</v>
      </c>
      <c r="AE12" s="2479">
        <v>2145</v>
      </c>
      <c r="AF12" s="2479">
        <v>12718</v>
      </c>
      <c r="AG12" s="2479">
        <v>26</v>
      </c>
      <c r="AH12" s="2479">
        <v>37</v>
      </c>
      <c r="AI12" s="2479">
        <v>0</v>
      </c>
      <c r="AJ12" s="2479">
        <v>0</v>
      </c>
      <c r="AK12" s="2479">
        <v>53164</v>
      </c>
      <c r="AL12" s="2479">
        <v>16982</v>
      </c>
      <c r="AM12" s="2479">
        <v>60016</v>
      </c>
      <c r="AN12" s="2473">
        <f>SUM(Y12:Z19)</f>
        <v>575010</v>
      </c>
      <c r="AO12" s="2476">
        <v>43101</v>
      </c>
      <c r="AP12" s="2476">
        <v>43465</v>
      </c>
      <c r="AQ12" s="2450" t="s">
        <v>2279</v>
      </c>
    </row>
    <row r="13" spans="1:76" s="1732" customFormat="1" ht="33" customHeight="1" x14ac:dyDescent="0.2">
      <c r="A13" s="1790"/>
      <c r="B13" s="2369"/>
      <c r="C13" s="2369"/>
      <c r="D13" s="1792"/>
      <c r="E13" s="2415"/>
      <c r="F13" s="2415"/>
      <c r="G13" s="1792"/>
      <c r="H13" s="2415"/>
      <c r="I13" s="2416"/>
      <c r="J13" s="2399"/>
      <c r="K13" s="2391"/>
      <c r="L13" s="2357"/>
      <c r="M13" s="2355"/>
      <c r="N13" s="2504" t="s">
        <v>2280</v>
      </c>
      <c r="O13" s="2399"/>
      <c r="P13" s="2391"/>
      <c r="Q13" s="2447"/>
      <c r="R13" s="2424"/>
      <c r="S13" s="2391"/>
      <c r="T13" s="2491"/>
      <c r="U13" s="2357"/>
      <c r="V13" s="2394"/>
      <c r="W13" s="1797">
        <v>27</v>
      </c>
      <c r="X13" s="2399"/>
      <c r="Y13" s="2500"/>
      <c r="Z13" s="2480"/>
      <c r="AA13" s="2480"/>
      <c r="AB13" s="2480"/>
      <c r="AC13" s="2480"/>
      <c r="AD13" s="2480"/>
      <c r="AE13" s="2480"/>
      <c r="AF13" s="2480"/>
      <c r="AG13" s="2480"/>
      <c r="AH13" s="2480"/>
      <c r="AI13" s="2480"/>
      <c r="AJ13" s="2480"/>
      <c r="AK13" s="2480"/>
      <c r="AL13" s="2480"/>
      <c r="AM13" s="2480"/>
      <c r="AN13" s="2474"/>
      <c r="AO13" s="2477"/>
      <c r="AP13" s="2477"/>
      <c r="AQ13" s="2451"/>
    </row>
    <row r="14" spans="1:76" s="1732" customFormat="1" ht="33" customHeight="1" x14ac:dyDescent="0.2">
      <c r="A14" s="1790"/>
      <c r="B14" s="1791"/>
      <c r="C14" s="1791"/>
      <c r="D14" s="1792"/>
      <c r="E14" s="1793"/>
      <c r="F14" s="1793"/>
      <c r="G14" s="1792"/>
      <c r="H14" s="1793"/>
      <c r="I14" s="1798"/>
      <c r="J14" s="2399"/>
      <c r="K14" s="2391"/>
      <c r="L14" s="2357"/>
      <c r="M14" s="2355"/>
      <c r="N14" s="2504"/>
      <c r="O14" s="2399"/>
      <c r="P14" s="2391"/>
      <c r="Q14" s="2447"/>
      <c r="R14" s="2424"/>
      <c r="S14" s="2391"/>
      <c r="T14" s="2491"/>
      <c r="U14" s="2357"/>
      <c r="V14" s="2394"/>
      <c r="W14" s="1797">
        <v>90</v>
      </c>
      <c r="X14" s="2399" t="s">
        <v>2281</v>
      </c>
      <c r="Y14" s="2500"/>
      <c r="Z14" s="2480"/>
      <c r="AA14" s="2480"/>
      <c r="AB14" s="2480"/>
      <c r="AC14" s="2480"/>
      <c r="AD14" s="2480"/>
      <c r="AE14" s="2480"/>
      <c r="AF14" s="2480"/>
      <c r="AG14" s="2480"/>
      <c r="AH14" s="2480"/>
      <c r="AI14" s="2480"/>
      <c r="AJ14" s="2480"/>
      <c r="AK14" s="2480"/>
      <c r="AL14" s="2480"/>
      <c r="AM14" s="2480"/>
      <c r="AN14" s="2474"/>
      <c r="AO14" s="2477"/>
      <c r="AP14" s="2477"/>
      <c r="AQ14" s="2451"/>
    </row>
    <row r="15" spans="1:76" s="1732" customFormat="1" ht="33" customHeight="1" x14ac:dyDescent="0.2">
      <c r="A15" s="1790"/>
      <c r="B15" s="1791"/>
      <c r="C15" s="1791"/>
      <c r="D15" s="1792"/>
      <c r="E15" s="1793"/>
      <c r="F15" s="1793"/>
      <c r="G15" s="1792"/>
      <c r="H15" s="1793"/>
      <c r="I15" s="1798"/>
      <c r="J15" s="2399"/>
      <c r="K15" s="2391"/>
      <c r="L15" s="2357"/>
      <c r="M15" s="2355"/>
      <c r="N15" s="2504" t="s">
        <v>2282</v>
      </c>
      <c r="O15" s="2399"/>
      <c r="P15" s="2391"/>
      <c r="Q15" s="2447"/>
      <c r="R15" s="2424"/>
      <c r="S15" s="2391"/>
      <c r="T15" s="2492"/>
      <c r="U15" s="2357"/>
      <c r="V15" s="2394"/>
      <c r="W15" s="1799"/>
      <c r="X15" s="2399"/>
      <c r="Y15" s="2500"/>
      <c r="Z15" s="2480"/>
      <c r="AA15" s="2480"/>
      <c r="AB15" s="2480"/>
      <c r="AC15" s="2480"/>
      <c r="AD15" s="2480"/>
      <c r="AE15" s="2480"/>
      <c r="AF15" s="2480"/>
      <c r="AG15" s="2480"/>
      <c r="AH15" s="2480"/>
      <c r="AI15" s="2480"/>
      <c r="AJ15" s="2480"/>
      <c r="AK15" s="2480"/>
      <c r="AL15" s="2480"/>
      <c r="AM15" s="2480"/>
      <c r="AN15" s="2474"/>
      <c r="AO15" s="2477"/>
      <c r="AP15" s="2477"/>
      <c r="AQ15" s="2451"/>
    </row>
    <row r="16" spans="1:76" s="1732" customFormat="1" ht="33" customHeight="1" x14ac:dyDescent="0.2">
      <c r="A16" s="1790"/>
      <c r="B16" s="1791"/>
      <c r="C16" s="1791"/>
      <c r="D16" s="1792"/>
      <c r="E16" s="1793"/>
      <c r="F16" s="1793"/>
      <c r="G16" s="1792"/>
      <c r="H16" s="1793"/>
      <c r="I16" s="1798"/>
      <c r="J16" s="2399"/>
      <c r="K16" s="2391"/>
      <c r="L16" s="2357"/>
      <c r="M16" s="2355"/>
      <c r="N16" s="2504"/>
      <c r="O16" s="2399"/>
      <c r="P16" s="2391"/>
      <c r="Q16" s="2447"/>
      <c r="R16" s="2424"/>
      <c r="S16" s="2391"/>
      <c r="T16" s="2390" t="s">
        <v>2283</v>
      </c>
      <c r="U16" s="2357"/>
      <c r="V16" s="2394"/>
      <c r="W16" s="1800"/>
      <c r="X16" s="2399" t="s">
        <v>2284</v>
      </c>
      <c r="Y16" s="2500"/>
      <c r="Z16" s="2480"/>
      <c r="AA16" s="2480"/>
      <c r="AB16" s="2480"/>
      <c r="AC16" s="2480"/>
      <c r="AD16" s="2480"/>
      <c r="AE16" s="2480"/>
      <c r="AF16" s="2480"/>
      <c r="AG16" s="2480"/>
      <c r="AH16" s="2480"/>
      <c r="AI16" s="2480"/>
      <c r="AJ16" s="2480"/>
      <c r="AK16" s="2480"/>
      <c r="AL16" s="2480"/>
      <c r="AM16" s="2480"/>
      <c r="AN16" s="2474"/>
      <c r="AO16" s="2477"/>
      <c r="AP16" s="2477"/>
      <c r="AQ16" s="2451"/>
    </row>
    <row r="17" spans="1:64" s="1732" customFormat="1" ht="33" customHeight="1" x14ac:dyDescent="0.2">
      <c r="A17" s="1790"/>
      <c r="B17" s="1791"/>
      <c r="C17" s="1791"/>
      <c r="D17" s="1792"/>
      <c r="E17" s="1793"/>
      <c r="F17" s="1793"/>
      <c r="G17" s="1792"/>
      <c r="H17" s="1793"/>
      <c r="I17" s="1798"/>
      <c r="J17" s="2399"/>
      <c r="K17" s="2391"/>
      <c r="L17" s="2357"/>
      <c r="M17" s="2355"/>
      <c r="N17" s="1801" t="s">
        <v>2285</v>
      </c>
      <c r="O17" s="2399"/>
      <c r="P17" s="2391"/>
      <c r="Q17" s="2447"/>
      <c r="R17" s="2424"/>
      <c r="S17" s="2391"/>
      <c r="T17" s="2391"/>
      <c r="U17" s="2357"/>
      <c r="V17" s="2394"/>
      <c r="W17" s="1800" t="s">
        <v>1787</v>
      </c>
      <c r="X17" s="2399"/>
      <c r="Y17" s="2500"/>
      <c r="Z17" s="2480"/>
      <c r="AA17" s="2480"/>
      <c r="AB17" s="2480"/>
      <c r="AC17" s="2480"/>
      <c r="AD17" s="2480"/>
      <c r="AE17" s="2480"/>
      <c r="AF17" s="2480"/>
      <c r="AG17" s="2480"/>
      <c r="AH17" s="2480"/>
      <c r="AI17" s="2480"/>
      <c r="AJ17" s="2480"/>
      <c r="AK17" s="2480"/>
      <c r="AL17" s="2480"/>
      <c r="AM17" s="2480"/>
      <c r="AN17" s="2474"/>
      <c r="AO17" s="2477"/>
      <c r="AP17" s="2477"/>
      <c r="AQ17" s="2451"/>
    </row>
    <row r="18" spans="1:64" s="1732" customFormat="1" ht="33" customHeight="1" x14ac:dyDescent="0.2">
      <c r="A18" s="1790"/>
      <c r="B18" s="2369"/>
      <c r="C18" s="2369"/>
      <c r="D18" s="1792"/>
      <c r="E18" s="2415"/>
      <c r="F18" s="2415"/>
      <c r="G18" s="1792"/>
      <c r="H18" s="2415"/>
      <c r="I18" s="2416"/>
      <c r="J18" s="2399"/>
      <c r="K18" s="2391"/>
      <c r="L18" s="2357"/>
      <c r="M18" s="2355"/>
      <c r="N18" s="1801" t="s">
        <v>2286</v>
      </c>
      <c r="O18" s="2399"/>
      <c r="P18" s="2391"/>
      <c r="Q18" s="2447"/>
      <c r="R18" s="2424"/>
      <c r="S18" s="2391"/>
      <c r="T18" s="2391"/>
      <c r="U18" s="2357"/>
      <c r="V18" s="2394"/>
      <c r="W18" s="1800" t="s">
        <v>2287</v>
      </c>
      <c r="X18" s="2399" t="s">
        <v>2288</v>
      </c>
      <c r="Y18" s="2500"/>
      <c r="Z18" s="2480"/>
      <c r="AA18" s="2480"/>
      <c r="AB18" s="2480"/>
      <c r="AC18" s="2480"/>
      <c r="AD18" s="2480"/>
      <c r="AE18" s="2480"/>
      <c r="AF18" s="2480"/>
      <c r="AG18" s="2480"/>
      <c r="AH18" s="2480"/>
      <c r="AI18" s="2480"/>
      <c r="AJ18" s="2480"/>
      <c r="AK18" s="2480"/>
      <c r="AL18" s="2480"/>
      <c r="AM18" s="2480"/>
      <c r="AN18" s="2474"/>
      <c r="AO18" s="2477"/>
      <c r="AP18" s="2477"/>
      <c r="AQ18" s="2451"/>
    </row>
    <row r="19" spans="1:64" s="1732" customFormat="1" ht="33" customHeight="1" x14ac:dyDescent="0.2">
      <c r="A19" s="1790"/>
      <c r="B19" s="2369"/>
      <c r="C19" s="2369"/>
      <c r="D19" s="1792"/>
      <c r="E19" s="2415"/>
      <c r="F19" s="2415"/>
      <c r="G19" s="1792"/>
      <c r="H19" s="2415"/>
      <c r="I19" s="2416"/>
      <c r="J19" s="2400"/>
      <c r="K19" s="2392"/>
      <c r="L19" s="2393"/>
      <c r="M19" s="2417"/>
      <c r="N19" s="1802"/>
      <c r="O19" s="2400"/>
      <c r="P19" s="2392"/>
      <c r="Q19" s="2446"/>
      <c r="R19" s="2466"/>
      <c r="S19" s="2392"/>
      <c r="T19" s="2392"/>
      <c r="U19" s="2393"/>
      <c r="V19" s="2395"/>
      <c r="W19" s="1803"/>
      <c r="X19" s="2400"/>
      <c r="Y19" s="2500"/>
      <c r="Z19" s="2480"/>
      <c r="AA19" s="2480"/>
      <c r="AB19" s="2480"/>
      <c r="AC19" s="2480"/>
      <c r="AD19" s="2480"/>
      <c r="AE19" s="2480"/>
      <c r="AF19" s="2480"/>
      <c r="AG19" s="2480"/>
      <c r="AH19" s="2480"/>
      <c r="AI19" s="2480"/>
      <c r="AJ19" s="2480"/>
      <c r="AK19" s="2480"/>
      <c r="AL19" s="2480"/>
      <c r="AM19" s="2480"/>
      <c r="AN19" s="2474"/>
      <c r="AO19" s="2477"/>
      <c r="AP19" s="2477"/>
      <c r="AQ19" s="2451"/>
    </row>
    <row r="20" spans="1:64" ht="39.75" customHeight="1" x14ac:dyDescent="0.2">
      <c r="A20" s="1790"/>
      <c r="B20" s="1791"/>
      <c r="C20" s="1791"/>
      <c r="D20" s="1792"/>
      <c r="E20" s="1793"/>
      <c r="F20" s="1793"/>
      <c r="G20" s="1792"/>
      <c r="H20" s="2415"/>
      <c r="I20" s="2416"/>
      <c r="J20" s="2408">
        <v>9</v>
      </c>
      <c r="K20" s="2430" t="s">
        <v>2271</v>
      </c>
      <c r="L20" s="2356" t="s">
        <v>2272</v>
      </c>
      <c r="M20" s="2502">
        <v>5</v>
      </c>
      <c r="N20" s="1795"/>
      <c r="O20" s="2503" t="s">
        <v>2289</v>
      </c>
      <c r="P20" s="2430" t="s">
        <v>2290</v>
      </c>
      <c r="Q20" s="2494">
        <v>1</v>
      </c>
      <c r="R20" s="2495">
        <f>+V20+V24</f>
        <v>827033704</v>
      </c>
      <c r="S20" s="2430" t="s">
        <v>2291</v>
      </c>
      <c r="T20" s="2490" t="s">
        <v>2292</v>
      </c>
      <c r="U20" s="2360" t="s">
        <v>2277</v>
      </c>
      <c r="V20" s="2482">
        <f>646081112+54317072+126635520</f>
        <v>827033704</v>
      </c>
      <c r="W20" s="2386">
        <v>27</v>
      </c>
      <c r="X20" s="2498" t="s">
        <v>2278</v>
      </c>
      <c r="Y20" s="2499">
        <v>292684</v>
      </c>
      <c r="Z20" s="2479">
        <v>282326</v>
      </c>
      <c r="AA20" s="2479">
        <v>135912</v>
      </c>
      <c r="AB20" s="2479">
        <v>45122</v>
      </c>
      <c r="AC20" s="2479">
        <v>307101</v>
      </c>
      <c r="AD20" s="2479">
        <v>86875</v>
      </c>
      <c r="AE20" s="2479">
        <v>2145</v>
      </c>
      <c r="AF20" s="2479">
        <v>12718</v>
      </c>
      <c r="AG20" s="2479">
        <v>26</v>
      </c>
      <c r="AH20" s="2479">
        <v>37</v>
      </c>
      <c r="AI20" s="2479">
        <v>0</v>
      </c>
      <c r="AJ20" s="2479">
        <v>0</v>
      </c>
      <c r="AK20" s="2479">
        <v>53164</v>
      </c>
      <c r="AL20" s="2479">
        <v>16982</v>
      </c>
      <c r="AM20" s="2479">
        <v>60013</v>
      </c>
      <c r="AN20" s="2473">
        <f t="shared" ref="AN20" si="0">SUM(Y20:Z27)</f>
        <v>575010</v>
      </c>
      <c r="AO20" s="2476">
        <v>43101</v>
      </c>
      <c r="AP20" s="2476">
        <v>43465</v>
      </c>
      <c r="AQ20" s="2450" t="s">
        <v>2279</v>
      </c>
      <c r="AR20" s="1732"/>
      <c r="AS20" s="1732"/>
      <c r="AT20" s="1732"/>
      <c r="AU20" s="1732"/>
      <c r="AV20" s="1732"/>
      <c r="AW20" s="1732"/>
      <c r="AX20" s="1732"/>
      <c r="AY20" s="1732"/>
      <c r="AZ20" s="1732"/>
      <c r="BA20" s="1732"/>
      <c r="BB20" s="1732"/>
      <c r="BC20" s="1732"/>
      <c r="BD20" s="1732"/>
      <c r="BE20" s="1732"/>
      <c r="BF20" s="1732"/>
      <c r="BG20" s="1732"/>
      <c r="BH20" s="1732"/>
      <c r="BI20" s="1732"/>
      <c r="BJ20" s="1732"/>
      <c r="BK20" s="1732"/>
      <c r="BL20" s="1732"/>
    </row>
    <row r="21" spans="1:64" ht="39.75" customHeight="1" x14ac:dyDescent="0.2">
      <c r="A21" s="1790"/>
      <c r="B21" s="2369"/>
      <c r="C21" s="2369"/>
      <c r="D21" s="1792"/>
      <c r="E21" s="2415"/>
      <c r="F21" s="2415"/>
      <c r="G21" s="1792"/>
      <c r="H21" s="2415"/>
      <c r="I21" s="2416"/>
      <c r="J21" s="2408"/>
      <c r="K21" s="2430"/>
      <c r="L21" s="2357"/>
      <c r="M21" s="2502"/>
      <c r="N21" s="1802"/>
      <c r="O21" s="2503"/>
      <c r="P21" s="2430"/>
      <c r="Q21" s="2494"/>
      <c r="R21" s="2495"/>
      <c r="S21" s="2430"/>
      <c r="T21" s="2491"/>
      <c r="U21" s="2361"/>
      <c r="V21" s="2394"/>
      <c r="W21" s="2436"/>
      <c r="X21" s="2496"/>
      <c r="Y21" s="2500"/>
      <c r="Z21" s="2480"/>
      <c r="AA21" s="2480"/>
      <c r="AB21" s="2480"/>
      <c r="AC21" s="2480"/>
      <c r="AD21" s="2480"/>
      <c r="AE21" s="2480"/>
      <c r="AF21" s="2480"/>
      <c r="AG21" s="2480"/>
      <c r="AH21" s="2480"/>
      <c r="AI21" s="2480"/>
      <c r="AJ21" s="2480"/>
      <c r="AK21" s="2480"/>
      <c r="AL21" s="2480"/>
      <c r="AM21" s="2480"/>
      <c r="AN21" s="2474"/>
      <c r="AO21" s="2477"/>
      <c r="AP21" s="2477"/>
      <c r="AQ21" s="2451"/>
      <c r="AR21" s="1732"/>
      <c r="AS21" s="1732"/>
      <c r="AT21" s="1732"/>
      <c r="AU21" s="1732"/>
      <c r="AV21" s="1732"/>
      <c r="AW21" s="1732"/>
      <c r="AX21" s="1732"/>
      <c r="AY21" s="1732"/>
      <c r="AZ21" s="1732"/>
      <c r="BA21" s="1732"/>
      <c r="BB21" s="1732"/>
      <c r="BC21" s="1732"/>
      <c r="BD21" s="1732"/>
      <c r="BE21" s="1732"/>
      <c r="BF21" s="1732"/>
      <c r="BG21" s="1732"/>
      <c r="BH21" s="1732"/>
      <c r="BI21" s="1732"/>
      <c r="BJ21" s="1732"/>
      <c r="BK21" s="1732"/>
      <c r="BL21" s="1732"/>
    </row>
    <row r="22" spans="1:64" ht="39.75" customHeight="1" x14ac:dyDescent="0.2">
      <c r="A22" s="1790"/>
      <c r="B22" s="1791"/>
      <c r="C22" s="1791"/>
      <c r="D22" s="1792"/>
      <c r="E22" s="1793"/>
      <c r="F22" s="1793"/>
      <c r="G22" s="1792"/>
      <c r="H22" s="1793"/>
      <c r="I22" s="1798"/>
      <c r="J22" s="2408"/>
      <c r="K22" s="2430"/>
      <c r="L22" s="2357"/>
      <c r="M22" s="2502"/>
      <c r="N22" s="2504" t="s">
        <v>2293</v>
      </c>
      <c r="O22" s="2503"/>
      <c r="P22" s="2430"/>
      <c r="Q22" s="2494"/>
      <c r="R22" s="2495"/>
      <c r="S22" s="2430"/>
      <c r="T22" s="2491"/>
      <c r="U22" s="2361"/>
      <c r="V22" s="2394"/>
      <c r="W22" s="2436"/>
      <c r="X22" s="2496"/>
      <c r="Y22" s="2500"/>
      <c r="Z22" s="2480"/>
      <c r="AA22" s="2480"/>
      <c r="AB22" s="2480"/>
      <c r="AC22" s="2480"/>
      <c r="AD22" s="2480"/>
      <c r="AE22" s="2480"/>
      <c r="AF22" s="2480"/>
      <c r="AG22" s="2480"/>
      <c r="AH22" s="2480"/>
      <c r="AI22" s="2480"/>
      <c r="AJ22" s="2480"/>
      <c r="AK22" s="2480"/>
      <c r="AL22" s="2480"/>
      <c r="AM22" s="2480"/>
      <c r="AN22" s="2474"/>
      <c r="AO22" s="2477"/>
      <c r="AP22" s="2477"/>
      <c r="AQ22" s="2451"/>
      <c r="AR22" s="1732"/>
      <c r="AS22" s="1732"/>
      <c r="AT22" s="1732"/>
      <c r="AU22" s="1732"/>
      <c r="AV22" s="1732"/>
      <c r="AW22" s="1732"/>
      <c r="AX22" s="1732"/>
      <c r="AY22" s="1732"/>
      <c r="AZ22" s="1732"/>
      <c r="BA22" s="1732"/>
      <c r="BB22" s="1732"/>
      <c r="BC22" s="1732"/>
      <c r="BD22" s="1732"/>
      <c r="BE22" s="1732"/>
      <c r="BF22" s="1732"/>
      <c r="BG22" s="1732"/>
      <c r="BH22" s="1732"/>
      <c r="BI22" s="1732"/>
      <c r="BJ22" s="1732"/>
      <c r="BK22" s="1732"/>
      <c r="BL22" s="1732"/>
    </row>
    <row r="23" spans="1:64" ht="39.75" customHeight="1" x14ac:dyDescent="0.2">
      <c r="A23" s="1790"/>
      <c r="B23" s="1791"/>
      <c r="C23" s="1791"/>
      <c r="D23" s="1792"/>
      <c r="E23" s="1793"/>
      <c r="F23" s="1793"/>
      <c r="G23" s="1792"/>
      <c r="H23" s="1793"/>
      <c r="I23" s="1798"/>
      <c r="J23" s="2408"/>
      <c r="K23" s="2430"/>
      <c r="L23" s="2357"/>
      <c r="M23" s="2502"/>
      <c r="N23" s="2504"/>
      <c r="O23" s="2503"/>
      <c r="P23" s="2430"/>
      <c r="Q23" s="2494"/>
      <c r="R23" s="2495"/>
      <c r="S23" s="2430"/>
      <c r="T23" s="2492"/>
      <c r="U23" s="2361"/>
      <c r="V23" s="2394"/>
      <c r="W23" s="2436"/>
      <c r="X23" s="2496"/>
      <c r="Y23" s="2500"/>
      <c r="Z23" s="2480"/>
      <c r="AA23" s="2480"/>
      <c r="AB23" s="2480"/>
      <c r="AC23" s="2480"/>
      <c r="AD23" s="2480"/>
      <c r="AE23" s="2480"/>
      <c r="AF23" s="2480"/>
      <c r="AG23" s="2480"/>
      <c r="AH23" s="2480"/>
      <c r="AI23" s="2480"/>
      <c r="AJ23" s="2480"/>
      <c r="AK23" s="2480"/>
      <c r="AL23" s="2480"/>
      <c r="AM23" s="2480"/>
      <c r="AN23" s="2474"/>
      <c r="AO23" s="2477"/>
      <c r="AP23" s="2477"/>
      <c r="AQ23" s="2451"/>
      <c r="AR23" s="1732"/>
      <c r="AS23" s="1732"/>
      <c r="AT23" s="1732"/>
      <c r="AU23" s="1732"/>
      <c r="AV23" s="1732"/>
      <c r="AW23" s="1732"/>
      <c r="AX23" s="1732"/>
      <c r="AY23" s="1732"/>
      <c r="AZ23" s="1732"/>
      <c r="BA23" s="1732"/>
      <c r="BB23" s="1732"/>
      <c r="BC23" s="1732"/>
      <c r="BD23" s="1732"/>
      <c r="BE23" s="1732"/>
      <c r="BF23" s="1732"/>
      <c r="BG23" s="1732"/>
      <c r="BH23" s="1732"/>
      <c r="BI23" s="1732"/>
      <c r="BJ23" s="1732"/>
      <c r="BK23" s="1732"/>
      <c r="BL23" s="1732"/>
    </row>
    <row r="24" spans="1:64" ht="39.75" customHeight="1" x14ac:dyDescent="0.2">
      <c r="A24" s="1790"/>
      <c r="B24" s="1791"/>
      <c r="C24" s="1791"/>
      <c r="D24" s="1792"/>
      <c r="E24" s="1793"/>
      <c r="F24" s="1793"/>
      <c r="G24" s="1792"/>
      <c r="H24" s="1793"/>
      <c r="I24" s="1798"/>
      <c r="J24" s="2408"/>
      <c r="K24" s="2430"/>
      <c r="L24" s="2357"/>
      <c r="M24" s="2502"/>
      <c r="N24" s="2504" t="s">
        <v>2294</v>
      </c>
      <c r="O24" s="2503"/>
      <c r="P24" s="2430"/>
      <c r="Q24" s="2494"/>
      <c r="R24" s="2495"/>
      <c r="S24" s="2430"/>
      <c r="T24" s="2390" t="s">
        <v>2295</v>
      </c>
      <c r="U24" s="2361"/>
      <c r="V24" s="2394"/>
      <c r="W24" s="2436">
        <v>82</v>
      </c>
      <c r="X24" s="2496" t="s">
        <v>2296</v>
      </c>
      <c r="Y24" s="2500"/>
      <c r="Z24" s="2480"/>
      <c r="AA24" s="2480"/>
      <c r="AB24" s="2480"/>
      <c r="AC24" s="2480"/>
      <c r="AD24" s="2480"/>
      <c r="AE24" s="2480"/>
      <c r="AF24" s="2480"/>
      <c r="AG24" s="2480"/>
      <c r="AH24" s="2480"/>
      <c r="AI24" s="2480"/>
      <c r="AJ24" s="2480"/>
      <c r="AK24" s="2480"/>
      <c r="AL24" s="2480"/>
      <c r="AM24" s="2480"/>
      <c r="AN24" s="2474"/>
      <c r="AO24" s="2477"/>
      <c r="AP24" s="2477"/>
      <c r="AQ24" s="2451"/>
      <c r="AR24" s="1732"/>
      <c r="AS24" s="1732"/>
      <c r="AT24" s="1732"/>
      <c r="AU24" s="1732"/>
      <c r="AV24" s="1732"/>
      <c r="AW24" s="1732"/>
      <c r="AX24" s="1732"/>
      <c r="AY24" s="1732"/>
      <c r="AZ24" s="1732"/>
      <c r="BA24" s="1732"/>
      <c r="BB24" s="1732"/>
      <c r="BC24" s="1732"/>
      <c r="BD24" s="1732"/>
      <c r="BE24" s="1732"/>
      <c r="BF24" s="1732"/>
      <c r="BG24" s="1732"/>
      <c r="BH24" s="1732"/>
      <c r="BI24" s="1732"/>
      <c r="BJ24" s="1732"/>
      <c r="BK24" s="1732"/>
      <c r="BL24" s="1732"/>
    </row>
    <row r="25" spans="1:64" ht="39.75" customHeight="1" x14ac:dyDescent="0.2">
      <c r="A25" s="1790"/>
      <c r="B25" s="1791"/>
      <c r="C25" s="1791"/>
      <c r="D25" s="1792"/>
      <c r="E25" s="1793"/>
      <c r="F25" s="1793"/>
      <c r="G25" s="1792"/>
      <c r="H25" s="1793"/>
      <c r="I25" s="1798"/>
      <c r="J25" s="2408"/>
      <c r="K25" s="2430"/>
      <c r="L25" s="2357"/>
      <c r="M25" s="2502"/>
      <c r="N25" s="2504"/>
      <c r="O25" s="2503"/>
      <c r="P25" s="2430"/>
      <c r="Q25" s="2494"/>
      <c r="R25" s="2495"/>
      <c r="S25" s="2430"/>
      <c r="T25" s="2391"/>
      <c r="U25" s="2361"/>
      <c r="V25" s="2394"/>
      <c r="W25" s="2436"/>
      <c r="X25" s="2496"/>
      <c r="Y25" s="2500"/>
      <c r="Z25" s="2480"/>
      <c r="AA25" s="2480"/>
      <c r="AB25" s="2480"/>
      <c r="AC25" s="2480"/>
      <c r="AD25" s="2480"/>
      <c r="AE25" s="2480"/>
      <c r="AF25" s="2480"/>
      <c r="AG25" s="2480"/>
      <c r="AH25" s="2480"/>
      <c r="AI25" s="2480"/>
      <c r="AJ25" s="2480"/>
      <c r="AK25" s="2480"/>
      <c r="AL25" s="2480"/>
      <c r="AM25" s="2480"/>
      <c r="AN25" s="2474"/>
      <c r="AO25" s="2477"/>
      <c r="AP25" s="2477"/>
      <c r="AQ25" s="2451"/>
      <c r="AR25" s="1732"/>
      <c r="AS25" s="1732"/>
      <c r="AT25" s="1732"/>
      <c r="AU25" s="1732"/>
      <c r="AV25" s="1732"/>
      <c r="AW25" s="1732"/>
      <c r="AX25" s="1732"/>
      <c r="AY25" s="1732"/>
      <c r="AZ25" s="1732"/>
      <c r="BA25" s="1732"/>
      <c r="BB25" s="1732"/>
      <c r="BC25" s="1732"/>
      <c r="BD25" s="1732"/>
      <c r="BE25" s="1732"/>
      <c r="BF25" s="1732"/>
      <c r="BG25" s="1732"/>
      <c r="BH25" s="1732"/>
      <c r="BI25" s="1732"/>
      <c r="BJ25" s="1732"/>
      <c r="BK25" s="1732"/>
      <c r="BL25" s="1732"/>
    </row>
    <row r="26" spans="1:64" ht="39.75" customHeight="1" x14ac:dyDescent="0.2">
      <c r="A26" s="1790"/>
      <c r="B26" s="2369"/>
      <c r="C26" s="2369"/>
      <c r="D26" s="1792"/>
      <c r="E26" s="2415"/>
      <c r="F26" s="2415"/>
      <c r="G26" s="1792"/>
      <c r="H26" s="2415"/>
      <c r="I26" s="2416"/>
      <c r="J26" s="2408"/>
      <c r="K26" s="2430"/>
      <c r="L26" s="2357"/>
      <c r="M26" s="2502"/>
      <c r="N26" s="1802"/>
      <c r="O26" s="2503"/>
      <c r="P26" s="2430"/>
      <c r="Q26" s="2494"/>
      <c r="R26" s="2495"/>
      <c r="S26" s="2430"/>
      <c r="T26" s="2391"/>
      <c r="U26" s="2361"/>
      <c r="V26" s="2394"/>
      <c r="W26" s="2436"/>
      <c r="X26" s="2496"/>
      <c r="Y26" s="2500"/>
      <c r="Z26" s="2480"/>
      <c r="AA26" s="2480"/>
      <c r="AB26" s="2480"/>
      <c r="AC26" s="2480"/>
      <c r="AD26" s="2480"/>
      <c r="AE26" s="2480"/>
      <c r="AF26" s="2480"/>
      <c r="AG26" s="2480"/>
      <c r="AH26" s="2480"/>
      <c r="AI26" s="2480"/>
      <c r="AJ26" s="2480"/>
      <c r="AK26" s="2480"/>
      <c r="AL26" s="2480"/>
      <c r="AM26" s="2480"/>
      <c r="AN26" s="2474"/>
      <c r="AO26" s="2477"/>
      <c r="AP26" s="2477"/>
      <c r="AQ26" s="2451"/>
      <c r="AR26" s="1732"/>
      <c r="AS26" s="1732"/>
      <c r="AT26" s="1732"/>
      <c r="AU26" s="1732"/>
      <c r="AV26" s="1732"/>
      <c r="AW26" s="1732"/>
      <c r="AX26" s="1732"/>
      <c r="AY26" s="1732"/>
      <c r="AZ26" s="1732"/>
      <c r="BA26" s="1732"/>
      <c r="BB26" s="1732"/>
      <c r="BC26" s="1732"/>
      <c r="BD26" s="1732"/>
      <c r="BE26" s="1732"/>
      <c r="BF26" s="1732"/>
      <c r="BG26" s="1732"/>
      <c r="BH26" s="1732"/>
      <c r="BI26" s="1732"/>
      <c r="BJ26" s="1732"/>
      <c r="BK26" s="1732"/>
      <c r="BL26" s="1732"/>
    </row>
    <row r="27" spans="1:64" ht="39.75" customHeight="1" x14ac:dyDescent="0.2">
      <c r="A27" s="1790"/>
      <c r="B27" s="2369"/>
      <c r="C27" s="2369"/>
      <c r="D27" s="1792"/>
      <c r="E27" s="2415"/>
      <c r="F27" s="2415"/>
      <c r="G27" s="1792"/>
      <c r="H27" s="2415"/>
      <c r="I27" s="2416"/>
      <c r="J27" s="2408"/>
      <c r="K27" s="2430"/>
      <c r="L27" s="2393"/>
      <c r="M27" s="2502"/>
      <c r="N27" s="1804"/>
      <c r="O27" s="2503"/>
      <c r="P27" s="2430"/>
      <c r="Q27" s="2494"/>
      <c r="R27" s="2495"/>
      <c r="S27" s="2430"/>
      <c r="T27" s="2392"/>
      <c r="U27" s="2497"/>
      <c r="V27" s="2395"/>
      <c r="W27" s="2436"/>
      <c r="X27" s="2496"/>
      <c r="Y27" s="2501"/>
      <c r="Z27" s="2481"/>
      <c r="AA27" s="2481"/>
      <c r="AB27" s="2481"/>
      <c r="AC27" s="2481"/>
      <c r="AD27" s="2481"/>
      <c r="AE27" s="2481"/>
      <c r="AF27" s="2481"/>
      <c r="AG27" s="2481"/>
      <c r="AH27" s="2481"/>
      <c r="AI27" s="2481"/>
      <c r="AJ27" s="2481"/>
      <c r="AK27" s="2481"/>
      <c r="AL27" s="2481"/>
      <c r="AM27" s="2481"/>
      <c r="AN27" s="2475"/>
      <c r="AO27" s="2478"/>
      <c r="AP27" s="2478"/>
      <c r="AQ27" s="2451"/>
      <c r="AR27" s="1732"/>
      <c r="AS27" s="1732"/>
      <c r="AT27" s="1732"/>
      <c r="AU27" s="1732"/>
      <c r="AV27" s="1732"/>
      <c r="AW27" s="1732"/>
      <c r="AX27" s="1732"/>
      <c r="AY27" s="1732"/>
      <c r="AZ27" s="1732"/>
      <c r="BA27" s="1732"/>
      <c r="BB27" s="1732"/>
      <c r="BC27" s="1732"/>
      <c r="BD27" s="1732"/>
      <c r="BE27" s="1732"/>
      <c r="BF27" s="1732"/>
      <c r="BG27" s="1732"/>
      <c r="BH27" s="1732"/>
      <c r="BI27" s="1732"/>
      <c r="BJ27" s="1732"/>
      <c r="BK27" s="1732"/>
      <c r="BL27" s="1732"/>
    </row>
    <row r="28" spans="1:64" ht="27.75" customHeight="1" x14ac:dyDescent="0.2">
      <c r="A28" s="1790"/>
      <c r="B28" s="1791"/>
      <c r="C28" s="1791"/>
      <c r="D28" s="1792"/>
      <c r="E28" s="1793"/>
      <c r="F28" s="1793"/>
      <c r="G28" s="1792"/>
      <c r="H28" s="2415"/>
      <c r="I28" s="2416"/>
      <c r="J28" s="2408">
        <v>10</v>
      </c>
      <c r="K28" s="2430" t="s">
        <v>2297</v>
      </c>
      <c r="L28" s="2356" t="s">
        <v>2298</v>
      </c>
      <c r="M28" s="2493">
        <v>5</v>
      </c>
      <c r="N28" s="2393" t="s">
        <v>2299</v>
      </c>
      <c r="O28" s="2408" t="s">
        <v>2300</v>
      </c>
      <c r="P28" s="2430" t="s">
        <v>2301</v>
      </c>
      <c r="Q28" s="2494">
        <f>SUM(V28)/R28</f>
        <v>1</v>
      </c>
      <c r="R28" s="2495">
        <f>+V28</f>
        <v>80000000</v>
      </c>
      <c r="S28" s="2430" t="s">
        <v>2302</v>
      </c>
      <c r="T28" s="2490" t="s">
        <v>2303</v>
      </c>
      <c r="U28" s="2356" t="s">
        <v>2304</v>
      </c>
      <c r="V28" s="2405">
        <v>80000000</v>
      </c>
      <c r="W28" s="2385">
        <v>27</v>
      </c>
      <c r="X28" s="2399" t="s">
        <v>2305</v>
      </c>
      <c r="Y28" s="2479">
        <v>292684</v>
      </c>
      <c r="Z28" s="2479">
        <v>282326</v>
      </c>
      <c r="AA28" s="2479">
        <v>135912</v>
      </c>
      <c r="AB28" s="2479">
        <v>45122</v>
      </c>
      <c r="AC28" s="2479">
        <v>307101</v>
      </c>
      <c r="AD28" s="2479">
        <v>86875</v>
      </c>
      <c r="AE28" s="2479">
        <v>2145</v>
      </c>
      <c r="AF28" s="2479">
        <v>12718</v>
      </c>
      <c r="AG28" s="2479">
        <v>26</v>
      </c>
      <c r="AH28" s="2479">
        <v>37</v>
      </c>
      <c r="AI28" s="2479">
        <v>0</v>
      </c>
      <c r="AJ28" s="2479">
        <v>0</v>
      </c>
      <c r="AK28" s="2479">
        <v>53164</v>
      </c>
      <c r="AL28" s="2479">
        <v>16982</v>
      </c>
      <c r="AM28" s="2479">
        <v>60010</v>
      </c>
      <c r="AN28" s="2473">
        <f t="shared" ref="AN28" si="1">SUM(Y28:Z35)</f>
        <v>575010</v>
      </c>
      <c r="AO28" s="2476">
        <v>43101</v>
      </c>
      <c r="AP28" s="2476">
        <v>43465</v>
      </c>
      <c r="AQ28" s="2450" t="s">
        <v>2279</v>
      </c>
      <c r="AR28" s="1732"/>
      <c r="AS28" s="1732"/>
      <c r="AT28" s="1732"/>
      <c r="AU28" s="1732"/>
      <c r="AV28" s="1732"/>
      <c r="AW28" s="1732"/>
      <c r="AX28" s="1732"/>
      <c r="AY28" s="1732"/>
      <c r="AZ28" s="1732"/>
      <c r="BA28" s="1732"/>
      <c r="BB28" s="1732"/>
      <c r="BC28" s="1732"/>
      <c r="BD28" s="1732"/>
      <c r="BE28" s="1732"/>
      <c r="BF28" s="1732"/>
      <c r="BG28" s="1732"/>
      <c r="BH28" s="1732"/>
      <c r="BI28" s="1732"/>
      <c r="BJ28" s="1732"/>
      <c r="BK28" s="1732"/>
      <c r="BL28" s="1732"/>
    </row>
    <row r="29" spans="1:64" ht="27.75" customHeight="1" x14ac:dyDescent="0.2">
      <c r="A29" s="1790"/>
      <c r="B29" s="2369"/>
      <c r="C29" s="2369"/>
      <c r="D29" s="1792"/>
      <c r="E29" s="2415"/>
      <c r="F29" s="2415"/>
      <c r="G29" s="1792"/>
      <c r="H29" s="2415"/>
      <c r="I29" s="2416"/>
      <c r="J29" s="2408"/>
      <c r="K29" s="2430"/>
      <c r="L29" s="2357"/>
      <c r="M29" s="2493"/>
      <c r="N29" s="2489"/>
      <c r="O29" s="2408"/>
      <c r="P29" s="2430"/>
      <c r="Q29" s="2494"/>
      <c r="R29" s="2495"/>
      <c r="S29" s="2430"/>
      <c r="T29" s="2491"/>
      <c r="U29" s="2357"/>
      <c r="V29" s="2405"/>
      <c r="W29" s="2385"/>
      <c r="X29" s="2399"/>
      <c r="Y29" s="2480"/>
      <c r="Z29" s="2480"/>
      <c r="AA29" s="2480"/>
      <c r="AB29" s="2480"/>
      <c r="AC29" s="2480"/>
      <c r="AD29" s="2480"/>
      <c r="AE29" s="2480"/>
      <c r="AF29" s="2480"/>
      <c r="AG29" s="2480"/>
      <c r="AH29" s="2480"/>
      <c r="AI29" s="2480"/>
      <c r="AJ29" s="2480"/>
      <c r="AK29" s="2480"/>
      <c r="AL29" s="2480"/>
      <c r="AM29" s="2480"/>
      <c r="AN29" s="2474"/>
      <c r="AO29" s="2477"/>
      <c r="AP29" s="2477"/>
      <c r="AQ29" s="2451"/>
      <c r="AR29" s="1732"/>
      <c r="AS29" s="1732"/>
      <c r="AT29" s="1732"/>
      <c r="AU29" s="1732"/>
      <c r="AV29" s="1732"/>
      <c r="AW29" s="1732"/>
      <c r="AX29" s="1732"/>
      <c r="AY29" s="1732"/>
      <c r="AZ29" s="1732"/>
      <c r="BA29" s="1732"/>
      <c r="BB29" s="1732"/>
      <c r="BC29" s="1732"/>
      <c r="BD29" s="1732"/>
      <c r="BE29" s="1732"/>
      <c r="BF29" s="1732"/>
      <c r="BG29" s="1732"/>
      <c r="BH29" s="1732"/>
      <c r="BI29" s="1732"/>
      <c r="BJ29" s="1732"/>
      <c r="BK29" s="1732"/>
      <c r="BL29" s="1732"/>
    </row>
    <row r="30" spans="1:64" ht="27.75" customHeight="1" x14ac:dyDescent="0.2">
      <c r="A30" s="1790"/>
      <c r="B30" s="1791"/>
      <c r="C30" s="1791"/>
      <c r="D30" s="1792"/>
      <c r="E30" s="1793"/>
      <c r="F30" s="1793"/>
      <c r="G30" s="1792"/>
      <c r="H30" s="1793"/>
      <c r="I30" s="1798"/>
      <c r="J30" s="2408"/>
      <c r="K30" s="2430"/>
      <c r="L30" s="2357"/>
      <c r="M30" s="2493"/>
      <c r="N30" s="2489"/>
      <c r="O30" s="2408"/>
      <c r="P30" s="2430"/>
      <c r="Q30" s="2494"/>
      <c r="R30" s="2495"/>
      <c r="S30" s="2430"/>
      <c r="T30" s="2491"/>
      <c r="U30" s="2357"/>
      <c r="V30" s="2405"/>
      <c r="W30" s="2385"/>
      <c r="X30" s="2399"/>
      <c r="Y30" s="2480"/>
      <c r="Z30" s="2480"/>
      <c r="AA30" s="2480"/>
      <c r="AB30" s="2480"/>
      <c r="AC30" s="2480"/>
      <c r="AD30" s="2480"/>
      <c r="AE30" s="2480"/>
      <c r="AF30" s="2480"/>
      <c r="AG30" s="2480"/>
      <c r="AH30" s="2480"/>
      <c r="AI30" s="2480"/>
      <c r="AJ30" s="2480"/>
      <c r="AK30" s="2480"/>
      <c r="AL30" s="2480"/>
      <c r="AM30" s="2480"/>
      <c r="AN30" s="2474"/>
      <c r="AO30" s="2477"/>
      <c r="AP30" s="2477"/>
      <c r="AQ30" s="2451"/>
      <c r="AR30" s="1732"/>
      <c r="AS30" s="1732"/>
      <c r="AT30" s="1732"/>
      <c r="AU30" s="1732"/>
      <c r="AV30" s="1732"/>
      <c r="AW30" s="1732"/>
      <c r="AX30" s="1732"/>
      <c r="AY30" s="1732"/>
      <c r="AZ30" s="1732"/>
      <c r="BA30" s="1732"/>
      <c r="BB30" s="1732"/>
      <c r="BC30" s="1732"/>
      <c r="BD30" s="1732"/>
      <c r="BE30" s="1732"/>
      <c r="BF30" s="1732"/>
      <c r="BG30" s="1732"/>
      <c r="BH30" s="1732"/>
      <c r="BI30" s="1732"/>
      <c r="BJ30" s="1732"/>
      <c r="BK30" s="1732"/>
      <c r="BL30" s="1732"/>
    </row>
    <row r="31" spans="1:64" ht="27.75" customHeight="1" x14ac:dyDescent="0.2">
      <c r="A31" s="1790"/>
      <c r="B31" s="1791"/>
      <c r="C31" s="1791"/>
      <c r="D31" s="1792"/>
      <c r="E31" s="1793"/>
      <c r="F31" s="1793"/>
      <c r="G31" s="1792"/>
      <c r="H31" s="1793"/>
      <c r="I31" s="1798"/>
      <c r="J31" s="2408"/>
      <c r="K31" s="2430"/>
      <c r="L31" s="2357"/>
      <c r="M31" s="2493"/>
      <c r="N31" s="2489"/>
      <c r="O31" s="2408"/>
      <c r="P31" s="2430"/>
      <c r="Q31" s="2494"/>
      <c r="R31" s="2495"/>
      <c r="S31" s="2430"/>
      <c r="T31" s="2492"/>
      <c r="U31" s="2357"/>
      <c r="V31" s="2405"/>
      <c r="W31" s="2385"/>
      <c r="X31" s="2399"/>
      <c r="Y31" s="2480"/>
      <c r="Z31" s="2480"/>
      <c r="AA31" s="2480"/>
      <c r="AB31" s="2480"/>
      <c r="AC31" s="2480"/>
      <c r="AD31" s="2480"/>
      <c r="AE31" s="2480"/>
      <c r="AF31" s="2480"/>
      <c r="AG31" s="2480"/>
      <c r="AH31" s="2480"/>
      <c r="AI31" s="2480"/>
      <c r="AJ31" s="2480"/>
      <c r="AK31" s="2480"/>
      <c r="AL31" s="2480"/>
      <c r="AM31" s="2480"/>
      <c r="AN31" s="2474"/>
      <c r="AO31" s="2477"/>
      <c r="AP31" s="2477"/>
      <c r="AQ31" s="2451"/>
      <c r="AR31" s="1732"/>
      <c r="AS31" s="1732"/>
      <c r="AT31" s="1732"/>
      <c r="AU31" s="1732"/>
      <c r="AV31" s="1732"/>
      <c r="AW31" s="1732"/>
      <c r="AX31" s="1732"/>
      <c r="AY31" s="1732"/>
      <c r="AZ31" s="1732"/>
      <c r="BA31" s="1732"/>
      <c r="BB31" s="1732"/>
      <c r="BC31" s="1732"/>
      <c r="BD31" s="1732"/>
      <c r="BE31" s="1732"/>
      <c r="BF31" s="1732"/>
      <c r="BG31" s="1732"/>
      <c r="BH31" s="1732"/>
      <c r="BI31" s="1732"/>
      <c r="BJ31" s="1732"/>
      <c r="BK31" s="1732"/>
      <c r="BL31" s="1732"/>
    </row>
    <row r="32" spans="1:64" ht="27.75" customHeight="1" x14ac:dyDescent="0.2">
      <c r="A32" s="1790"/>
      <c r="B32" s="1791"/>
      <c r="C32" s="1791"/>
      <c r="D32" s="1792"/>
      <c r="E32" s="1793"/>
      <c r="F32" s="1793"/>
      <c r="G32" s="1792"/>
      <c r="H32" s="1793"/>
      <c r="I32" s="1798"/>
      <c r="J32" s="2408"/>
      <c r="K32" s="2430"/>
      <c r="L32" s="2357"/>
      <c r="M32" s="2493"/>
      <c r="N32" s="2489"/>
      <c r="O32" s="2408"/>
      <c r="P32" s="2430"/>
      <c r="Q32" s="2494"/>
      <c r="R32" s="2495"/>
      <c r="S32" s="2430"/>
      <c r="T32" s="2430" t="s">
        <v>2306</v>
      </c>
      <c r="U32" s="2357"/>
      <c r="V32" s="2405"/>
      <c r="W32" s="2385"/>
      <c r="X32" s="2399"/>
      <c r="Y32" s="2480"/>
      <c r="Z32" s="2480"/>
      <c r="AA32" s="2480"/>
      <c r="AB32" s="2480"/>
      <c r="AC32" s="2480"/>
      <c r="AD32" s="2480"/>
      <c r="AE32" s="2480"/>
      <c r="AF32" s="2480"/>
      <c r="AG32" s="2480"/>
      <c r="AH32" s="2480"/>
      <c r="AI32" s="2480"/>
      <c r="AJ32" s="2480"/>
      <c r="AK32" s="2480"/>
      <c r="AL32" s="2480"/>
      <c r="AM32" s="2480"/>
      <c r="AN32" s="2474"/>
      <c r="AO32" s="2477"/>
      <c r="AP32" s="2477"/>
      <c r="AQ32" s="2451"/>
      <c r="AR32" s="1732"/>
      <c r="AS32" s="1732"/>
      <c r="AT32" s="1732"/>
      <c r="AU32" s="1732"/>
      <c r="AV32" s="1732"/>
      <c r="AW32" s="1732"/>
      <c r="AX32" s="1732"/>
      <c r="AY32" s="1732"/>
      <c r="AZ32" s="1732"/>
      <c r="BA32" s="1732"/>
      <c r="BB32" s="1732"/>
      <c r="BC32" s="1732"/>
      <c r="BD32" s="1732"/>
      <c r="BE32" s="1732"/>
      <c r="BF32" s="1732"/>
      <c r="BG32" s="1732"/>
      <c r="BH32" s="1732"/>
      <c r="BI32" s="1732"/>
      <c r="BJ32" s="1732"/>
      <c r="BK32" s="1732"/>
      <c r="BL32" s="1732"/>
    </row>
    <row r="33" spans="1:64" ht="27.75" customHeight="1" x14ac:dyDescent="0.2">
      <c r="A33" s="1790"/>
      <c r="B33" s="1791"/>
      <c r="C33" s="1791"/>
      <c r="D33" s="1792"/>
      <c r="E33" s="1793"/>
      <c r="F33" s="1793"/>
      <c r="G33" s="1792"/>
      <c r="H33" s="1793"/>
      <c r="I33" s="1798"/>
      <c r="J33" s="2408"/>
      <c r="K33" s="2430"/>
      <c r="L33" s="2357"/>
      <c r="M33" s="2493"/>
      <c r="N33" s="2489"/>
      <c r="O33" s="2408"/>
      <c r="P33" s="2430"/>
      <c r="Q33" s="2494"/>
      <c r="R33" s="2495"/>
      <c r="S33" s="2430"/>
      <c r="T33" s="2430"/>
      <c r="U33" s="2357"/>
      <c r="V33" s="2405"/>
      <c r="W33" s="2385"/>
      <c r="X33" s="2399"/>
      <c r="Y33" s="2480"/>
      <c r="Z33" s="2480"/>
      <c r="AA33" s="2480"/>
      <c r="AB33" s="2480"/>
      <c r="AC33" s="2480"/>
      <c r="AD33" s="2480"/>
      <c r="AE33" s="2480"/>
      <c r="AF33" s="2480"/>
      <c r="AG33" s="2480"/>
      <c r="AH33" s="2480"/>
      <c r="AI33" s="2480"/>
      <c r="AJ33" s="2480"/>
      <c r="AK33" s="2480"/>
      <c r="AL33" s="2480"/>
      <c r="AM33" s="2480"/>
      <c r="AN33" s="2474"/>
      <c r="AO33" s="2477"/>
      <c r="AP33" s="2477"/>
      <c r="AQ33" s="2451"/>
      <c r="AR33" s="1732"/>
      <c r="AS33" s="1732"/>
      <c r="AT33" s="1732"/>
      <c r="AU33" s="1732"/>
      <c r="AV33" s="1732"/>
      <c r="AW33" s="1732"/>
      <c r="AX33" s="1732"/>
      <c r="AY33" s="1732"/>
      <c r="AZ33" s="1732"/>
      <c r="BA33" s="1732"/>
      <c r="BB33" s="1732"/>
      <c r="BC33" s="1732"/>
      <c r="BD33" s="1732"/>
      <c r="BE33" s="1732"/>
      <c r="BF33" s="1732"/>
      <c r="BG33" s="1732"/>
      <c r="BH33" s="1732"/>
      <c r="BI33" s="1732"/>
      <c r="BJ33" s="1732"/>
      <c r="BK33" s="1732"/>
      <c r="BL33" s="1732"/>
    </row>
    <row r="34" spans="1:64" ht="27.75" customHeight="1" x14ac:dyDescent="0.2">
      <c r="A34" s="1790"/>
      <c r="B34" s="2369"/>
      <c r="C34" s="2369"/>
      <c r="D34" s="1792"/>
      <c r="E34" s="2415"/>
      <c r="F34" s="2415"/>
      <c r="G34" s="1792"/>
      <c r="H34" s="2415"/>
      <c r="I34" s="2416"/>
      <c r="J34" s="2408"/>
      <c r="K34" s="2430"/>
      <c r="L34" s="2357"/>
      <c r="M34" s="2493"/>
      <c r="N34" s="2489"/>
      <c r="O34" s="2408"/>
      <c r="P34" s="2430"/>
      <c r="Q34" s="2494"/>
      <c r="R34" s="2495"/>
      <c r="S34" s="2430"/>
      <c r="T34" s="2430"/>
      <c r="U34" s="2357"/>
      <c r="V34" s="2405"/>
      <c r="W34" s="2385"/>
      <c r="X34" s="2399"/>
      <c r="Y34" s="2480"/>
      <c r="Z34" s="2480"/>
      <c r="AA34" s="2480"/>
      <c r="AB34" s="2480"/>
      <c r="AC34" s="2480"/>
      <c r="AD34" s="2480"/>
      <c r="AE34" s="2480"/>
      <c r="AF34" s="2480"/>
      <c r="AG34" s="2480"/>
      <c r="AH34" s="2480"/>
      <c r="AI34" s="2480"/>
      <c r="AJ34" s="2480"/>
      <c r="AK34" s="2480"/>
      <c r="AL34" s="2480"/>
      <c r="AM34" s="2480"/>
      <c r="AN34" s="2474"/>
      <c r="AO34" s="2477"/>
      <c r="AP34" s="2477"/>
      <c r="AQ34" s="2451"/>
      <c r="AR34" s="1732"/>
      <c r="AS34" s="1732"/>
      <c r="AT34" s="1732"/>
      <c r="AU34" s="1732"/>
      <c r="AV34" s="1732"/>
      <c r="AW34" s="1732"/>
      <c r="AX34" s="1732"/>
      <c r="AY34" s="1732"/>
      <c r="AZ34" s="1732"/>
      <c r="BA34" s="1732"/>
      <c r="BB34" s="1732"/>
      <c r="BC34" s="1732"/>
      <c r="BD34" s="1732"/>
      <c r="BE34" s="1732"/>
      <c r="BF34" s="1732"/>
      <c r="BG34" s="1732"/>
      <c r="BH34" s="1732"/>
      <c r="BI34" s="1732"/>
      <c r="BJ34" s="1732"/>
      <c r="BK34" s="1732"/>
      <c r="BL34" s="1732"/>
    </row>
    <row r="35" spans="1:64" ht="27.75" customHeight="1" x14ac:dyDescent="0.2">
      <c r="A35" s="1790"/>
      <c r="B35" s="2369"/>
      <c r="C35" s="2369"/>
      <c r="D35" s="1792"/>
      <c r="E35" s="2415"/>
      <c r="F35" s="2415"/>
      <c r="G35" s="1792"/>
      <c r="H35" s="2415"/>
      <c r="I35" s="2416"/>
      <c r="J35" s="2408"/>
      <c r="K35" s="2430"/>
      <c r="L35" s="2393"/>
      <c r="M35" s="2493"/>
      <c r="N35" s="2489"/>
      <c r="O35" s="2408"/>
      <c r="P35" s="2430"/>
      <c r="Q35" s="2494"/>
      <c r="R35" s="2495"/>
      <c r="S35" s="2430"/>
      <c r="T35" s="2430"/>
      <c r="U35" s="2393"/>
      <c r="V35" s="2406"/>
      <c r="W35" s="2386"/>
      <c r="X35" s="2400"/>
      <c r="Y35" s="2481"/>
      <c r="Z35" s="2481"/>
      <c r="AA35" s="2481"/>
      <c r="AB35" s="2481"/>
      <c r="AC35" s="2481"/>
      <c r="AD35" s="2481"/>
      <c r="AE35" s="2481"/>
      <c r="AF35" s="2481"/>
      <c r="AG35" s="2481"/>
      <c r="AH35" s="2481"/>
      <c r="AI35" s="2481"/>
      <c r="AJ35" s="2481"/>
      <c r="AK35" s="2481"/>
      <c r="AL35" s="2481"/>
      <c r="AM35" s="2481"/>
      <c r="AN35" s="2475"/>
      <c r="AO35" s="2478"/>
      <c r="AP35" s="2478"/>
      <c r="AQ35" s="2451"/>
      <c r="AR35" s="1732"/>
      <c r="AS35" s="1732"/>
      <c r="AT35" s="1732"/>
      <c r="AU35" s="1732"/>
      <c r="AV35" s="1732"/>
      <c r="AW35" s="1732"/>
      <c r="AX35" s="1732"/>
      <c r="AY35" s="1732"/>
      <c r="AZ35" s="1732"/>
      <c r="BA35" s="1732"/>
      <c r="BB35" s="1732"/>
      <c r="BC35" s="1732"/>
      <c r="BD35" s="1732"/>
      <c r="BE35" s="1732"/>
      <c r="BF35" s="1732"/>
      <c r="BG35" s="1732"/>
      <c r="BH35" s="1732"/>
      <c r="BI35" s="1732"/>
      <c r="BJ35" s="1732"/>
      <c r="BK35" s="1732"/>
      <c r="BL35" s="1732"/>
    </row>
    <row r="36" spans="1:64" ht="35.1" customHeight="1" x14ac:dyDescent="0.2">
      <c r="A36" s="1790"/>
      <c r="B36" s="1791"/>
      <c r="C36" s="1791"/>
      <c r="D36" s="1792"/>
      <c r="E36" s="1793"/>
      <c r="F36" s="1793"/>
      <c r="G36" s="1792"/>
      <c r="H36" s="2415"/>
      <c r="I36" s="2416"/>
      <c r="J36" s="2408">
        <v>11</v>
      </c>
      <c r="K36" s="2430" t="s">
        <v>2307</v>
      </c>
      <c r="L36" s="2356" t="s">
        <v>2308</v>
      </c>
      <c r="M36" s="2493">
        <v>1</v>
      </c>
      <c r="N36" s="2489" t="s">
        <v>2309</v>
      </c>
      <c r="O36" s="2408" t="s">
        <v>2310</v>
      </c>
      <c r="P36" s="2430" t="s">
        <v>2311</v>
      </c>
      <c r="Q36" s="2494">
        <f>SUM(V36)/R36</f>
        <v>1</v>
      </c>
      <c r="R36" s="2495">
        <f>+V36</f>
        <v>312000000</v>
      </c>
      <c r="S36" s="2430" t="s">
        <v>2312</v>
      </c>
      <c r="T36" s="2490" t="s">
        <v>2313</v>
      </c>
      <c r="U36" s="2356" t="s">
        <v>2314</v>
      </c>
      <c r="V36" s="2404">
        <v>312000000</v>
      </c>
      <c r="W36" s="2384">
        <v>27</v>
      </c>
      <c r="X36" s="2398" t="s">
        <v>2305</v>
      </c>
      <c r="Y36" s="2479">
        <v>292684</v>
      </c>
      <c r="Z36" s="2479">
        <v>282326</v>
      </c>
      <c r="AA36" s="2479">
        <v>135912</v>
      </c>
      <c r="AB36" s="2479">
        <v>45122</v>
      </c>
      <c r="AC36" s="2479">
        <v>307101</v>
      </c>
      <c r="AD36" s="2479">
        <v>86875</v>
      </c>
      <c r="AE36" s="2479">
        <v>2145</v>
      </c>
      <c r="AF36" s="2479">
        <v>12718</v>
      </c>
      <c r="AG36" s="2479">
        <v>26</v>
      </c>
      <c r="AH36" s="2479">
        <v>37</v>
      </c>
      <c r="AI36" s="2479">
        <v>0</v>
      </c>
      <c r="AJ36" s="2479">
        <v>0</v>
      </c>
      <c r="AK36" s="2479">
        <v>53164</v>
      </c>
      <c r="AL36" s="2479">
        <v>16982</v>
      </c>
      <c r="AM36" s="2479">
        <v>60007</v>
      </c>
      <c r="AN36" s="2473">
        <f t="shared" ref="AN36" si="2">SUM(Y36:Z43)</f>
        <v>575010</v>
      </c>
      <c r="AO36" s="2476">
        <v>43101</v>
      </c>
      <c r="AP36" s="2476">
        <v>43465</v>
      </c>
      <c r="AQ36" s="2450" t="s">
        <v>2279</v>
      </c>
      <c r="AR36" s="1732"/>
      <c r="AS36" s="1732"/>
      <c r="AT36" s="1732"/>
      <c r="AU36" s="1732"/>
      <c r="AV36" s="1732"/>
      <c r="AW36" s="1732"/>
      <c r="AX36" s="1732"/>
      <c r="AY36" s="1732"/>
      <c r="AZ36" s="1732"/>
      <c r="BA36" s="1732"/>
      <c r="BB36" s="1732"/>
      <c r="BC36" s="1732"/>
      <c r="BD36" s="1732"/>
      <c r="BE36" s="1732"/>
      <c r="BF36" s="1732"/>
      <c r="BG36" s="1732"/>
      <c r="BH36" s="1732"/>
      <c r="BI36" s="1732"/>
      <c r="BJ36" s="1732"/>
      <c r="BK36" s="1732"/>
      <c r="BL36" s="1732"/>
    </row>
    <row r="37" spans="1:64" ht="35.1" customHeight="1" x14ac:dyDescent="0.2">
      <c r="A37" s="1790"/>
      <c r="B37" s="2369"/>
      <c r="C37" s="2369"/>
      <c r="D37" s="1792"/>
      <c r="E37" s="2415"/>
      <c r="F37" s="2415"/>
      <c r="G37" s="1792"/>
      <c r="H37" s="2415"/>
      <c r="I37" s="2416"/>
      <c r="J37" s="2408"/>
      <c r="K37" s="2430"/>
      <c r="L37" s="2357"/>
      <c r="M37" s="2493"/>
      <c r="N37" s="2489"/>
      <c r="O37" s="2408"/>
      <c r="P37" s="2430"/>
      <c r="Q37" s="2494"/>
      <c r="R37" s="2495"/>
      <c r="S37" s="2430"/>
      <c r="T37" s="2491"/>
      <c r="U37" s="2357"/>
      <c r="V37" s="2405"/>
      <c r="W37" s="2385"/>
      <c r="X37" s="2399"/>
      <c r="Y37" s="2480"/>
      <c r="Z37" s="2480"/>
      <c r="AA37" s="2480"/>
      <c r="AB37" s="2480"/>
      <c r="AC37" s="2480"/>
      <c r="AD37" s="2480"/>
      <c r="AE37" s="2480"/>
      <c r="AF37" s="2480"/>
      <c r="AG37" s="2480"/>
      <c r="AH37" s="2480"/>
      <c r="AI37" s="2480"/>
      <c r="AJ37" s="2480"/>
      <c r="AK37" s="2480"/>
      <c r="AL37" s="2480"/>
      <c r="AM37" s="2480"/>
      <c r="AN37" s="2474"/>
      <c r="AO37" s="2477"/>
      <c r="AP37" s="2477"/>
      <c r="AQ37" s="2451"/>
      <c r="AR37" s="1732"/>
      <c r="AS37" s="1732"/>
      <c r="AT37" s="1732"/>
      <c r="AU37" s="1732"/>
      <c r="AV37" s="1732"/>
      <c r="AW37" s="1732"/>
      <c r="AX37" s="1732"/>
      <c r="AY37" s="1732"/>
      <c r="AZ37" s="1732"/>
      <c r="BA37" s="1732"/>
      <c r="BB37" s="1732"/>
      <c r="BC37" s="1732"/>
      <c r="BD37" s="1732"/>
      <c r="BE37" s="1732"/>
      <c r="BF37" s="1732"/>
      <c r="BG37" s="1732"/>
      <c r="BH37" s="1732"/>
      <c r="BI37" s="1732"/>
      <c r="BJ37" s="1732"/>
      <c r="BK37" s="1732"/>
      <c r="BL37" s="1732"/>
    </row>
    <row r="38" spans="1:64" ht="35.1" customHeight="1" x14ac:dyDescent="0.2">
      <c r="A38" s="1790"/>
      <c r="B38" s="1791"/>
      <c r="C38" s="1791"/>
      <c r="D38" s="1792"/>
      <c r="E38" s="1793"/>
      <c r="F38" s="1793"/>
      <c r="G38" s="1792"/>
      <c r="H38" s="1793"/>
      <c r="I38" s="1798"/>
      <c r="J38" s="2408"/>
      <c r="K38" s="2430"/>
      <c r="L38" s="2357"/>
      <c r="M38" s="2493"/>
      <c r="N38" s="2489"/>
      <c r="O38" s="2408"/>
      <c r="P38" s="2430"/>
      <c r="Q38" s="2494"/>
      <c r="R38" s="2495"/>
      <c r="S38" s="2430"/>
      <c r="T38" s="2491"/>
      <c r="U38" s="2357"/>
      <c r="V38" s="2405"/>
      <c r="W38" s="2385"/>
      <c r="X38" s="2399"/>
      <c r="Y38" s="2480"/>
      <c r="Z38" s="2480"/>
      <c r="AA38" s="2480"/>
      <c r="AB38" s="2480"/>
      <c r="AC38" s="2480"/>
      <c r="AD38" s="2480"/>
      <c r="AE38" s="2480"/>
      <c r="AF38" s="2480"/>
      <c r="AG38" s="2480"/>
      <c r="AH38" s="2480"/>
      <c r="AI38" s="2480"/>
      <c r="AJ38" s="2480"/>
      <c r="AK38" s="2480"/>
      <c r="AL38" s="2480"/>
      <c r="AM38" s="2480"/>
      <c r="AN38" s="2474"/>
      <c r="AO38" s="2477"/>
      <c r="AP38" s="2477"/>
      <c r="AQ38" s="2451"/>
      <c r="AR38" s="1732"/>
      <c r="AS38" s="1732"/>
      <c r="AT38" s="1732"/>
      <c r="AU38" s="1732"/>
      <c r="AV38" s="1732"/>
      <c r="AW38" s="1732"/>
      <c r="AX38" s="1732"/>
      <c r="AY38" s="1732"/>
      <c r="AZ38" s="1732"/>
      <c r="BA38" s="1732"/>
      <c r="BB38" s="1732"/>
      <c r="BC38" s="1732"/>
      <c r="BD38" s="1732"/>
      <c r="BE38" s="1732"/>
      <c r="BF38" s="1732"/>
      <c r="BG38" s="1732"/>
      <c r="BH38" s="1732"/>
      <c r="BI38" s="1732"/>
      <c r="BJ38" s="1732"/>
      <c r="BK38" s="1732"/>
      <c r="BL38" s="1732"/>
    </row>
    <row r="39" spans="1:64" ht="35.1" customHeight="1" x14ac:dyDescent="0.2">
      <c r="A39" s="1790"/>
      <c r="B39" s="1791"/>
      <c r="C39" s="1791"/>
      <c r="D39" s="1792"/>
      <c r="E39" s="1793"/>
      <c r="F39" s="1793"/>
      <c r="G39" s="1792"/>
      <c r="H39" s="1793"/>
      <c r="I39" s="1798"/>
      <c r="J39" s="2408"/>
      <c r="K39" s="2430"/>
      <c r="L39" s="2357"/>
      <c r="M39" s="2493"/>
      <c r="N39" s="2489"/>
      <c r="O39" s="2408"/>
      <c r="P39" s="2430"/>
      <c r="Q39" s="2494"/>
      <c r="R39" s="2495"/>
      <c r="S39" s="2430"/>
      <c r="T39" s="2491"/>
      <c r="U39" s="2357"/>
      <c r="V39" s="2405"/>
      <c r="W39" s="2385"/>
      <c r="X39" s="2399"/>
      <c r="Y39" s="2480"/>
      <c r="Z39" s="2480"/>
      <c r="AA39" s="2480"/>
      <c r="AB39" s="2480"/>
      <c r="AC39" s="2480"/>
      <c r="AD39" s="2480"/>
      <c r="AE39" s="2480"/>
      <c r="AF39" s="2480"/>
      <c r="AG39" s="2480"/>
      <c r="AH39" s="2480"/>
      <c r="AI39" s="2480"/>
      <c r="AJ39" s="2480"/>
      <c r="AK39" s="2480"/>
      <c r="AL39" s="2480"/>
      <c r="AM39" s="2480"/>
      <c r="AN39" s="2474"/>
      <c r="AO39" s="2477"/>
      <c r="AP39" s="2477"/>
      <c r="AQ39" s="2451"/>
      <c r="AR39" s="1805"/>
      <c r="AS39" s="1805"/>
      <c r="AT39" s="1805"/>
      <c r="AU39" s="1805"/>
    </row>
    <row r="40" spans="1:64" ht="35.1" customHeight="1" x14ac:dyDescent="0.2">
      <c r="A40" s="1790"/>
      <c r="B40" s="1791"/>
      <c r="C40" s="1791"/>
      <c r="D40" s="1792"/>
      <c r="E40" s="1793"/>
      <c r="F40" s="1793"/>
      <c r="G40" s="1792"/>
      <c r="H40" s="1793"/>
      <c r="I40" s="1798"/>
      <c r="J40" s="2408"/>
      <c r="K40" s="2430"/>
      <c r="L40" s="2357"/>
      <c r="M40" s="2493"/>
      <c r="N40" s="2489"/>
      <c r="O40" s="2408"/>
      <c r="P40" s="2430"/>
      <c r="Q40" s="2494"/>
      <c r="R40" s="2495"/>
      <c r="S40" s="2430"/>
      <c r="T40" s="2491"/>
      <c r="U40" s="2357"/>
      <c r="V40" s="2405"/>
      <c r="W40" s="2385"/>
      <c r="X40" s="2399"/>
      <c r="Y40" s="2480"/>
      <c r="Z40" s="2480"/>
      <c r="AA40" s="2480"/>
      <c r="AB40" s="2480"/>
      <c r="AC40" s="2480"/>
      <c r="AD40" s="2480"/>
      <c r="AE40" s="2480"/>
      <c r="AF40" s="2480"/>
      <c r="AG40" s="2480"/>
      <c r="AH40" s="2480"/>
      <c r="AI40" s="2480"/>
      <c r="AJ40" s="2480"/>
      <c r="AK40" s="2480"/>
      <c r="AL40" s="2480"/>
      <c r="AM40" s="2480"/>
      <c r="AN40" s="2474"/>
      <c r="AO40" s="2477"/>
      <c r="AP40" s="2477"/>
      <c r="AQ40" s="2451"/>
      <c r="AR40" s="1805"/>
      <c r="AS40" s="1805"/>
      <c r="AT40" s="1805"/>
      <c r="AU40" s="1805"/>
    </row>
    <row r="41" spans="1:64" ht="35.1" customHeight="1" x14ac:dyDescent="0.2">
      <c r="A41" s="1790"/>
      <c r="B41" s="1791"/>
      <c r="C41" s="1791"/>
      <c r="D41" s="1792"/>
      <c r="E41" s="1793"/>
      <c r="F41" s="1793"/>
      <c r="G41" s="1792"/>
      <c r="H41" s="1793"/>
      <c r="I41" s="1798"/>
      <c r="J41" s="2408"/>
      <c r="K41" s="2430"/>
      <c r="L41" s="2357"/>
      <c r="M41" s="2493"/>
      <c r="N41" s="2489"/>
      <c r="O41" s="2408"/>
      <c r="P41" s="2430"/>
      <c r="Q41" s="2494"/>
      <c r="R41" s="2495"/>
      <c r="S41" s="2430"/>
      <c r="T41" s="2491"/>
      <c r="U41" s="2357"/>
      <c r="V41" s="2405"/>
      <c r="W41" s="2385"/>
      <c r="X41" s="2399"/>
      <c r="Y41" s="2480"/>
      <c r="Z41" s="2480"/>
      <c r="AA41" s="2480"/>
      <c r="AB41" s="2480"/>
      <c r="AC41" s="2480"/>
      <c r="AD41" s="2480"/>
      <c r="AE41" s="2480"/>
      <c r="AF41" s="2480"/>
      <c r="AG41" s="2480"/>
      <c r="AH41" s="2480"/>
      <c r="AI41" s="2480"/>
      <c r="AJ41" s="2480"/>
      <c r="AK41" s="2480"/>
      <c r="AL41" s="2480"/>
      <c r="AM41" s="2480"/>
      <c r="AN41" s="2474"/>
      <c r="AO41" s="2477"/>
      <c r="AP41" s="2477"/>
      <c r="AQ41" s="2451"/>
      <c r="AR41" s="1805"/>
      <c r="AS41" s="1805"/>
      <c r="AT41" s="1805"/>
      <c r="AU41" s="1805"/>
    </row>
    <row r="42" spans="1:64" ht="35.1" customHeight="1" x14ac:dyDescent="0.2">
      <c r="A42" s="1790"/>
      <c r="B42" s="2369"/>
      <c r="C42" s="2369"/>
      <c r="D42" s="1792"/>
      <c r="E42" s="2415"/>
      <c r="F42" s="2415"/>
      <c r="G42" s="1792"/>
      <c r="H42" s="2415"/>
      <c r="I42" s="2416"/>
      <c r="J42" s="2408"/>
      <c r="K42" s="2430"/>
      <c r="L42" s="2357"/>
      <c r="M42" s="2493"/>
      <c r="N42" s="2489"/>
      <c r="O42" s="2408"/>
      <c r="P42" s="2430"/>
      <c r="Q42" s="2494"/>
      <c r="R42" s="2495"/>
      <c r="S42" s="2430"/>
      <c r="T42" s="2491"/>
      <c r="U42" s="2357"/>
      <c r="V42" s="2405"/>
      <c r="W42" s="2385"/>
      <c r="X42" s="2399"/>
      <c r="Y42" s="2480"/>
      <c r="Z42" s="2480"/>
      <c r="AA42" s="2480"/>
      <c r="AB42" s="2480"/>
      <c r="AC42" s="2480"/>
      <c r="AD42" s="2480"/>
      <c r="AE42" s="2480"/>
      <c r="AF42" s="2480"/>
      <c r="AG42" s="2480"/>
      <c r="AH42" s="2480"/>
      <c r="AI42" s="2480"/>
      <c r="AJ42" s="2480"/>
      <c r="AK42" s="2480"/>
      <c r="AL42" s="2480"/>
      <c r="AM42" s="2480"/>
      <c r="AN42" s="2474"/>
      <c r="AO42" s="2477"/>
      <c r="AP42" s="2477"/>
      <c r="AQ42" s="2451"/>
      <c r="AR42" s="1805"/>
      <c r="AS42" s="1805"/>
      <c r="AT42" s="1805"/>
      <c r="AU42" s="1805"/>
    </row>
    <row r="43" spans="1:64" ht="35.1" customHeight="1" x14ac:dyDescent="0.2">
      <c r="A43" s="1790"/>
      <c r="B43" s="2369"/>
      <c r="C43" s="2369"/>
      <c r="D43" s="1792"/>
      <c r="E43" s="2415"/>
      <c r="F43" s="2415"/>
      <c r="G43" s="1792"/>
      <c r="H43" s="2415"/>
      <c r="I43" s="2416"/>
      <c r="J43" s="2408"/>
      <c r="K43" s="2430"/>
      <c r="L43" s="2393"/>
      <c r="M43" s="2493"/>
      <c r="N43" s="2489"/>
      <c r="O43" s="2408"/>
      <c r="P43" s="2430"/>
      <c r="Q43" s="2494"/>
      <c r="R43" s="2495"/>
      <c r="S43" s="2430"/>
      <c r="T43" s="2492"/>
      <c r="U43" s="2393"/>
      <c r="V43" s="2406"/>
      <c r="W43" s="2386"/>
      <c r="X43" s="2400"/>
      <c r="Y43" s="2481"/>
      <c r="Z43" s="2481"/>
      <c r="AA43" s="2481"/>
      <c r="AB43" s="2481"/>
      <c r="AC43" s="2481"/>
      <c r="AD43" s="2481"/>
      <c r="AE43" s="2481"/>
      <c r="AF43" s="2481"/>
      <c r="AG43" s="2481"/>
      <c r="AH43" s="2481"/>
      <c r="AI43" s="2481"/>
      <c r="AJ43" s="2481"/>
      <c r="AK43" s="2481"/>
      <c r="AL43" s="2481"/>
      <c r="AM43" s="2481"/>
      <c r="AN43" s="2475"/>
      <c r="AO43" s="2478"/>
      <c r="AP43" s="2478"/>
      <c r="AQ43" s="2451"/>
      <c r="AR43" s="1805"/>
      <c r="AS43" s="1805"/>
      <c r="AT43" s="1805"/>
      <c r="AU43" s="1805"/>
    </row>
    <row r="44" spans="1:64" ht="33.75" customHeight="1" x14ac:dyDescent="0.2">
      <c r="A44" s="1790"/>
      <c r="B44" s="1791"/>
      <c r="C44" s="1791"/>
      <c r="D44" s="1792"/>
      <c r="E44" s="1793"/>
      <c r="F44" s="1793"/>
      <c r="G44" s="1792"/>
      <c r="H44" s="2415"/>
      <c r="I44" s="2416"/>
      <c r="J44" s="2398">
        <v>12</v>
      </c>
      <c r="K44" s="2390" t="s">
        <v>2315</v>
      </c>
      <c r="L44" s="2356" t="s">
        <v>2316</v>
      </c>
      <c r="M44" s="2354">
        <v>3</v>
      </c>
      <c r="N44" s="2356" t="s">
        <v>2317</v>
      </c>
      <c r="O44" s="2398" t="s">
        <v>2318</v>
      </c>
      <c r="P44" s="2390" t="s">
        <v>2319</v>
      </c>
      <c r="Q44" s="2445">
        <f>SUM(V44:V51)/R44</f>
        <v>1</v>
      </c>
      <c r="R44" s="2423">
        <f>+V44+V48</f>
        <v>1050000000</v>
      </c>
      <c r="S44" s="2390" t="s">
        <v>2320</v>
      </c>
      <c r="T44" s="2490" t="s">
        <v>2321</v>
      </c>
      <c r="U44" s="2356" t="s">
        <v>2322</v>
      </c>
      <c r="V44" s="2404">
        <v>320000000</v>
      </c>
      <c r="W44" s="2384">
        <v>27</v>
      </c>
      <c r="X44" s="2398" t="str">
        <f>+X28</f>
        <v xml:space="preserve">SGP Agua Potable y Saneamineto Básico
</v>
      </c>
      <c r="Y44" s="2479">
        <v>292684</v>
      </c>
      <c r="Z44" s="2479">
        <v>282326</v>
      </c>
      <c r="AA44" s="2479">
        <v>135912</v>
      </c>
      <c r="AB44" s="2479">
        <v>45122</v>
      </c>
      <c r="AC44" s="2479">
        <v>307101</v>
      </c>
      <c r="AD44" s="2479">
        <v>86875</v>
      </c>
      <c r="AE44" s="2479">
        <v>2145</v>
      </c>
      <c r="AF44" s="2479">
        <v>12718</v>
      </c>
      <c r="AG44" s="2479">
        <v>26</v>
      </c>
      <c r="AH44" s="2479">
        <v>37</v>
      </c>
      <c r="AI44" s="2479">
        <v>0</v>
      </c>
      <c r="AJ44" s="2479">
        <v>0</v>
      </c>
      <c r="AK44" s="2479">
        <v>53164</v>
      </c>
      <c r="AL44" s="2479">
        <v>16982</v>
      </c>
      <c r="AM44" s="2479">
        <v>60004</v>
      </c>
      <c r="AN44" s="2473">
        <f t="shared" ref="AN44" si="3">SUM(Y44:Z51)</f>
        <v>575010</v>
      </c>
      <c r="AO44" s="2476">
        <v>43101</v>
      </c>
      <c r="AP44" s="2476">
        <v>43465</v>
      </c>
      <c r="AQ44" s="2450" t="s">
        <v>2279</v>
      </c>
      <c r="AR44" s="1805"/>
      <c r="AS44" s="1805"/>
      <c r="AT44" s="1805"/>
      <c r="AU44" s="1805"/>
    </row>
    <row r="45" spans="1:64" ht="33.75" customHeight="1" x14ac:dyDescent="0.2">
      <c r="A45" s="1790"/>
      <c r="B45" s="2369"/>
      <c r="C45" s="2369"/>
      <c r="D45" s="1792"/>
      <c r="E45" s="2415"/>
      <c r="F45" s="2415"/>
      <c r="G45" s="1792"/>
      <c r="H45" s="2415"/>
      <c r="I45" s="2416"/>
      <c r="J45" s="2399"/>
      <c r="K45" s="2391"/>
      <c r="L45" s="2357"/>
      <c r="M45" s="2355"/>
      <c r="N45" s="2357"/>
      <c r="O45" s="2399"/>
      <c r="P45" s="2391"/>
      <c r="Q45" s="2447"/>
      <c r="R45" s="2424"/>
      <c r="S45" s="2391"/>
      <c r="T45" s="2491"/>
      <c r="U45" s="2357"/>
      <c r="V45" s="2405"/>
      <c r="W45" s="2385"/>
      <c r="X45" s="2399"/>
      <c r="Y45" s="2480"/>
      <c r="Z45" s="2480"/>
      <c r="AA45" s="2480"/>
      <c r="AB45" s="2480"/>
      <c r="AC45" s="2480"/>
      <c r="AD45" s="2480"/>
      <c r="AE45" s="2480"/>
      <c r="AF45" s="2480"/>
      <c r="AG45" s="2480"/>
      <c r="AH45" s="2480"/>
      <c r="AI45" s="2480"/>
      <c r="AJ45" s="2480"/>
      <c r="AK45" s="2480"/>
      <c r="AL45" s="2480"/>
      <c r="AM45" s="2480"/>
      <c r="AN45" s="2474"/>
      <c r="AO45" s="2477"/>
      <c r="AP45" s="2477"/>
      <c r="AQ45" s="2451"/>
      <c r="AR45" s="1805"/>
      <c r="AS45" s="1805"/>
      <c r="AT45" s="1805"/>
      <c r="AU45" s="1805"/>
    </row>
    <row r="46" spans="1:64" ht="33.75" customHeight="1" x14ac:dyDescent="0.2">
      <c r="A46" s="1790"/>
      <c r="B46" s="1791"/>
      <c r="C46" s="1791"/>
      <c r="D46" s="1792"/>
      <c r="E46" s="1793"/>
      <c r="F46" s="1793"/>
      <c r="G46" s="1792"/>
      <c r="H46" s="1793"/>
      <c r="I46" s="1798"/>
      <c r="J46" s="2399"/>
      <c r="K46" s="2391"/>
      <c r="L46" s="2357"/>
      <c r="M46" s="2355"/>
      <c r="N46" s="2357"/>
      <c r="O46" s="2399"/>
      <c r="P46" s="2391"/>
      <c r="Q46" s="2447"/>
      <c r="R46" s="2424"/>
      <c r="S46" s="2391"/>
      <c r="T46" s="2491"/>
      <c r="U46" s="2357"/>
      <c r="V46" s="2405"/>
      <c r="W46" s="2385"/>
      <c r="X46" s="2399"/>
      <c r="Y46" s="2480"/>
      <c r="Z46" s="2480"/>
      <c r="AA46" s="2480"/>
      <c r="AB46" s="2480"/>
      <c r="AC46" s="2480"/>
      <c r="AD46" s="2480"/>
      <c r="AE46" s="2480"/>
      <c r="AF46" s="2480"/>
      <c r="AG46" s="2480"/>
      <c r="AH46" s="2480"/>
      <c r="AI46" s="2480"/>
      <c r="AJ46" s="2480"/>
      <c r="AK46" s="2480"/>
      <c r="AL46" s="2480"/>
      <c r="AM46" s="2480"/>
      <c r="AN46" s="2474"/>
      <c r="AO46" s="2477"/>
      <c r="AP46" s="2477"/>
      <c r="AQ46" s="2451"/>
      <c r="AR46" s="1805"/>
      <c r="AS46" s="1805"/>
      <c r="AT46" s="1805"/>
      <c r="AU46" s="1805"/>
    </row>
    <row r="47" spans="1:64" ht="33.75" customHeight="1" x14ac:dyDescent="0.2">
      <c r="A47" s="1790"/>
      <c r="B47" s="1791"/>
      <c r="C47" s="1791"/>
      <c r="D47" s="1792"/>
      <c r="E47" s="1793"/>
      <c r="F47" s="1793"/>
      <c r="G47" s="1792"/>
      <c r="H47" s="1793"/>
      <c r="I47" s="1798"/>
      <c r="J47" s="2399"/>
      <c r="K47" s="2391"/>
      <c r="L47" s="2357"/>
      <c r="M47" s="2355"/>
      <c r="N47" s="2357"/>
      <c r="O47" s="2399"/>
      <c r="P47" s="2391"/>
      <c r="Q47" s="2447"/>
      <c r="R47" s="2424"/>
      <c r="S47" s="2391"/>
      <c r="T47" s="2492"/>
      <c r="U47" s="2393"/>
      <c r="V47" s="2406"/>
      <c r="W47" s="2385"/>
      <c r="X47" s="2399"/>
      <c r="Y47" s="2480"/>
      <c r="Z47" s="2480"/>
      <c r="AA47" s="2480"/>
      <c r="AB47" s="2480"/>
      <c r="AC47" s="2480"/>
      <c r="AD47" s="2480"/>
      <c r="AE47" s="2480"/>
      <c r="AF47" s="2480"/>
      <c r="AG47" s="2480"/>
      <c r="AH47" s="2480"/>
      <c r="AI47" s="2480"/>
      <c r="AJ47" s="2480"/>
      <c r="AK47" s="2480"/>
      <c r="AL47" s="2480"/>
      <c r="AM47" s="2480"/>
      <c r="AN47" s="2474"/>
      <c r="AO47" s="2477"/>
      <c r="AP47" s="2477"/>
      <c r="AQ47" s="2451"/>
      <c r="AR47" s="1805"/>
      <c r="AS47" s="1805"/>
      <c r="AT47" s="1805"/>
      <c r="AU47" s="1805"/>
    </row>
    <row r="48" spans="1:64" ht="20.100000000000001" customHeight="1" x14ac:dyDescent="0.2">
      <c r="A48" s="1790"/>
      <c r="B48" s="1791"/>
      <c r="C48" s="1791"/>
      <c r="D48" s="1792"/>
      <c r="E48" s="1793"/>
      <c r="F48" s="1793"/>
      <c r="G48" s="1792"/>
      <c r="H48" s="1793"/>
      <c r="I48" s="1798"/>
      <c r="J48" s="2399"/>
      <c r="K48" s="2391"/>
      <c r="L48" s="2357"/>
      <c r="M48" s="2355"/>
      <c r="N48" s="2357"/>
      <c r="O48" s="2399"/>
      <c r="P48" s="2391"/>
      <c r="Q48" s="2447"/>
      <c r="R48" s="2424"/>
      <c r="S48" s="2391"/>
      <c r="T48" s="2430" t="s">
        <v>2323</v>
      </c>
      <c r="U48" s="2356" t="s">
        <v>2324</v>
      </c>
      <c r="V48" s="2404">
        <v>730000000</v>
      </c>
      <c r="W48" s="2385"/>
      <c r="X48" s="2399"/>
      <c r="Y48" s="2480"/>
      <c r="Z48" s="2480"/>
      <c r="AA48" s="2480"/>
      <c r="AB48" s="2480"/>
      <c r="AC48" s="2480"/>
      <c r="AD48" s="2480"/>
      <c r="AE48" s="2480"/>
      <c r="AF48" s="2480"/>
      <c r="AG48" s="2480"/>
      <c r="AH48" s="2480"/>
      <c r="AI48" s="2480"/>
      <c r="AJ48" s="2480"/>
      <c r="AK48" s="2480"/>
      <c r="AL48" s="2480"/>
      <c r="AM48" s="2480"/>
      <c r="AN48" s="2474"/>
      <c r="AO48" s="2477"/>
      <c r="AP48" s="2477"/>
      <c r="AQ48" s="2451"/>
      <c r="AR48" s="1805"/>
      <c r="AS48" s="1805"/>
      <c r="AT48" s="1805"/>
      <c r="AU48" s="1805"/>
    </row>
    <row r="49" spans="1:47" ht="20.100000000000001" customHeight="1" x14ac:dyDescent="0.2">
      <c r="A49" s="1790"/>
      <c r="B49" s="1791"/>
      <c r="C49" s="1791"/>
      <c r="D49" s="1792"/>
      <c r="E49" s="1793"/>
      <c r="F49" s="1793"/>
      <c r="G49" s="1792"/>
      <c r="H49" s="1793"/>
      <c r="I49" s="1798"/>
      <c r="J49" s="2399"/>
      <c r="K49" s="2391"/>
      <c r="L49" s="2357"/>
      <c r="M49" s="2355"/>
      <c r="N49" s="2357"/>
      <c r="O49" s="2399"/>
      <c r="P49" s="2391"/>
      <c r="Q49" s="2447"/>
      <c r="R49" s="2424"/>
      <c r="S49" s="2391"/>
      <c r="T49" s="2430"/>
      <c r="U49" s="2357"/>
      <c r="V49" s="2405"/>
      <c r="W49" s="2385"/>
      <c r="X49" s="2399"/>
      <c r="Y49" s="2480"/>
      <c r="Z49" s="2480"/>
      <c r="AA49" s="2480"/>
      <c r="AB49" s="2480"/>
      <c r="AC49" s="2480"/>
      <c r="AD49" s="2480"/>
      <c r="AE49" s="2480"/>
      <c r="AF49" s="2480"/>
      <c r="AG49" s="2480"/>
      <c r="AH49" s="2480"/>
      <c r="AI49" s="2480"/>
      <c r="AJ49" s="2480"/>
      <c r="AK49" s="2480"/>
      <c r="AL49" s="2480"/>
      <c r="AM49" s="2480"/>
      <c r="AN49" s="2474"/>
      <c r="AO49" s="2477"/>
      <c r="AP49" s="2477"/>
      <c r="AQ49" s="2451"/>
      <c r="AR49" s="1805"/>
      <c r="AS49" s="1805"/>
      <c r="AT49" s="1805"/>
      <c r="AU49" s="1805"/>
    </row>
    <row r="50" spans="1:47" ht="20.100000000000001" customHeight="1" x14ac:dyDescent="0.2">
      <c r="A50" s="1790"/>
      <c r="B50" s="2369"/>
      <c r="C50" s="2369"/>
      <c r="D50" s="1792"/>
      <c r="E50" s="2415"/>
      <c r="F50" s="2415"/>
      <c r="G50" s="1792"/>
      <c r="H50" s="2415"/>
      <c r="I50" s="2416"/>
      <c r="J50" s="2399"/>
      <c r="K50" s="2391"/>
      <c r="L50" s="2357"/>
      <c r="M50" s="2355"/>
      <c r="N50" s="2357"/>
      <c r="O50" s="2399"/>
      <c r="P50" s="2391"/>
      <c r="Q50" s="2447"/>
      <c r="R50" s="2424"/>
      <c r="S50" s="2391"/>
      <c r="T50" s="2430"/>
      <c r="U50" s="2357"/>
      <c r="V50" s="2405"/>
      <c r="W50" s="2385"/>
      <c r="X50" s="2399"/>
      <c r="Y50" s="2480"/>
      <c r="Z50" s="2480"/>
      <c r="AA50" s="2480"/>
      <c r="AB50" s="2480"/>
      <c r="AC50" s="2480"/>
      <c r="AD50" s="2480"/>
      <c r="AE50" s="2480"/>
      <c r="AF50" s="2480"/>
      <c r="AG50" s="2480"/>
      <c r="AH50" s="2480"/>
      <c r="AI50" s="2480"/>
      <c r="AJ50" s="2480"/>
      <c r="AK50" s="2480"/>
      <c r="AL50" s="2480"/>
      <c r="AM50" s="2480"/>
      <c r="AN50" s="2474"/>
      <c r="AO50" s="2477"/>
      <c r="AP50" s="2477"/>
      <c r="AQ50" s="2451"/>
      <c r="AR50" s="1805"/>
      <c r="AS50" s="1805"/>
      <c r="AT50" s="1805"/>
      <c r="AU50" s="1805"/>
    </row>
    <row r="51" spans="1:47" ht="20.100000000000001" customHeight="1" x14ac:dyDescent="0.2">
      <c r="A51" s="1790"/>
      <c r="B51" s="2369"/>
      <c r="C51" s="2369"/>
      <c r="D51" s="1792"/>
      <c r="E51" s="2415"/>
      <c r="F51" s="2415"/>
      <c r="G51" s="1792"/>
      <c r="H51" s="2415"/>
      <c r="I51" s="2416"/>
      <c r="J51" s="2400"/>
      <c r="K51" s="2392"/>
      <c r="L51" s="2393"/>
      <c r="M51" s="2417"/>
      <c r="N51" s="2393"/>
      <c r="O51" s="2400"/>
      <c r="P51" s="2392"/>
      <c r="Q51" s="2446"/>
      <c r="R51" s="2466"/>
      <c r="S51" s="2392"/>
      <c r="T51" s="2430"/>
      <c r="U51" s="2393"/>
      <c r="V51" s="2406"/>
      <c r="W51" s="2386"/>
      <c r="X51" s="2400"/>
      <c r="Y51" s="2481"/>
      <c r="Z51" s="2481"/>
      <c r="AA51" s="2481"/>
      <c r="AB51" s="2481"/>
      <c r="AC51" s="2481"/>
      <c r="AD51" s="2481"/>
      <c r="AE51" s="2481"/>
      <c r="AF51" s="2481"/>
      <c r="AG51" s="2481"/>
      <c r="AH51" s="2481"/>
      <c r="AI51" s="2481"/>
      <c r="AJ51" s="2481"/>
      <c r="AK51" s="2481"/>
      <c r="AL51" s="2481"/>
      <c r="AM51" s="2481"/>
      <c r="AN51" s="2475"/>
      <c r="AO51" s="2478"/>
      <c r="AP51" s="2478"/>
      <c r="AQ51" s="2451"/>
      <c r="AR51" s="1805"/>
      <c r="AS51" s="1805"/>
      <c r="AT51" s="1805"/>
      <c r="AU51" s="1805"/>
    </row>
    <row r="52" spans="1:47" ht="24.95" customHeight="1" x14ac:dyDescent="0.2">
      <c r="A52" s="1790"/>
      <c r="B52" s="1791"/>
      <c r="C52" s="1791"/>
      <c r="D52" s="1792"/>
      <c r="E52" s="1793"/>
      <c r="F52" s="1793"/>
      <c r="G52" s="1792"/>
      <c r="H52" s="2415"/>
      <c r="I52" s="2416"/>
      <c r="J52" s="2398">
        <v>13</v>
      </c>
      <c r="K52" s="2390" t="s">
        <v>2325</v>
      </c>
      <c r="L52" s="2356" t="s">
        <v>2326</v>
      </c>
      <c r="M52" s="2354">
        <v>2</v>
      </c>
      <c r="N52" s="2356" t="s">
        <v>2327</v>
      </c>
      <c r="O52" s="2398" t="s">
        <v>2328</v>
      </c>
      <c r="P52" s="2390" t="s">
        <v>2329</v>
      </c>
      <c r="Q52" s="2445">
        <f>SUM(V52:V59)/R52</f>
        <v>1</v>
      </c>
      <c r="R52" s="2423">
        <f>+V52+V55+V57</f>
        <v>300000000</v>
      </c>
      <c r="S52" s="2390" t="s">
        <v>2330</v>
      </c>
      <c r="T52" s="2483" t="s">
        <v>2331</v>
      </c>
      <c r="U52" s="2356" t="s">
        <v>2332</v>
      </c>
      <c r="V52" s="2482">
        <v>100000000</v>
      </c>
      <c r="W52" s="2384">
        <v>27</v>
      </c>
      <c r="X52" s="2398" t="s">
        <v>2305</v>
      </c>
      <c r="Y52" s="2472">
        <v>292684</v>
      </c>
      <c r="Z52" s="2479">
        <v>282326</v>
      </c>
      <c r="AA52" s="2479">
        <v>135912</v>
      </c>
      <c r="AB52" s="2479">
        <v>45122</v>
      </c>
      <c r="AC52" s="2479">
        <v>307101</v>
      </c>
      <c r="AD52" s="2479">
        <v>86875</v>
      </c>
      <c r="AE52" s="2479">
        <v>2145</v>
      </c>
      <c r="AF52" s="2479">
        <v>12718</v>
      </c>
      <c r="AG52" s="2479">
        <v>26</v>
      </c>
      <c r="AH52" s="2479">
        <v>37</v>
      </c>
      <c r="AI52" s="2479">
        <v>0</v>
      </c>
      <c r="AJ52" s="2479">
        <v>0</v>
      </c>
      <c r="AK52" s="2479">
        <v>53164</v>
      </c>
      <c r="AL52" s="2472">
        <v>16982</v>
      </c>
      <c r="AM52" s="2472">
        <v>60001</v>
      </c>
      <c r="AN52" s="2473">
        <f t="shared" ref="AN52" si="4">SUM(Y52:Z59)</f>
        <v>575010</v>
      </c>
      <c r="AO52" s="2476">
        <v>43101</v>
      </c>
      <c r="AP52" s="2476">
        <v>43465</v>
      </c>
      <c r="AQ52" s="2450" t="s">
        <v>2279</v>
      </c>
      <c r="AR52" s="1805"/>
      <c r="AS52" s="1805"/>
      <c r="AT52" s="1805"/>
      <c r="AU52" s="1805"/>
    </row>
    <row r="53" spans="1:47" ht="24.95" customHeight="1" x14ac:dyDescent="0.2">
      <c r="A53" s="1790"/>
      <c r="B53" s="2369"/>
      <c r="C53" s="2369"/>
      <c r="D53" s="1792"/>
      <c r="E53" s="2415"/>
      <c r="F53" s="2415"/>
      <c r="G53" s="1792"/>
      <c r="H53" s="2415"/>
      <c r="I53" s="2416"/>
      <c r="J53" s="2399"/>
      <c r="K53" s="2391"/>
      <c r="L53" s="2357"/>
      <c r="M53" s="2355"/>
      <c r="N53" s="2357"/>
      <c r="O53" s="2399"/>
      <c r="P53" s="2391"/>
      <c r="Q53" s="2447"/>
      <c r="R53" s="2424"/>
      <c r="S53" s="2391"/>
      <c r="T53" s="2484"/>
      <c r="U53" s="2357"/>
      <c r="V53" s="2394"/>
      <c r="W53" s="2385"/>
      <c r="X53" s="2399"/>
      <c r="Y53" s="2472"/>
      <c r="Z53" s="2480"/>
      <c r="AA53" s="2480"/>
      <c r="AB53" s="2480"/>
      <c r="AC53" s="2480"/>
      <c r="AD53" s="2480"/>
      <c r="AE53" s="2480"/>
      <c r="AF53" s="2480"/>
      <c r="AG53" s="2480"/>
      <c r="AH53" s="2480"/>
      <c r="AI53" s="2480"/>
      <c r="AJ53" s="2480"/>
      <c r="AK53" s="2480"/>
      <c r="AL53" s="2472"/>
      <c r="AM53" s="2472"/>
      <c r="AN53" s="2474"/>
      <c r="AO53" s="2477"/>
      <c r="AP53" s="2477"/>
      <c r="AQ53" s="2451"/>
      <c r="AR53" s="1805"/>
      <c r="AS53" s="1805"/>
      <c r="AT53" s="1805"/>
      <c r="AU53" s="1805"/>
    </row>
    <row r="54" spans="1:47" ht="99.75" customHeight="1" x14ac:dyDescent="0.2">
      <c r="A54" s="1790"/>
      <c r="B54" s="1791"/>
      <c r="C54" s="1791"/>
      <c r="D54" s="1792"/>
      <c r="E54" s="1793"/>
      <c r="F54" s="1793"/>
      <c r="G54" s="1792"/>
      <c r="H54" s="1793"/>
      <c r="I54" s="1798"/>
      <c r="J54" s="2399"/>
      <c r="K54" s="2391"/>
      <c r="L54" s="2357"/>
      <c r="M54" s="2355"/>
      <c r="N54" s="2357"/>
      <c r="O54" s="2399"/>
      <c r="P54" s="2391"/>
      <c r="Q54" s="2447"/>
      <c r="R54" s="2424"/>
      <c r="S54" s="2391"/>
      <c r="T54" s="2484"/>
      <c r="U54" s="2393"/>
      <c r="V54" s="2395"/>
      <c r="W54" s="2385"/>
      <c r="X54" s="2399"/>
      <c r="Y54" s="2472"/>
      <c r="Z54" s="2480"/>
      <c r="AA54" s="2480"/>
      <c r="AB54" s="2480"/>
      <c r="AC54" s="2480"/>
      <c r="AD54" s="2480"/>
      <c r="AE54" s="2480"/>
      <c r="AF54" s="2480"/>
      <c r="AG54" s="2480"/>
      <c r="AH54" s="2480"/>
      <c r="AI54" s="2480"/>
      <c r="AJ54" s="2480"/>
      <c r="AK54" s="2480"/>
      <c r="AL54" s="2472"/>
      <c r="AM54" s="2472"/>
      <c r="AN54" s="2474"/>
      <c r="AO54" s="2477"/>
      <c r="AP54" s="2477"/>
      <c r="AQ54" s="2451"/>
      <c r="AR54" s="1805"/>
      <c r="AS54" s="1805"/>
      <c r="AT54" s="1805"/>
      <c r="AU54" s="1805"/>
    </row>
    <row r="55" spans="1:47" ht="34.5" customHeight="1" x14ac:dyDescent="0.2">
      <c r="A55" s="1790"/>
      <c r="B55" s="1791"/>
      <c r="C55" s="1791"/>
      <c r="D55" s="1792"/>
      <c r="E55" s="1793"/>
      <c r="F55" s="1793"/>
      <c r="G55" s="1792"/>
      <c r="H55" s="1793"/>
      <c r="I55" s="1798"/>
      <c r="J55" s="2399"/>
      <c r="K55" s="2391"/>
      <c r="L55" s="2357"/>
      <c r="M55" s="2355"/>
      <c r="N55" s="2357"/>
      <c r="O55" s="2399"/>
      <c r="P55" s="2391"/>
      <c r="Q55" s="2447"/>
      <c r="R55" s="2424"/>
      <c r="S55" s="2391"/>
      <c r="T55" s="2484"/>
      <c r="U55" s="2489" t="s">
        <v>2333</v>
      </c>
      <c r="V55" s="2482">
        <v>100000000</v>
      </c>
      <c r="W55" s="2385"/>
      <c r="X55" s="2399"/>
      <c r="Y55" s="2472"/>
      <c r="Z55" s="2480"/>
      <c r="AA55" s="2480"/>
      <c r="AB55" s="2480"/>
      <c r="AC55" s="2480"/>
      <c r="AD55" s="2480"/>
      <c r="AE55" s="2480"/>
      <c r="AF55" s="2480"/>
      <c r="AG55" s="2480"/>
      <c r="AH55" s="2480"/>
      <c r="AI55" s="2480"/>
      <c r="AJ55" s="2480"/>
      <c r="AK55" s="2480"/>
      <c r="AL55" s="2472"/>
      <c r="AM55" s="2472"/>
      <c r="AN55" s="2474"/>
      <c r="AO55" s="2477"/>
      <c r="AP55" s="2477"/>
      <c r="AQ55" s="2451"/>
      <c r="AR55" s="1805"/>
      <c r="AS55" s="1805"/>
      <c r="AT55" s="1805"/>
      <c r="AU55" s="1805"/>
    </row>
    <row r="56" spans="1:47" ht="24.95" customHeight="1" x14ac:dyDescent="0.2">
      <c r="A56" s="1790"/>
      <c r="B56" s="1791"/>
      <c r="C56" s="1791"/>
      <c r="D56" s="1792"/>
      <c r="E56" s="1793"/>
      <c r="F56" s="1793"/>
      <c r="G56" s="1792"/>
      <c r="H56" s="1793"/>
      <c r="I56" s="1798"/>
      <c r="J56" s="2399"/>
      <c r="K56" s="2391"/>
      <c r="L56" s="2357"/>
      <c r="M56" s="2355"/>
      <c r="N56" s="2357"/>
      <c r="O56" s="2399"/>
      <c r="P56" s="2391"/>
      <c r="Q56" s="2447"/>
      <c r="R56" s="2424"/>
      <c r="S56" s="2391"/>
      <c r="T56" s="2485"/>
      <c r="U56" s="2489"/>
      <c r="V56" s="2395"/>
      <c r="W56" s="2385"/>
      <c r="X56" s="2399"/>
      <c r="Y56" s="2472"/>
      <c r="Z56" s="2480"/>
      <c r="AA56" s="2480"/>
      <c r="AB56" s="2480"/>
      <c r="AC56" s="2480"/>
      <c r="AD56" s="2480"/>
      <c r="AE56" s="2480"/>
      <c r="AF56" s="2480"/>
      <c r="AG56" s="2480"/>
      <c r="AH56" s="2480"/>
      <c r="AI56" s="2480"/>
      <c r="AJ56" s="2480"/>
      <c r="AK56" s="2480"/>
      <c r="AL56" s="2472"/>
      <c r="AM56" s="2472"/>
      <c r="AN56" s="2474"/>
      <c r="AO56" s="2477"/>
      <c r="AP56" s="2477"/>
      <c r="AQ56" s="2451"/>
      <c r="AR56" s="1805"/>
      <c r="AS56" s="1805"/>
      <c r="AT56" s="1805"/>
      <c r="AU56" s="1805"/>
    </row>
    <row r="57" spans="1:47" ht="12" customHeight="1" x14ac:dyDescent="0.2">
      <c r="A57" s="1790"/>
      <c r="B57" s="1791"/>
      <c r="C57" s="1791"/>
      <c r="D57" s="1792"/>
      <c r="E57" s="1793"/>
      <c r="F57" s="1793"/>
      <c r="G57" s="1792"/>
      <c r="H57" s="1793"/>
      <c r="I57" s="1798"/>
      <c r="J57" s="2399"/>
      <c r="K57" s="2391"/>
      <c r="L57" s="2357"/>
      <c r="M57" s="2355"/>
      <c r="N57" s="2357"/>
      <c r="O57" s="2399"/>
      <c r="P57" s="2391"/>
      <c r="Q57" s="2447"/>
      <c r="R57" s="2424"/>
      <c r="S57" s="2391"/>
      <c r="T57" s="2486" t="s">
        <v>2334</v>
      </c>
      <c r="U57" s="2356" t="s">
        <v>2335</v>
      </c>
      <c r="V57" s="2482">
        <v>100000000</v>
      </c>
      <c r="W57" s="2385"/>
      <c r="X57" s="2399"/>
      <c r="Y57" s="2472"/>
      <c r="Z57" s="2480"/>
      <c r="AA57" s="2480"/>
      <c r="AB57" s="2480"/>
      <c r="AC57" s="2480"/>
      <c r="AD57" s="2480"/>
      <c r="AE57" s="2480"/>
      <c r="AF57" s="2480"/>
      <c r="AG57" s="2480"/>
      <c r="AH57" s="2480"/>
      <c r="AI57" s="2480"/>
      <c r="AJ57" s="2480"/>
      <c r="AK57" s="2480"/>
      <c r="AL57" s="2472"/>
      <c r="AM57" s="2472"/>
      <c r="AN57" s="2474"/>
      <c r="AO57" s="2477"/>
      <c r="AP57" s="2477"/>
      <c r="AQ57" s="2451"/>
      <c r="AR57" s="1805"/>
      <c r="AS57" s="1805"/>
      <c r="AT57" s="1805"/>
      <c r="AU57" s="1805"/>
    </row>
    <row r="58" spans="1:47" ht="24.95" customHeight="1" x14ac:dyDescent="0.2">
      <c r="A58" s="1790"/>
      <c r="B58" s="2369"/>
      <c r="C58" s="2369"/>
      <c r="D58" s="1792"/>
      <c r="E58" s="2415"/>
      <c r="F58" s="2415"/>
      <c r="G58" s="1792"/>
      <c r="H58" s="2415"/>
      <c r="I58" s="2416"/>
      <c r="J58" s="2399"/>
      <c r="K58" s="2391"/>
      <c r="L58" s="2357"/>
      <c r="M58" s="2355"/>
      <c r="N58" s="2357"/>
      <c r="O58" s="2399"/>
      <c r="P58" s="2391"/>
      <c r="Q58" s="2447"/>
      <c r="R58" s="2424"/>
      <c r="S58" s="2391"/>
      <c r="T58" s="2487"/>
      <c r="U58" s="2357"/>
      <c r="V58" s="2394"/>
      <c r="W58" s="2385"/>
      <c r="X58" s="2399"/>
      <c r="Y58" s="2472"/>
      <c r="Z58" s="2480"/>
      <c r="AA58" s="2480"/>
      <c r="AB58" s="2480"/>
      <c r="AC58" s="2480"/>
      <c r="AD58" s="2480"/>
      <c r="AE58" s="2480"/>
      <c r="AF58" s="2480"/>
      <c r="AG58" s="2480"/>
      <c r="AH58" s="2480"/>
      <c r="AI58" s="2480"/>
      <c r="AJ58" s="2480"/>
      <c r="AK58" s="2480"/>
      <c r="AL58" s="2472"/>
      <c r="AM58" s="2472"/>
      <c r="AN58" s="2474"/>
      <c r="AO58" s="2477"/>
      <c r="AP58" s="2477"/>
      <c r="AQ58" s="2451"/>
      <c r="AR58" s="1805"/>
      <c r="AS58" s="1805"/>
      <c r="AT58" s="1805"/>
      <c r="AU58" s="1805"/>
    </row>
    <row r="59" spans="1:47" ht="98.25" customHeight="1" x14ac:dyDescent="0.2">
      <c r="A59" s="1806"/>
      <c r="B59" s="2471"/>
      <c r="C59" s="2471"/>
      <c r="D59" s="1807"/>
      <c r="E59" s="2469"/>
      <c r="F59" s="2469"/>
      <c r="G59" s="1807"/>
      <c r="H59" s="2469"/>
      <c r="I59" s="2470"/>
      <c r="J59" s="2400"/>
      <c r="K59" s="2392"/>
      <c r="L59" s="2393"/>
      <c r="M59" s="2417"/>
      <c r="N59" s="2393"/>
      <c r="O59" s="2400"/>
      <c r="P59" s="2392"/>
      <c r="Q59" s="2446"/>
      <c r="R59" s="2466"/>
      <c r="S59" s="2392"/>
      <c r="T59" s="2488"/>
      <c r="U59" s="2393"/>
      <c r="V59" s="2395"/>
      <c r="W59" s="2386"/>
      <c r="X59" s="2400"/>
      <c r="Y59" s="2472"/>
      <c r="Z59" s="2481"/>
      <c r="AA59" s="2481"/>
      <c r="AB59" s="2481"/>
      <c r="AC59" s="2481"/>
      <c r="AD59" s="2481"/>
      <c r="AE59" s="2481"/>
      <c r="AF59" s="2481"/>
      <c r="AG59" s="2481"/>
      <c r="AH59" s="2481"/>
      <c r="AI59" s="2481"/>
      <c r="AJ59" s="2481"/>
      <c r="AK59" s="2481"/>
      <c r="AL59" s="2472"/>
      <c r="AM59" s="2472"/>
      <c r="AN59" s="2475"/>
      <c r="AO59" s="2478"/>
      <c r="AP59" s="2478"/>
      <c r="AQ59" s="2452"/>
      <c r="AR59" s="1805"/>
      <c r="AS59" s="1805"/>
      <c r="AT59" s="1805"/>
      <c r="AU59" s="1805"/>
    </row>
    <row r="60" spans="1:47" ht="27" customHeight="1" x14ac:dyDescent="0.2">
      <c r="A60" s="1808" t="s">
        <v>2336</v>
      </c>
      <c r="B60" s="1809" t="s">
        <v>2337</v>
      </c>
      <c r="C60" s="1809"/>
      <c r="D60" s="1810"/>
      <c r="E60" s="1810"/>
      <c r="F60" s="1810"/>
      <c r="G60" s="1811"/>
      <c r="H60" s="1811"/>
      <c r="I60" s="1811"/>
      <c r="J60" s="1812"/>
      <c r="K60" s="1811"/>
      <c r="L60" s="1811"/>
      <c r="M60" s="1811"/>
      <c r="N60" s="1811"/>
      <c r="O60" s="1813"/>
      <c r="P60" s="1811"/>
      <c r="Q60" s="1811"/>
      <c r="R60" s="1814"/>
      <c r="S60" s="1811"/>
      <c r="T60" s="1811"/>
      <c r="U60" s="1811"/>
      <c r="V60" s="1815"/>
      <c r="W60" s="1816"/>
      <c r="X60" s="1817"/>
      <c r="Y60" s="1818"/>
      <c r="Z60" s="1819"/>
      <c r="AA60" s="1819"/>
      <c r="AB60" s="1819"/>
      <c r="AC60" s="1819"/>
      <c r="AD60" s="1819"/>
      <c r="AE60" s="1819"/>
      <c r="AF60" s="1819"/>
      <c r="AG60" s="1819"/>
      <c r="AH60" s="1819"/>
      <c r="AI60" s="1819"/>
      <c r="AJ60" s="1819"/>
      <c r="AK60" s="1819"/>
      <c r="AL60" s="1820"/>
      <c r="AM60" s="1820"/>
      <c r="AN60" s="1821"/>
      <c r="AO60" s="1822"/>
      <c r="AP60" s="1822"/>
      <c r="AQ60" s="1823"/>
      <c r="AR60" s="1805"/>
      <c r="AS60" s="1805"/>
      <c r="AT60" s="1805"/>
      <c r="AU60" s="1805"/>
    </row>
    <row r="61" spans="1:47" ht="27" customHeight="1" x14ac:dyDescent="0.2">
      <c r="A61" s="2407" t="s">
        <v>1214</v>
      </c>
      <c r="B61" s="2408"/>
      <c r="C61" s="2408"/>
      <c r="D61" s="1824" t="s">
        <v>2338</v>
      </c>
      <c r="E61" s="2372" t="s">
        <v>2339</v>
      </c>
      <c r="F61" s="2372"/>
      <c r="G61" s="2372"/>
      <c r="H61" s="2372"/>
      <c r="I61" s="2372"/>
      <c r="J61" s="2372"/>
      <c r="K61" s="2372"/>
      <c r="L61" s="2372"/>
      <c r="M61" s="1770"/>
      <c r="N61" s="1770"/>
      <c r="O61" s="1771"/>
      <c r="P61" s="1770"/>
      <c r="Q61" s="1770"/>
      <c r="R61" s="1825"/>
      <c r="S61" s="1770"/>
      <c r="T61" s="1770"/>
      <c r="U61" s="1770"/>
      <c r="V61" s="1774"/>
      <c r="W61" s="1826"/>
      <c r="X61" s="1827"/>
      <c r="Y61" s="1828"/>
      <c r="Z61" s="1768"/>
      <c r="AA61" s="1768"/>
      <c r="AB61" s="1768"/>
      <c r="AC61" s="1768"/>
      <c r="AD61" s="1768"/>
      <c r="AE61" s="1768"/>
      <c r="AF61" s="1768"/>
      <c r="AG61" s="1768"/>
      <c r="AH61" s="1768"/>
      <c r="AI61" s="1768"/>
      <c r="AJ61" s="1768"/>
      <c r="AK61" s="1768"/>
      <c r="AL61" s="1776"/>
      <c r="AM61" s="1776"/>
      <c r="AN61" s="1829"/>
      <c r="AO61" s="1830"/>
      <c r="AP61" s="1830"/>
      <c r="AQ61" s="1831"/>
      <c r="AR61" s="1805"/>
      <c r="AS61" s="1805"/>
      <c r="AT61" s="1805"/>
      <c r="AU61" s="1805"/>
    </row>
    <row r="62" spans="1:47" ht="27" customHeight="1" thickBot="1" x14ac:dyDescent="0.25">
      <c r="A62" s="2407"/>
      <c r="B62" s="2408"/>
      <c r="C62" s="2408"/>
      <c r="D62" s="2430" t="s">
        <v>1214</v>
      </c>
      <c r="E62" s="2430"/>
      <c r="F62" s="2430"/>
      <c r="G62" s="1832" t="s">
        <v>2340</v>
      </c>
      <c r="H62" s="2467" t="s">
        <v>2341</v>
      </c>
      <c r="I62" s="2467"/>
      <c r="J62" s="2467"/>
      <c r="K62" s="2467"/>
      <c r="L62" s="2467"/>
      <c r="M62" s="2467"/>
      <c r="N62" s="2467"/>
      <c r="O62" s="436"/>
      <c r="P62" s="435"/>
      <c r="Q62" s="435"/>
      <c r="R62" s="1833"/>
      <c r="S62" s="435"/>
      <c r="T62" s="435"/>
      <c r="U62" s="461"/>
      <c r="V62" s="1834"/>
      <c r="W62" s="1835"/>
      <c r="X62" s="1836"/>
      <c r="Y62" s="1837"/>
      <c r="Z62" s="1442"/>
      <c r="AA62" s="1442"/>
      <c r="AB62" s="1442"/>
      <c r="AC62" s="1442"/>
      <c r="AD62" s="1442"/>
      <c r="AE62" s="1442"/>
      <c r="AF62" s="1442"/>
      <c r="AG62" s="1442"/>
      <c r="AH62" s="1442"/>
      <c r="AI62" s="1442"/>
      <c r="AJ62" s="1442"/>
      <c r="AK62" s="1442"/>
      <c r="AL62" s="1788"/>
      <c r="AM62" s="1788"/>
      <c r="AN62" s="1838"/>
      <c r="AO62" s="1839"/>
      <c r="AP62" s="1839"/>
      <c r="AQ62" s="1840"/>
      <c r="AR62" s="1805"/>
      <c r="AS62" s="1805"/>
      <c r="AT62" s="1805"/>
      <c r="AU62" s="1805"/>
    </row>
    <row r="63" spans="1:47" ht="40.5" customHeight="1" x14ac:dyDescent="0.2">
      <c r="A63" s="2407"/>
      <c r="B63" s="2408"/>
      <c r="C63" s="2408"/>
      <c r="D63" s="2430"/>
      <c r="E63" s="2430"/>
      <c r="F63" s="2430"/>
      <c r="G63" s="2411" t="s">
        <v>1214</v>
      </c>
      <c r="H63" s="2412"/>
      <c r="I63" s="2413"/>
      <c r="J63" s="2288">
        <v>54</v>
      </c>
      <c r="K63" s="2390" t="s">
        <v>1771</v>
      </c>
      <c r="L63" s="2390" t="s">
        <v>1772</v>
      </c>
      <c r="M63" s="2398">
        <v>130</v>
      </c>
      <c r="N63" s="1486"/>
      <c r="O63" s="2398" t="s">
        <v>2342</v>
      </c>
      <c r="P63" s="2390" t="s">
        <v>2343</v>
      </c>
      <c r="Q63" s="2445">
        <f>SUM(V63:V67)/R63</f>
        <v>0.58730199399427818</v>
      </c>
      <c r="R63" s="2423">
        <f>SUM(V63:V73)</f>
        <v>6803780055</v>
      </c>
      <c r="S63" s="2430" t="s">
        <v>2344</v>
      </c>
      <c r="T63" s="2411" t="s">
        <v>2345</v>
      </c>
      <c r="U63" s="1841" t="s">
        <v>2346</v>
      </c>
      <c r="V63" s="1842">
        <v>488925000</v>
      </c>
      <c r="W63" s="2457">
        <v>23</v>
      </c>
      <c r="X63" s="2458" t="s">
        <v>2347</v>
      </c>
      <c r="Y63" s="2460">
        <v>292684</v>
      </c>
      <c r="Z63" s="2460">
        <v>282326</v>
      </c>
      <c r="AA63" s="2454">
        <v>135912</v>
      </c>
      <c r="AB63" s="2454">
        <v>45122</v>
      </c>
      <c r="AC63" s="2454">
        <v>307101</v>
      </c>
      <c r="AD63" s="2454">
        <v>86875</v>
      </c>
      <c r="AE63" s="2454">
        <v>2145</v>
      </c>
      <c r="AF63" s="2454">
        <v>12718</v>
      </c>
      <c r="AG63" s="2454">
        <v>26</v>
      </c>
      <c r="AH63" s="2454">
        <v>37</v>
      </c>
      <c r="AI63" s="2454">
        <v>0</v>
      </c>
      <c r="AJ63" s="2454">
        <v>0</v>
      </c>
      <c r="AK63" s="2454">
        <v>53164</v>
      </c>
      <c r="AL63" s="2454">
        <v>16982</v>
      </c>
      <c r="AM63" s="2454">
        <v>60013</v>
      </c>
      <c r="AN63" s="2454">
        <f>SUM(Y63:Z73)</f>
        <v>575010</v>
      </c>
      <c r="AO63" s="2437">
        <v>43102</v>
      </c>
      <c r="AP63" s="2437">
        <v>43465</v>
      </c>
      <c r="AQ63" s="2450" t="s">
        <v>2348</v>
      </c>
      <c r="AR63" s="1805"/>
      <c r="AS63" s="1805"/>
      <c r="AT63" s="1805"/>
      <c r="AU63" s="1805"/>
    </row>
    <row r="64" spans="1:47" ht="33" customHeight="1" x14ac:dyDescent="0.2">
      <c r="A64" s="2407"/>
      <c r="B64" s="2408"/>
      <c r="C64" s="2408"/>
      <c r="D64" s="2430"/>
      <c r="E64" s="2430"/>
      <c r="F64" s="2430"/>
      <c r="G64" s="2414"/>
      <c r="H64" s="2415"/>
      <c r="I64" s="2416"/>
      <c r="J64" s="2289"/>
      <c r="K64" s="2391"/>
      <c r="L64" s="2391"/>
      <c r="M64" s="2399"/>
      <c r="N64" s="1487"/>
      <c r="O64" s="2399"/>
      <c r="P64" s="2391"/>
      <c r="Q64" s="2447"/>
      <c r="R64" s="2424"/>
      <c r="S64" s="2430"/>
      <c r="T64" s="2414"/>
      <c r="U64" s="1843" t="s">
        <v>2349</v>
      </c>
      <c r="V64" s="1844">
        <v>25980000</v>
      </c>
      <c r="W64" s="2453"/>
      <c r="X64" s="2459"/>
      <c r="Y64" s="2461"/>
      <c r="Z64" s="2461"/>
      <c r="AA64" s="2455"/>
      <c r="AB64" s="2455"/>
      <c r="AC64" s="2455"/>
      <c r="AD64" s="2455"/>
      <c r="AE64" s="2455"/>
      <c r="AF64" s="2455"/>
      <c r="AG64" s="2455"/>
      <c r="AH64" s="2455"/>
      <c r="AI64" s="2455"/>
      <c r="AJ64" s="2455"/>
      <c r="AK64" s="2455"/>
      <c r="AL64" s="2455"/>
      <c r="AM64" s="2455"/>
      <c r="AN64" s="2455"/>
      <c r="AO64" s="2448"/>
      <c r="AP64" s="2448"/>
      <c r="AQ64" s="2451"/>
      <c r="AR64" s="1805"/>
      <c r="AS64" s="1805"/>
      <c r="AT64" s="1805"/>
      <c r="AU64" s="1805"/>
    </row>
    <row r="65" spans="1:47" ht="27" customHeight="1" x14ac:dyDescent="0.2">
      <c r="A65" s="2407"/>
      <c r="B65" s="2408"/>
      <c r="C65" s="2408"/>
      <c r="D65" s="2430"/>
      <c r="E65" s="2430"/>
      <c r="F65" s="2430"/>
      <c r="G65" s="2414"/>
      <c r="H65" s="2415"/>
      <c r="I65" s="2416"/>
      <c r="J65" s="2289"/>
      <c r="K65" s="2391"/>
      <c r="L65" s="2391"/>
      <c r="M65" s="2399"/>
      <c r="N65" s="1487"/>
      <c r="O65" s="2399"/>
      <c r="P65" s="2391"/>
      <c r="Q65" s="2447"/>
      <c r="R65" s="2424"/>
      <c r="S65" s="2430"/>
      <c r="T65" s="2414"/>
      <c r="U65" s="1843" t="s">
        <v>2350</v>
      </c>
      <c r="V65" s="1844">
        <v>188675000</v>
      </c>
      <c r="W65" s="2453"/>
      <c r="X65" s="2459"/>
      <c r="Y65" s="2461"/>
      <c r="Z65" s="2461"/>
      <c r="AA65" s="2455"/>
      <c r="AB65" s="2455"/>
      <c r="AC65" s="2455"/>
      <c r="AD65" s="2455"/>
      <c r="AE65" s="2455"/>
      <c r="AF65" s="2455"/>
      <c r="AG65" s="2455"/>
      <c r="AH65" s="2455"/>
      <c r="AI65" s="2455"/>
      <c r="AJ65" s="2455"/>
      <c r="AK65" s="2455"/>
      <c r="AL65" s="2455"/>
      <c r="AM65" s="2455"/>
      <c r="AN65" s="2455"/>
      <c r="AO65" s="2448"/>
      <c r="AP65" s="2448"/>
      <c r="AQ65" s="2451"/>
      <c r="AR65" s="1805"/>
      <c r="AS65" s="1805"/>
      <c r="AT65" s="1805"/>
      <c r="AU65" s="1805"/>
    </row>
    <row r="66" spans="1:47" ht="40.5" customHeight="1" x14ac:dyDescent="0.2">
      <c r="A66" s="2407"/>
      <c r="B66" s="2408"/>
      <c r="C66" s="2408"/>
      <c r="D66" s="2430"/>
      <c r="E66" s="2430"/>
      <c r="F66" s="2430"/>
      <c r="G66" s="2414"/>
      <c r="H66" s="2415"/>
      <c r="I66" s="2416"/>
      <c r="J66" s="2289"/>
      <c r="K66" s="2391"/>
      <c r="L66" s="2391"/>
      <c r="M66" s="2399"/>
      <c r="N66" s="1487" t="s">
        <v>2351</v>
      </c>
      <c r="O66" s="2399"/>
      <c r="P66" s="2391"/>
      <c r="Q66" s="2447"/>
      <c r="R66" s="2424"/>
      <c r="S66" s="2430"/>
      <c r="T66" s="2414"/>
      <c r="U66" s="1843" t="s">
        <v>2352</v>
      </c>
      <c r="V66" s="1844">
        <v>300000000</v>
      </c>
      <c r="W66" s="2453"/>
      <c r="X66" s="2459"/>
      <c r="Y66" s="2461"/>
      <c r="Z66" s="2461"/>
      <c r="AA66" s="2455"/>
      <c r="AB66" s="2455"/>
      <c r="AC66" s="2455"/>
      <c r="AD66" s="2455"/>
      <c r="AE66" s="2455"/>
      <c r="AF66" s="2455"/>
      <c r="AG66" s="2455"/>
      <c r="AH66" s="2455"/>
      <c r="AI66" s="2455"/>
      <c r="AJ66" s="2455"/>
      <c r="AK66" s="2455"/>
      <c r="AL66" s="2455"/>
      <c r="AM66" s="2455"/>
      <c r="AN66" s="2455"/>
      <c r="AO66" s="2448"/>
      <c r="AP66" s="2448"/>
      <c r="AQ66" s="2451"/>
      <c r="AR66" s="1805"/>
      <c r="AS66" s="1805"/>
      <c r="AT66" s="1805"/>
      <c r="AU66" s="1805"/>
    </row>
    <row r="67" spans="1:47" ht="36.75" customHeight="1" thickBot="1" x14ac:dyDescent="0.25">
      <c r="A67" s="2407"/>
      <c r="B67" s="2408"/>
      <c r="C67" s="2408"/>
      <c r="D67" s="2430"/>
      <c r="E67" s="2430"/>
      <c r="F67" s="2430"/>
      <c r="G67" s="2414"/>
      <c r="H67" s="2415"/>
      <c r="I67" s="2416"/>
      <c r="J67" s="2289"/>
      <c r="K67" s="2391"/>
      <c r="L67" s="2391"/>
      <c r="M67" s="2399"/>
      <c r="N67" s="1487"/>
      <c r="O67" s="2399"/>
      <c r="P67" s="2391"/>
      <c r="Q67" s="2447"/>
      <c r="R67" s="2424"/>
      <c r="S67" s="2430"/>
      <c r="T67" s="2414"/>
      <c r="U67" s="1845" t="s">
        <v>2353</v>
      </c>
      <c r="V67" s="1846">
        <v>2992293593</v>
      </c>
      <c r="W67" s="2453"/>
      <c r="X67" s="2459"/>
      <c r="Y67" s="2461"/>
      <c r="Z67" s="2461"/>
      <c r="AA67" s="2455"/>
      <c r="AB67" s="2455"/>
      <c r="AC67" s="2455"/>
      <c r="AD67" s="2455"/>
      <c r="AE67" s="2455"/>
      <c r="AF67" s="2455"/>
      <c r="AG67" s="2455"/>
      <c r="AH67" s="2455"/>
      <c r="AI67" s="2455"/>
      <c r="AJ67" s="2455"/>
      <c r="AK67" s="2455"/>
      <c r="AL67" s="2455"/>
      <c r="AM67" s="2455"/>
      <c r="AN67" s="2455"/>
      <c r="AO67" s="2448"/>
      <c r="AP67" s="2448"/>
      <c r="AQ67" s="2451"/>
      <c r="AR67" s="1805"/>
      <c r="AS67" s="1805"/>
      <c r="AT67" s="1805"/>
      <c r="AU67" s="1805"/>
    </row>
    <row r="68" spans="1:47" ht="44.25" customHeight="1" x14ac:dyDescent="0.2">
      <c r="A68" s="2407"/>
      <c r="B68" s="2408"/>
      <c r="C68" s="2408"/>
      <c r="D68" s="2430"/>
      <c r="E68" s="2430"/>
      <c r="F68" s="2430"/>
      <c r="G68" s="2414"/>
      <c r="H68" s="2415"/>
      <c r="I68" s="2416"/>
      <c r="J68" s="2288">
        <v>55</v>
      </c>
      <c r="K68" s="2390" t="s">
        <v>2354</v>
      </c>
      <c r="L68" s="2390" t="s">
        <v>2355</v>
      </c>
      <c r="M68" s="2354">
        <v>12</v>
      </c>
      <c r="N68" s="1487" t="s">
        <v>2356</v>
      </c>
      <c r="O68" s="2399"/>
      <c r="P68" s="2391"/>
      <c r="Q68" s="2445">
        <f>SUM(V68:V71)/R63</f>
        <v>0.26983624502247378</v>
      </c>
      <c r="R68" s="2424"/>
      <c r="S68" s="2430"/>
      <c r="T68" s="2411" t="s">
        <v>2357</v>
      </c>
      <c r="U68" s="1841" t="s">
        <v>2346</v>
      </c>
      <c r="V68" s="1842">
        <v>543000000</v>
      </c>
      <c r="W68" s="2453">
        <v>46</v>
      </c>
      <c r="X68" s="2459" t="s">
        <v>645</v>
      </c>
      <c r="Y68" s="2461"/>
      <c r="Z68" s="2461"/>
      <c r="AA68" s="2455"/>
      <c r="AB68" s="2455"/>
      <c r="AC68" s="2455"/>
      <c r="AD68" s="2455"/>
      <c r="AE68" s="2455"/>
      <c r="AF68" s="2455"/>
      <c r="AG68" s="2455"/>
      <c r="AH68" s="2455"/>
      <c r="AI68" s="2455"/>
      <c r="AJ68" s="2455"/>
      <c r="AK68" s="2455"/>
      <c r="AL68" s="2455"/>
      <c r="AM68" s="2455"/>
      <c r="AN68" s="2455"/>
      <c r="AO68" s="2448"/>
      <c r="AP68" s="2448"/>
      <c r="AQ68" s="2451"/>
      <c r="AR68" s="1805"/>
      <c r="AS68" s="1805"/>
      <c r="AT68" s="1805"/>
      <c r="AU68" s="1805"/>
    </row>
    <row r="69" spans="1:47" ht="27" customHeight="1" x14ac:dyDescent="0.2">
      <c r="A69" s="2407"/>
      <c r="B69" s="2408"/>
      <c r="C69" s="2408"/>
      <c r="D69" s="2430"/>
      <c r="E69" s="2430"/>
      <c r="F69" s="2430"/>
      <c r="G69" s="2414"/>
      <c r="H69" s="2415"/>
      <c r="I69" s="2416"/>
      <c r="J69" s="2289"/>
      <c r="K69" s="2391"/>
      <c r="L69" s="2391"/>
      <c r="M69" s="2355"/>
      <c r="N69" s="1487"/>
      <c r="O69" s="2399"/>
      <c r="P69" s="2391"/>
      <c r="Q69" s="2447"/>
      <c r="R69" s="2424"/>
      <c r="S69" s="2430"/>
      <c r="T69" s="2414"/>
      <c r="U69" s="1843" t="s">
        <v>2358</v>
      </c>
      <c r="V69" s="1844">
        <v>65900000</v>
      </c>
      <c r="W69" s="2453"/>
      <c r="X69" s="2459"/>
      <c r="Y69" s="2461"/>
      <c r="Z69" s="2461"/>
      <c r="AA69" s="2455"/>
      <c r="AB69" s="2455"/>
      <c r="AC69" s="2455"/>
      <c r="AD69" s="2455"/>
      <c r="AE69" s="2455"/>
      <c r="AF69" s="2455"/>
      <c r="AG69" s="2455"/>
      <c r="AH69" s="2455"/>
      <c r="AI69" s="2455"/>
      <c r="AJ69" s="2455"/>
      <c r="AK69" s="2455"/>
      <c r="AL69" s="2455"/>
      <c r="AM69" s="2455"/>
      <c r="AN69" s="2455"/>
      <c r="AO69" s="2448"/>
      <c r="AP69" s="2448"/>
      <c r="AQ69" s="2451"/>
      <c r="AR69" s="1805"/>
      <c r="AS69" s="1805"/>
      <c r="AT69" s="1805"/>
      <c r="AU69" s="1805"/>
    </row>
    <row r="70" spans="1:47" ht="33" customHeight="1" x14ac:dyDescent="0.2">
      <c r="A70" s="2407"/>
      <c r="B70" s="2408"/>
      <c r="C70" s="2408"/>
      <c r="D70" s="2430"/>
      <c r="E70" s="2430"/>
      <c r="F70" s="2430"/>
      <c r="G70" s="2414"/>
      <c r="H70" s="2415"/>
      <c r="I70" s="2416"/>
      <c r="J70" s="2289"/>
      <c r="K70" s="2391"/>
      <c r="L70" s="2391"/>
      <c r="M70" s="2355"/>
      <c r="N70" s="1487"/>
      <c r="O70" s="2399"/>
      <c r="P70" s="2391"/>
      <c r="Q70" s="2447"/>
      <c r="R70" s="2424"/>
      <c r="S70" s="2430"/>
      <c r="T70" s="2414"/>
      <c r="U70" s="1843" t="s">
        <v>2350</v>
      </c>
      <c r="V70" s="1844">
        <v>621545000</v>
      </c>
      <c r="W70" s="2453">
        <v>88</v>
      </c>
      <c r="X70" s="2459" t="s">
        <v>2359</v>
      </c>
      <c r="Y70" s="2461"/>
      <c r="Z70" s="2461"/>
      <c r="AA70" s="2455"/>
      <c r="AB70" s="2455"/>
      <c r="AC70" s="2455"/>
      <c r="AD70" s="2455"/>
      <c r="AE70" s="2455"/>
      <c r="AF70" s="2455"/>
      <c r="AG70" s="2455"/>
      <c r="AH70" s="2455"/>
      <c r="AI70" s="2455"/>
      <c r="AJ70" s="2455"/>
      <c r="AK70" s="2455"/>
      <c r="AL70" s="2455"/>
      <c r="AM70" s="2455"/>
      <c r="AN70" s="2455"/>
      <c r="AO70" s="2448"/>
      <c r="AP70" s="2448"/>
      <c r="AQ70" s="2451"/>
      <c r="AR70" s="1805"/>
      <c r="AS70" s="1805"/>
      <c r="AT70" s="1805"/>
      <c r="AU70" s="1805"/>
    </row>
    <row r="71" spans="1:47" ht="36.75" customHeight="1" thickBot="1" x14ac:dyDescent="0.25">
      <c r="A71" s="2407"/>
      <c r="B71" s="2408"/>
      <c r="C71" s="2408"/>
      <c r="D71" s="2430"/>
      <c r="E71" s="2430"/>
      <c r="F71" s="2430"/>
      <c r="G71" s="2414"/>
      <c r="H71" s="2415"/>
      <c r="I71" s="2416"/>
      <c r="J71" s="2434"/>
      <c r="K71" s="2391"/>
      <c r="L71" s="2391"/>
      <c r="M71" s="2355"/>
      <c r="N71" s="1487" t="s">
        <v>2360</v>
      </c>
      <c r="O71" s="2399"/>
      <c r="P71" s="2391"/>
      <c r="Q71" s="2447"/>
      <c r="R71" s="2424"/>
      <c r="S71" s="2430"/>
      <c r="T71" s="2414"/>
      <c r="U71" s="1847" t="s">
        <v>2353</v>
      </c>
      <c r="V71" s="1848">
        <v>605461462</v>
      </c>
      <c r="W71" s="2453"/>
      <c r="X71" s="2459"/>
      <c r="Y71" s="2461"/>
      <c r="Z71" s="2461"/>
      <c r="AA71" s="2455"/>
      <c r="AB71" s="2455"/>
      <c r="AC71" s="2455"/>
      <c r="AD71" s="2455"/>
      <c r="AE71" s="2455"/>
      <c r="AF71" s="2455"/>
      <c r="AG71" s="2455"/>
      <c r="AH71" s="2455"/>
      <c r="AI71" s="2455"/>
      <c r="AJ71" s="2455"/>
      <c r="AK71" s="2455"/>
      <c r="AL71" s="2455"/>
      <c r="AM71" s="2455"/>
      <c r="AN71" s="2455"/>
      <c r="AO71" s="2448"/>
      <c r="AP71" s="2448"/>
      <c r="AQ71" s="2451"/>
      <c r="AR71" s="1805"/>
      <c r="AS71" s="1805"/>
      <c r="AT71" s="1805"/>
      <c r="AU71" s="1805"/>
    </row>
    <row r="72" spans="1:47" ht="46.5" customHeight="1" x14ac:dyDescent="0.2">
      <c r="A72" s="2407"/>
      <c r="B72" s="2408"/>
      <c r="C72" s="2408"/>
      <c r="D72" s="2430"/>
      <c r="E72" s="2430"/>
      <c r="F72" s="2430"/>
      <c r="G72" s="2414"/>
      <c r="H72" s="2415"/>
      <c r="I72" s="2416"/>
      <c r="J72" s="2289">
        <v>56</v>
      </c>
      <c r="K72" s="2390" t="s">
        <v>2361</v>
      </c>
      <c r="L72" s="2390" t="s">
        <v>2362</v>
      </c>
      <c r="M72" s="2354">
        <v>3</v>
      </c>
      <c r="N72" s="1487" t="s">
        <v>2363</v>
      </c>
      <c r="O72" s="2399"/>
      <c r="P72" s="2391"/>
      <c r="Q72" s="2445">
        <f>SUM(V72:V73)/R63</f>
        <v>0.14286176098324802</v>
      </c>
      <c r="R72" s="2424"/>
      <c r="S72" s="2430"/>
      <c r="T72" s="2411" t="s">
        <v>2364</v>
      </c>
      <c r="U72" s="1841" t="s">
        <v>2365</v>
      </c>
      <c r="V72" s="1842">
        <v>892000000</v>
      </c>
      <c r="W72" s="2453">
        <v>89</v>
      </c>
      <c r="X72" s="2463" t="s">
        <v>2366</v>
      </c>
      <c r="Y72" s="2461"/>
      <c r="Z72" s="2461"/>
      <c r="AA72" s="2455"/>
      <c r="AB72" s="2455"/>
      <c r="AC72" s="2455"/>
      <c r="AD72" s="2455"/>
      <c r="AE72" s="2455"/>
      <c r="AF72" s="2455"/>
      <c r="AG72" s="2455"/>
      <c r="AH72" s="2455"/>
      <c r="AI72" s="2455"/>
      <c r="AJ72" s="2455"/>
      <c r="AK72" s="2455"/>
      <c r="AL72" s="2455"/>
      <c r="AM72" s="2455"/>
      <c r="AN72" s="2455"/>
      <c r="AO72" s="2448"/>
      <c r="AP72" s="2448"/>
      <c r="AQ72" s="2451"/>
      <c r="AR72" s="1805"/>
      <c r="AS72" s="1805"/>
      <c r="AT72" s="1805"/>
      <c r="AU72" s="1805"/>
    </row>
    <row r="73" spans="1:47" ht="57" customHeight="1" thickBot="1" x14ac:dyDescent="0.25">
      <c r="A73" s="2407"/>
      <c r="B73" s="2408"/>
      <c r="C73" s="2408"/>
      <c r="D73" s="2430"/>
      <c r="E73" s="2430"/>
      <c r="F73" s="2430"/>
      <c r="G73" s="2468"/>
      <c r="H73" s="2469"/>
      <c r="I73" s="2470"/>
      <c r="J73" s="2434"/>
      <c r="K73" s="2392"/>
      <c r="L73" s="2392"/>
      <c r="M73" s="2417"/>
      <c r="N73" s="1487"/>
      <c r="O73" s="2399"/>
      <c r="P73" s="2391"/>
      <c r="Q73" s="2446"/>
      <c r="R73" s="2466"/>
      <c r="S73" s="2430"/>
      <c r="T73" s="2468"/>
      <c r="U73" s="1845" t="s">
        <v>2367</v>
      </c>
      <c r="V73" s="1849">
        <v>80000000</v>
      </c>
      <c r="W73" s="2465"/>
      <c r="X73" s="2464"/>
      <c r="Y73" s="2462"/>
      <c r="Z73" s="2462"/>
      <c r="AA73" s="2456"/>
      <c r="AB73" s="2456"/>
      <c r="AC73" s="2456"/>
      <c r="AD73" s="2456"/>
      <c r="AE73" s="2456"/>
      <c r="AF73" s="2456"/>
      <c r="AG73" s="2456"/>
      <c r="AH73" s="2456"/>
      <c r="AI73" s="2456"/>
      <c r="AJ73" s="2456"/>
      <c r="AK73" s="2456"/>
      <c r="AL73" s="2456"/>
      <c r="AM73" s="2456"/>
      <c r="AN73" s="2456"/>
      <c r="AO73" s="2449"/>
      <c r="AP73" s="2448"/>
      <c r="AQ73" s="2452"/>
      <c r="AR73" s="1805"/>
      <c r="AS73" s="1805"/>
      <c r="AT73" s="1805"/>
      <c r="AU73" s="1805"/>
    </row>
    <row r="74" spans="1:47" ht="27" customHeight="1" thickBot="1" x14ac:dyDescent="0.25">
      <c r="A74" s="1850"/>
      <c r="B74" s="1851"/>
      <c r="C74" s="1852"/>
      <c r="D74" s="2411"/>
      <c r="E74" s="2412"/>
      <c r="F74" s="2413"/>
      <c r="G74" s="1853" t="s">
        <v>2368</v>
      </c>
      <c r="H74" s="1441" t="s">
        <v>2369</v>
      </c>
      <c r="I74" s="1442"/>
      <c r="J74" s="1442"/>
      <c r="K74" s="1442"/>
      <c r="L74" s="1442"/>
      <c r="M74" s="436"/>
      <c r="N74" s="435"/>
      <c r="O74" s="436"/>
      <c r="P74" s="435"/>
      <c r="Q74" s="435"/>
      <c r="R74" s="1833"/>
      <c r="S74" s="435"/>
      <c r="T74" s="435"/>
      <c r="U74" s="1854"/>
      <c r="V74" s="1855"/>
      <c r="W74" s="1856"/>
      <c r="X74" s="1857"/>
      <c r="Y74" s="1856"/>
      <c r="Z74" s="1783"/>
      <c r="AA74" s="1783"/>
      <c r="AB74" s="1783"/>
      <c r="AC74" s="1783"/>
      <c r="AD74" s="1783"/>
      <c r="AE74" s="1783"/>
      <c r="AF74" s="1783"/>
      <c r="AG74" s="1783"/>
      <c r="AH74" s="1783"/>
      <c r="AI74" s="1783"/>
      <c r="AJ74" s="1783"/>
      <c r="AK74" s="1783"/>
      <c r="AL74" s="1783"/>
      <c r="AM74" s="1783"/>
      <c r="AN74" s="1783"/>
      <c r="AO74" s="1783"/>
      <c r="AP74" s="1783"/>
      <c r="AQ74" s="1858"/>
      <c r="AR74" s="1805"/>
      <c r="AS74" s="1805"/>
      <c r="AT74" s="1805"/>
      <c r="AU74" s="1805"/>
    </row>
    <row r="75" spans="1:47" ht="30" x14ac:dyDescent="0.2">
      <c r="A75" s="1850"/>
      <c r="B75" s="1859"/>
      <c r="C75" s="1860"/>
      <c r="D75" s="2414"/>
      <c r="E75" s="2415"/>
      <c r="F75" s="2416"/>
      <c r="G75" s="2411"/>
      <c r="H75" s="2412"/>
      <c r="I75" s="2413"/>
      <c r="J75" s="2354">
        <v>57</v>
      </c>
      <c r="K75" s="2390" t="s">
        <v>1789</v>
      </c>
      <c r="L75" s="2390" t="s">
        <v>1790</v>
      </c>
      <c r="M75" s="2398">
        <v>12</v>
      </c>
      <c r="N75" s="1486"/>
      <c r="O75" s="2398" t="s">
        <v>2370</v>
      </c>
      <c r="P75" s="2390" t="s">
        <v>2371</v>
      </c>
      <c r="Q75" s="2418">
        <f>SUM(V75:V80)/R75</f>
        <v>0.27087261091742804</v>
      </c>
      <c r="R75" s="2423">
        <f>SUM(V75:V103)</f>
        <v>24146757861</v>
      </c>
      <c r="S75" s="2390" t="s">
        <v>2372</v>
      </c>
      <c r="T75" s="2411" t="s">
        <v>2373</v>
      </c>
      <c r="U75" s="1861" t="s">
        <v>2346</v>
      </c>
      <c r="V75" s="1842">
        <v>370500000</v>
      </c>
      <c r="W75" s="1862"/>
      <c r="X75" s="1863"/>
      <c r="Y75" s="2435">
        <v>292684</v>
      </c>
      <c r="Z75" s="2440">
        <v>282326</v>
      </c>
      <c r="AA75" s="2443">
        <v>135912</v>
      </c>
      <c r="AB75" s="2440">
        <v>45122</v>
      </c>
      <c r="AC75" s="2440">
        <v>307101</v>
      </c>
      <c r="AD75" s="2440">
        <v>86875</v>
      </c>
      <c r="AE75" s="2438">
        <v>2145</v>
      </c>
      <c r="AF75" s="2440">
        <v>12718</v>
      </c>
      <c r="AG75" s="2441">
        <v>26</v>
      </c>
      <c r="AH75" s="2440">
        <v>37</v>
      </c>
      <c r="AI75" s="2440">
        <v>0</v>
      </c>
      <c r="AJ75" s="2440">
        <v>0</v>
      </c>
      <c r="AK75" s="2435">
        <v>53164</v>
      </c>
      <c r="AL75" s="2435">
        <v>16982</v>
      </c>
      <c r="AM75" s="2436">
        <v>60013</v>
      </c>
      <c r="AN75" s="2436">
        <f>SUM(Y75:Z103)</f>
        <v>575010</v>
      </c>
      <c r="AO75" s="2343">
        <v>43102</v>
      </c>
      <c r="AP75" s="2343">
        <v>43465</v>
      </c>
      <c r="AQ75" s="2433" t="s">
        <v>2348</v>
      </c>
      <c r="AR75" s="1805"/>
      <c r="AS75" s="1805"/>
      <c r="AT75" s="1805"/>
      <c r="AU75" s="1805"/>
    </row>
    <row r="76" spans="1:47" ht="27" customHeight="1" x14ac:dyDescent="0.2">
      <c r="A76" s="1850"/>
      <c r="B76" s="1859"/>
      <c r="C76" s="1860"/>
      <c r="D76" s="2414"/>
      <c r="E76" s="2415"/>
      <c r="F76" s="2416"/>
      <c r="G76" s="2414"/>
      <c r="H76" s="2415"/>
      <c r="I76" s="2416"/>
      <c r="J76" s="2355"/>
      <c r="K76" s="2391"/>
      <c r="L76" s="2391"/>
      <c r="M76" s="2399"/>
      <c r="N76" s="1487"/>
      <c r="O76" s="2399"/>
      <c r="P76" s="2391"/>
      <c r="Q76" s="2421"/>
      <c r="R76" s="2424"/>
      <c r="S76" s="2391"/>
      <c r="T76" s="2414"/>
      <c r="U76" s="1864" t="s">
        <v>2358</v>
      </c>
      <c r="V76" s="1844">
        <v>111630000</v>
      </c>
      <c r="W76" s="1865"/>
      <c r="X76" s="1866"/>
      <c r="Y76" s="2435"/>
      <c r="Z76" s="2440"/>
      <c r="AA76" s="2443"/>
      <c r="AB76" s="2440"/>
      <c r="AC76" s="2440"/>
      <c r="AD76" s="2440"/>
      <c r="AE76" s="2438"/>
      <c r="AF76" s="2440"/>
      <c r="AG76" s="2441"/>
      <c r="AH76" s="2440"/>
      <c r="AI76" s="2440"/>
      <c r="AJ76" s="2440"/>
      <c r="AK76" s="2435"/>
      <c r="AL76" s="2435"/>
      <c r="AM76" s="2436"/>
      <c r="AN76" s="2436"/>
      <c r="AO76" s="2343"/>
      <c r="AP76" s="2343"/>
      <c r="AQ76" s="2433"/>
      <c r="AR76" s="1805"/>
      <c r="AS76" s="1805"/>
      <c r="AT76" s="1805"/>
      <c r="AU76" s="1805"/>
    </row>
    <row r="77" spans="1:47" ht="27" customHeight="1" x14ac:dyDescent="0.2">
      <c r="A77" s="1850"/>
      <c r="B77" s="1859"/>
      <c r="C77" s="1860"/>
      <c r="D77" s="2414"/>
      <c r="E77" s="2415"/>
      <c r="F77" s="2416"/>
      <c r="G77" s="2414"/>
      <c r="H77" s="2415"/>
      <c r="I77" s="2416"/>
      <c r="J77" s="2355"/>
      <c r="K77" s="2391"/>
      <c r="L77" s="2391"/>
      <c r="M77" s="2399"/>
      <c r="N77" s="1487"/>
      <c r="O77" s="2399"/>
      <c r="P77" s="2391"/>
      <c r="Q77" s="2421"/>
      <c r="R77" s="2424"/>
      <c r="S77" s="2391"/>
      <c r="T77" s="2414"/>
      <c r="U77" s="1864" t="s">
        <v>2350</v>
      </c>
      <c r="V77" s="1844">
        <v>908325000</v>
      </c>
      <c r="W77" s="1865"/>
      <c r="X77" s="1866"/>
      <c r="Y77" s="2435"/>
      <c r="Z77" s="2440"/>
      <c r="AA77" s="2443"/>
      <c r="AB77" s="2440"/>
      <c r="AC77" s="2440"/>
      <c r="AD77" s="2440"/>
      <c r="AE77" s="2438"/>
      <c r="AF77" s="2440"/>
      <c r="AG77" s="2441"/>
      <c r="AH77" s="2440"/>
      <c r="AI77" s="2440"/>
      <c r="AJ77" s="2440"/>
      <c r="AK77" s="2435"/>
      <c r="AL77" s="2435"/>
      <c r="AM77" s="2436"/>
      <c r="AN77" s="2436"/>
      <c r="AO77" s="2343"/>
      <c r="AP77" s="2343"/>
      <c r="AQ77" s="2433"/>
      <c r="AR77" s="1805"/>
      <c r="AS77" s="1805"/>
      <c r="AT77" s="1805"/>
      <c r="AU77" s="1805"/>
    </row>
    <row r="78" spans="1:47" ht="27" customHeight="1" x14ac:dyDescent="0.2">
      <c r="A78" s="1850"/>
      <c r="B78" s="1859"/>
      <c r="C78" s="1860"/>
      <c r="D78" s="2414"/>
      <c r="E78" s="2415"/>
      <c r="F78" s="2416"/>
      <c r="G78" s="2414"/>
      <c r="H78" s="2415"/>
      <c r="I78" s="2416"/>
      <c r="J78" s="2355"/>
      <c r="K78" s="2391"/>
      <c r="L78" s="2391"/>
      <c r="M78" s="2399"/>
      <c r="N78" s="1487"/>
      <c r="O78" s="2399"/>
      <c r="P78" s="2391"/>
      <c r="Q78" s="2421"/>
      <c r="R78" s="2424"/>
      <c r="S78" s="2391"/>
      <c r="T78" s="2414"/>
      <c r="U78" s="1864" t="s">
        <v>2374</v>
      </c>
      <c r="V78" s="1844">
        <f>500000000+999624065-500000000</f>
        <v>999624065</v>
      </c>
      <c r="W78" s="1865"/>
      <c r="X78" s="1866"/>
      <c r="Y78" s="2435"/>
      <c r="Z78" s="2440"/>
      <c r="AA78" s="2443"/>
      <c r="AB78" s="2440"/>
      <c r="AC78" s="2440"/>
      <c r="AD78" s="2440"/>
      <c r="AE78" s="2438"/>
      <c r="AF78" s="2440"/>
      <c r="AG78" s="2441"/>
      <c r="AH78" s="2440"/>
      <c r="AI78" s="2440"/>
      <c r="AJ78" s="2440"/>
      <c r="AK78" s="2435"/>
      <c r="AL78" s="2435"/>
      <c r="AM78" s="2436"/>
      <c r="AN78" s="2436"/>
      <c r="AO78" s="2343"/>
      <c r="AP78" s="2343"/>
      <c r="AQ78" s="2433"/>
      <c r="AR78" s="1805"/>
      <c r="AS78" s="1805"/>
      <c r="AT78" s="1805"/>
      <c r="AU78" s="1805"/>
    </row>
    <row r="79" spans="1:47" ht="27" customHeight="1" x14ac:dyDescent="0.2">
      <c r="A79" s="1850"/>
      <c r="B79" s="1859"/>
      <c r="C79" s="1860"/>
      <c r="D79" s="2414"/>
      <c r="E79" s="2415"/>
      <c r="F79" s="2416"/>
      <c r="G79" s="2414"/>
      <c r="H79" s="2415"/>
      <c r="I79" s="2416"/>
      <c r="J79" s="2355"/>
      <c r="K79" s="2391"/>
      <c r="L79" s="2391"/>
      <c r="M79" s="2399"/>
      <c r="N79" s="1487"/>
      <c r="O79" s="2399"/>
      <c r="P79" s="2391"/>
      <c r="Q79" s="2421"/>
      <c r="R79" s="2424"/>
      <c r="S79" s="2391"/>
      <c r="T79" s="2414"/>
      <c r="U79" s="1864" t="s">
        <v>2367</v>
      </c>
      <c r="V79" s="1844">
        <f>100000000+84912000-100000000</f>
        <v>84912000</v>
      </c>
      <c r="W79" s="1865"/>
      <c r="X79" s="1866"/>
      <c r="Y79" s="2435"/>
      <c r="Z79" s="2440"/>
      <c r="AA79" s="2443"/>
      <c r="AB79" s="2440"/>
      <c r="AC79" s="2440"/>
      <c r="AD79" s="2440"/>
      <c r="AE79" s="2438"/>
      <c r="AF79" s="2440"/>
      <c r="AG79" s="2441"/>
      <c r="AH79" s="2440"/>
      <c r="AI79" s="2440"/>
      <c r="AJ79" s="2440"/>
      <c r="AK79" s="2435"/>
      <c r="AL79" s="2435"/>
      <c r="AM79" s="2436"/>
      <c r="AN79" s="2436"/>
      <c r="AO79" s="2343"/>
      <c r="AP79" s="2343"/>
      <c r="AQ79" s="2433"/>
      <c r="AR79" s="1805"/>
      <c r="AS79" s="1805"/>
      <c r="AT79" s="1805"/>
      <c r="AU79" s="1805"/>
    </row>
    <row r="80" spans="1:47" ht="27" customHeight="1" thickBot="1" x14ac:dyDescent="0.25">
      <c r="A80" s="1850"/>
      <c r="B80" s="1859"/>
      <c r="C80" s="1860"/>
      <c r="D80" s="2414"/>
      <c r="E80" s="2415"/>
      <c r="F80" s="2416"/>
      <c r="G80" s="2414"/>
      <c r="H80" s="2415"/>
      <c r="I80" s="2416"/>
      <c r="J80" s="2417"/>
      <c r="K80" s="2392"/>
      <c r="L80" s="2392"/>
      <c r="M80" s="2400"/>
      <c r="N80" s="1487"/>
      <c r="O80" s="2399"/>
      <c r="P80" s="2391"/>
      <c r="Q80" s="2419"/>
      <c r="R80" s="2424"/>
      <c r="S80" s="2391"/>
      <c r="T80" s="2414"/>
      <c r="U80" s="1867" t="s">
        <v>2353</v>
      </c>
      <c r="V80" s="1846">
        <v>4065704282</v>
      </c>
      <c r="W80" s="1865"/>
      <c r="X80" s="1866"/>
      <c r="Y80" s="2435"/>
      <c r="Z80" s="2440"/>
      <c r="AA80" s="2443"/>
      <c r="AB80" s="2440"/>
      <c r="AC80" s="2440"/>
      <c r="AD80" s="2440"/>
      <c r="AE80" s="2438"/>
      <c r="AF80" s="2440"/>
      <c r="AG80" s="2441"/>
      <c r="AH80" s="2440"/>
      <c r="AI80" s="2440"/>
      <c r="AJ80" s="2440"/>
      <c r="AK80" s="2435"/>
      <c r="AL80" s="2435"/>
      <c r="AM80" s="2436"/>
      <c r="AN80" s="2436"/>
      <c r="AO80" s="2343"/>
      <c r="AP80" s="2343"/>
      <c r="AQ80" s="2433"/>
      <c r="AR80" s="1805"/>
      <c r="AS80" s="1805"/>
      <c r="AT80" s="1805"/>
      <c r="AU80" s="1805"/>
    </row>
    <row r="81" spans="1:47" ht="33.75" customHeight="1" x14ac:dyDescent="0.2">
      <c r="A81" s="1850"/>
      <c r="B81" s="1859"/>
      <c r="C81" s="1860"/>
      <c r="D81" s="2414"/>
      <c r="E81" s="2415"/>
      <c r="F81" s="2416"/>
      <c r="G81" s="2414"/>
      <c r="H81" s="2415"/>
      <c r="I81" s="2416"/>
      <c r="J81" s="2354">
        <v>58</v>
      </c>
      <c r="K81" s="2356" t="s">
        <v>2375</v>
      </c>
      <c r="L81" s="2356" t="s">
        <v>2376</v>
      </c>
      <c r="M81" s="2354">
        <v>2</v>
      </c>
      <c r="N81" s="1487"/>
      <c r="O81" s="2399"/>
      <c r="P81" s="2391"/>
      <c r="Q81" s="2418">
        <f>SUM(V81:V84)/R75</f>
        <v>0.22363250715002481</v>
      </c>
      <c r="R81" s="2424"/>
      <c r="S81" s="2391"/>
      <c r="T81" s="2414"/>
      <c r="U81" s="1861" t="s">
        <v>2377</v>
      </c>
      <c r="V81" s="1842">
        <v>320000000</v>
      </c>
      <c r="W81" s="1868"/>
      <c r="X81" s="1866"/>
      <c r="Y81" s="2435"/>
      <c r="Z81" s="2440"/>
      <c r="AA81" s="2443"/>
      <c r="AB81" s="2440"/>
      <c r="AC81" s="2440"/>
      <c r="AD81" s="2440"/>
      <c r="AE81" s="2438"/>
      <c r="AF81" s="2440"/>
      <c r="AG81" s="2441"/>
      <c r="AH81" s="2440"/>
      <c r="AI81" s="2440"/>
      <c r="AJ81" s="2440"/>
      <c r="AK81" s="2435"/>
      <c r="AL81" s="2435"/>
      <c r="AM81" s="2436"/>
      <c r="AN81" s="2436"/>
      <c r="AO81" s="2343"/>
      <c r="AP81" s="2343"/>
      <c r="AQ81" s="2433"/>
      <c r="AR81" s="1805"/>
      <c r="AS81" s="1805"/>
      <c r="AT81" s="1805"/>
      <c r="AU81" s="1805"/>
    </row>
    <row r="82" spans="1:47" ht="24.75" customHeight="1" x14ac:dyDescent="0.2">
      <c r="A82" s="1850"/>
      <c r="B82" s="1859"/>
      <c r="C82" s="1860"/>
      <c r="D82" s="2414"/>
      <c r="E82" s="2415"/>
      <c r="F82" s="2416"/>
      <c r="G82" s="2414"/>
      <c r="H82" s="2415"/>
      <c r="I82" s="2416"/>
      <c r="J82" s="2355"/>
      <c r="K82" s="2357"/>
      <c r="L82" s="2357"/>
      <c r="M82" s="2355"/>
      <c r="N82" s="1487"/>
      <c r="O82" s="2399"/>
      <c r="P82" s="2391"/>
      <c r="Q82" s="2421"/>
      <c r="R82" s="2424"/>
      <c r="S82" s="2391"/>
      <c r="T82" s="2414"/>
      <c r="U82" s="1864" t="s">
        <v>2374</v>
      </c>
      <c r="V82" s="1844">
        <v>420000000</v>
      </c>
      <c r="W82" s="1868"/>
      <c r="X82" s="1866"/>
      <c r="Y82" s="2435"/>
      <c r="Z82" s="2440"/>
      <c r="AA82" s="2443"/>
      <c r="AB82" s="2440"/>
      <c r="AC82" s="2440"/>
      <c r="AD82" s="2440"/>
      <c r="AE82" s="2438"/>
      <c r="AF82" s="2440"/>
      <c r="AG82" s="2441"/>
      <c r="AH82" s="2440"/>
      <c r="AI82" s="2440"/>
      <c r="AJ82" s="2440"/>
      <c r="AK82" s="2435"/>
      <c r="AL82" s="2435"/>
      <c r="AM82" s="2436"/>
      <c r="AN82" s="2436"/>
      <c r="AO82" s="2343"/>
      <c r="AP82" s="2343"/>
      <c r="AQ82" s="2433"/>
      <c r="AR82" s="1805"/>
      <c r="AS82" s="1805"/>
      <c r="AT82" s="1805"/>
      <c r="AU82" s="1805"/>
    </row>
    <row r="83" spans="1:47" ht="27" customHeight="1" x14ac:dyDescent="0.2">
      <c r="A83" s="1850"/>
      <c r="B83" s="1859"/>
      <c r="C83" s="1860"/>
      <c r="D83" s="2414"/>
      <c r="E83" s="2415"/>
      <c r="F83" s="2416"/>
      <c r="G83" s="2414"/>
      <c r="H83" s="2415"/>
      <c r="I83" s="2416"/>
      <c r="J83" s="2355"/>
      <c r="K83" s="2357"/>
      <c r="L83" s="2357"/>
      <c r="M83" s="2355"/>
      <c r="N83" s="1487"/>
      <c r="O83" s="2399"/>
      <c r="P83" s="2391"/>
      <c r="Q83" s="2421"/>
      <c r="R83" s="2424"/>
      <c r="S83" s="2391"/>
      <c r="T83" s="2414"/>
      <c r="U83" s="1864" t="s">
        <v>2367</v>
      </c>
      <c r="V83" s="1844">
        <v>440000000</v>
      </c>
      <c r="W83" s="1868"/>
      <c r="X83" s="1866"/>
      <c r="Y83" s="2435"/>
      <c r="Z83" s="2440"/>
      <c r="AA83" s="2443"/>
      <c r="AB83" s="2440"/>
      <c r="AC83" s="2440"/>
      <c r="AD83" s="2440"/>
      <c r="AE83" s="2438"/>
      <c r="AF83" s="2440"/>
      <c r="AG83" s="2441"/>
      <c r="AH83" s="2440"/>
      <c r="AI83" s="2440"/>
      <c r="AJ83" s="2440"/>
      <c r="AK83" s="2435"/>
      <c r="AL83" s="2435"/>
      <c r="AM83" s="2436"/>
      <c r="AN83" s="2436"/>
      <c r="AO83" s="2343"/>
      <c r="AP83" s="2343"/>
      <c r="AQ83" s="2433"/>
      <c r="AR83" s="1805"/>
      <c r="AS83" s="1805"/>
      <c r="AT83" s="1805"/>
      <c r="AU83" s="1805"/>
    </row>
    <row r="84" spans="1:47" ht="32.25" customHeight="1" thickBot="1" x14ac:dyDescent="0.25">
      <c r="A84" s="1850"/>
      <c r="B84" s="1859"/>
      <c r="C84" s="1860"/>
      <c r="D84" s="2414"/>
      <c r="E84" s="2415"/>
      <c r="F84" s="2416"/>
      <c r="G84" s="2414"/>
      <c r="H84" s="2415"/>
      <c r="I84" s="2416"/>
      <c r="J84" s="2417"/>
      <c r="K84" s="2393"/>
      <c r="L84" s="2393"/>
      <c r="M84" s="2417"/>
      <c r="N84" s="1487"/>
      <c r="O84" s="2399"/>
      <c r="P84" s="2391"/>
      <c r="Q84" s="2419"/>
      <c r="R84" s="2424"/>
      <c r="S84" s="2391"/>
      <c r="T84" s="2414"/>
      <c r="U84" s="1867" t="s">
        <v>2353</v>
      </c>
      <c r="V84" s="1846">
        <v>4220000000</v>
      </c>
      <c r="W84" s="1868"/>
      <c r="X84" s="1866"/>
      <c r="Y84" s="2435"/>
      <c r="Z84" s="2440"/>
      <c r="AA84" s="2443"/>
      <c r="AB84" s="2440"/>
      <c r="AC84" s="2440"/>
      <c r="AD84" s="2440"/>
      <c r="AE84" s="2438"/>
      <c r="AF84" s="2440"/>
      <c r="AG84" s="2441"/>
      <c r="AH84" s="2440"/>
      <c r="AI84" s="2440"/>
      <c r="AJ84" s="2440"/>
      <c r="AK84" s="2435"/>
      <c r="AL84" s="2435"/>
      <c r="AM84" s="2436"/>
      <c r="AN84" s="2436"/>
      <c r="AO84" s="2343"/>
      <c r="AP84" s="2343"/>
      <c r="AQ84" s="2433"/>
      <c r="AR84" s="1805"/>
      <c r="AS84" s="1805"/>
      <c r="AT84" s="1805"/>
      <c r="AU84" s="1805"/>
    </row>
    <row r="85" spans="1:47" ht="36.75" customHeight="1" x14ac:dyDescent="0.2">
      <c r="A85" s="1850"/>
      <c r="B85" s="1859"/>
      <c r="C85" s="1860"/>
      <c r="D85" s="2414"/>
      <c r="E85" s="2415"/>
      <c r="F85" s="2416"/>
      <c r="G85" s="2414"/>
      <c r="H85" s="2415"/>
      <c r="I85" s="2416"/>
      <c r="J85" s="2288">
        <v>59</v>
      </c>
      <c r="K85" s="2356" t="s">
        <v>1783</v>
      </c>
      <c r="L85" s="1869" t="s">
        <v>1784</v>
      </c>
      <c r="M85" s="2354">
        <v>12</v>
      </c>
      <c r="N85" s="1487" t="s">
        <v>2378</v>
      </c>
      <c r="O85" s="2399"/>
      <c r="P85" s="2391"/>
      <c r="Q85" s="2418">
        <f>SUM(V85:V90)/R75</f>
        <v>0.14536371856650723</v>
      </c>
      <c r="R85" s="2424"/>
      <c r="S85" s="2391"/>
      <c r="T85" s="2414"/>
      <c r="U85" s="1841" t="s">
        <v>2346</v>
      </c>
      <c r="V85" s="1842">
        <v>67600000</v>
      </c>
      <c r="W85" s="1870">
        <v>4</v>
      </c>
      <c r="X85" s="1866" t="s">
        <v>2284</v>
      </c>
      <c r="Y85" s="2435"/>
      <c r="Z85" s="2440"/>
      <c r="AA85" s="2443"/>
      <c r="AB85" s="2440"/>
      <c r="AC85" s="2440"/>
      <c r="AD85" s="2440"/>
      <c r="AE85" s="2438"/>
      <c r="AF85" s="2440"/>
      <c r="AG85" s="2441"/>
      <c r="AH85" s="2440"/>
      <c r="AI85" s="2440"/>
      <c r="AJ85" s="2440"/>
      <c r="AK85" s="2435"/>
      <c r="AL85" s="2435"/>
      <c r="AM85" s="2436"/>
      <c r="AN85" s="2436"/>
      <c r="AO85" s="2343"/>
      <c r="AP85" s="2343"/>
      <c r="AQ85" s="2433"/>
      <c r="AR85" s="1805"/>
      <c r="AS85" s="1805"/>
      <c r="AT85" s="1805"/>
      <c r="AU85" s="1805"/>
    </row>
    <row r="86" spans="1:47" ht="27" customHeight="1" x14ac:dyDescent="0.2">
      <c r="A86" s="1850"/>
      <c r="B86" s="1859"/>
      <c r="C86" s="1860"/>
      <c r="D86" s="2414"/>
      <c r="E86" s="2415"/>
      <c r="F86" s="2416"/>
      <c r="G86" s="2414"/>
      <c r="H86" s="2415"/>
      <c r="I86" s="2416"/>
      <c r="J86" s="2289"/>
      <c r="K86" s="2357"/>
      <c r="L86" s="1446"/>
      <c r="M86" s="2355"/>
      <c r="N86" s="1487"/>
      <c r="O86" s="2399"/>
      <c r="P86" s="2391"/>
      <c r="Q86" s="2421"/>
      <c r="R86" s="2424"/>
      <c r="S86" s="2391"/>
      <c r="T86" s="2414"/>
      <c r="U86" s="1864" t="s">
        <v>2349</v>
      </c>
      <c r="V86" s="1844">
        <v>55700000</v>
      </c>
      <c r="W86" s="1868"/>
      <c r="X86" s="1866"/>
      <c r="Y86" s="2435"/>
      <c r="Z86" s="2440"/>
      <c r="AA86" s="2443"/>
      <c r="AB86" s="2440"/>
      <c r="AC86" s="2440"/>
      <c r="AD86" s="2440"/>
      <c r="AE86" s="2438"/>
      <c r="AF86" s="2440"/>
      <c r="AG86" s="2441"/>
      <c r="AH86" s="2440"/>
      <c r="AI86" s="2440"/>
      <c r="AJ86" s="2440"/>
      <c r="AK86" s="2435"/>
      <c r="AL86" s="2435"/>
      <c r="AM86" s="2436"/>
      <c r="AN86" s="2436"/>
      <c r="AO86" s="2343"/>
      <c r="AP86" s="2343"/>
      <c r="AQ86" s="2433"/>
      <c r="AR86" s="1805"/>
      <c r="AS86" s="1805"/>
      <c r="AT86" s="1805"/>
      <c r="AU86" s="1805"/>
    </row>
    <row r="87" spans="1:47" ht="36.75" customHeight="1" x14ac:dyDescent="0.2">
      <c r="A87" s="1850"/>
      <c r="B87" s="1859"/>
      <c r="C87" s="1860"/>
      <c r="D87" s="2414"/>
      <c r="E87" s="2415"/>
      <c r="F87" s="2416"/>
      <c r="G87" s="2414"/>
      <c r="H87" s="2415"/>
      <c r="I87" s="2416"/>
      <c r="J87" s="2289"/>
      <c r="K87" s="2357"/>
      <c r="L87" s="1446"/>
      <c r="M87" s="2355"/>
      <c r="N87" s="1487" t="s">
        <v>2379</v>
      </c>
      <c r="O87" s="2399"/>
      <c r="P87" s="2391"/>
      <c r="Q87" s="2421"/>
      <c r="R87" s="2424"/>
      <c r="S87" s="2391"/>
      <c r="T87" s="2414"/>
      <c r="U87" s="1864" t="s">
        <v>2350</v>
      </c>
      <c r="V87" s="1844">
        <v>365197500</v>
      </c>
      <c r="W87" s="1870">
        <v>20</v>
      </c>
      <c r="X87" s="1866" t="s">
        <v>72</v>
      </c>
      <c r="Y87" s="2435"/>
      <c r="Z87" s="2440"/>
      <c r="AA87" s="2443"/>
      <c r="AB87" s="2440"/>
      <c r="AC87" s="2440"/>
      <c r="AD87" s="2440"/>
      <c r="AE87" s="2438"/>
      <c r="AF87" s="2440"/>
      <c r="AG87" s="2441"/>
      <c r="AH87" s="2440"/>
      <c r="AI87" s="2440"/>
      <c r="AJ87" s="2440"/>
      <c r="AK87" s="2435"/>
      <c r="AL87" s="2435"/>
      <c r="AM87" s="2436"/>
      <c r="AN87" s="2436"/>
      <c r="AO87" s="2343"/>
      <c r="AP87" s="2343"/>
      <c r="AQ87" s="2433"/>
      <c r="AR87" s="1805"/>
      <c r="AS87" s="1805"/>
      <c r="AT87" s="1805"/>
      <c r="AU87" s="1805"/>
    </row>
    <row r="88" spans="1:47" ht="27.75" customHeight="1" x14ac:dyDescent="0.2">
      <c r="A88" s="1850"/>
      <c r="B88" s="1859"/>
      <c r="C88" s="1860"/>
      <c r="D88" s="2414"/>
      <c r="E88" s="2415"/>
      <c r="F88" s="2416"/>
      <c r="G88" s="2414"/>
      <c r="H88" s="2415"/>
      <c r="I88" s="2416"/>
      <c r="J88" s="2289"/>
      <c r="K88" s="2357"/>
      <c r="L88" s="1446"/>
      <c r="M88" s="2355"/>
      <c r="N88" s="1487"/>
      <c r="O88" s="2399"/>
      <c r="P88" s="2391"/>
      <c r="Q88" s="2421"/>
      <c r="R88" s="2424"/>
      <c r="S88" s="2391"/>
      <c r="T88" s="2414"/>
      <c r="U88" s="1864" t="s">
        <v>2374</v>
      </c>
      <c r="V88" s="1844">
        <v>135000000</v>
      </c>
      <c r="W88" s="1870"/>
      <c r="X88" s="1866"/>
      <c r="Y88" s="2435"/>
      <c r="Z88" s="2440"/>
      <c r="AA88" s="2443"/>
      <c r="AB88" s="2440"/>
      <c r="AC88" s="2440"/>
      <c r="AD88" s="2440"/>
      <c r="AE88" s="2438"/>
      <c r="AF88" s="2440"/>
      <c r="AG88" s="2441"/>
      <c r="AH88" s="2440"/>
      <c r="AI88" s="2440"/>
      <c r="AJ88" s="2440"/>
      <c r="AK88" s="2435"/>
      <c r="AL88" s="2435"/>
      <c r="AM88" s="2436"/>
      <c r="AN88" s="2436"/>
      <c r="AO88" s="2343"/>
      <c r="AP88" s="2343"/>
      <c r="AQ88" s="2433"/>
      <c r="AR88" s="1805"/>
      <c r="AS88" s="1805"/>
      <c r="AT88" s="1805"/>
      <c r="AU88" s="1805"/>
    </row>
    <row r="89" spans="1:47" ht="27.75" customHeight="1" x14ac:dyDescent="0.2">
      <c r="A89" s="1850"/>
      <c r="B89" s="1859"/>
      <c r="C89" s="1860"/>
      <c r="D89" s="2414"/>
      <c r="E89" s="2415"/>
      <c r="F89" s="2416"/>
      <c r="G89" s="2414"/>
      <c r="H89" s="2415"/>
      <c r="I89" s="2416"/>
      <c r="J89" s="2289"/>
      <c r="K89" s="2357"/>
      <c r="L89" s="1446"/>
      <c r="M89" s="2355"/>
      <c r="N89" s="1487"/>
      <c r="O89" s="2399"/>
      <c r="P89" s="2391"/>
      <c r="Q89" s="2421"/>
      <c r="R89" s="2424"/>
      <c r="S89" s="2391"/>
      <c r="T89" s="2414"/>
      <c r="U89" s="1864" t="s">
        <v>2353</v>
      </c>
      <c r="V89" s="1844">
        <v>2706565014</v>
      </c>
      <c r="W89" s="1868"/>
      <c r="X89" s="1866"/>
      <c r="Y89" s="2435"/>
      <c r="Z89" s="2440"/>
      <c r="AA89" s="2443"/>
      <c r="AB89" s="2440"/>
      <c r="AC89" s="2440"/>
      <c r="AD89" s="2440"/>
      <c r="AE89" s="2438"/>
      <c r="AF89" s="2440"/>
      <c r="AG89" s="2441"/>
      <c r="AH89" s="2440"/>
      <c r="AI89" s="2440"/>
      <c r="AJ89" s="2440"/>
      <c r="AK89" s="2435"/>
      <c r="AL89" s="2435"/>
      <c r="AM89" s="2436"/>
      <c r="AN89" s="2436"/>
      <c r="AO89" s="2343"/>
      <c r="AP89" s="2343"/>
      <c r="AQ89" s="2433"/>
      <c r="AR89" s="1805"/>
      <c r="AS89" s="1805"/>
      <c r="AT89" s="1805"/>
      <c r="AU89" s="1805"/>
    </row>
    <row r="90" spans="1:47" ht="27.75" customHeight="1" thickBot="1" x14ac:dyDescent="0.25">
      <c r="A90" s="1850"/>
      <c r="B90" s="1859"/>
      <c r="C90" s="1860"/>
      <c r="D90" s="2414"/>
      <c r="E90" s="2415"/>
      <c r="F90" s="2416"/>
      <c r="G90" s="2414"/>
      <c r="H90" s="2415"/>
      <c r="I90" s="2416"/>
      <c r="J90" s="2434"/>
      <c r="K90" s="2393"/>
      <c r="L90" s="1871"/>
      <c r="M90" s="2417"/>
      <c r="N90" s="1487"/>
      <c r="O90" s="2399"/>
      <c r="P90" s="2391"/>
      <c r="Q90" s="2419"/>
      <c r="R90" s="2424"/>
      <c r="S90" s="2391"/>
      <c r="T90" s="2414"/>
      <c r="U90" s="1867" t="s">
        <v>2367</v>
      </c>
      <c r="V90" s="1846">
        <f>365484000-185484000</f>
        <v>180000000</v>
      </c>
      <c r="W90" s="1868"/>
      <c r="X90" s="1866"/>
      <c r="Y90" s="2435"/>
      <c r="Z90" s="2440"/>
      <c r="AA90" s="2443"/>
      <c r="AB90" s="2440"/>
      <c r="AC90" s="2440"/>
      <c r="AD90" s="2440"/>
      <c r="AE90" s="2438"/>
      <c r="AF90" s="2440"/>
      <c r="AG90" s="2441"/>
      <c r="AH90" s="2440"/>
      <c r="AI90" s="2440"/>
      <c r="AJ90" s="2440"/>
      <c r="AK90" s="2435"/>
      <c r="AL90" s="2435"/>
      <c r="AM90" s="2436"/>
      <c r="AN90" s="2436"/>
      <c r="AO90" s="2343"/>
      <c r="AP90" s="2343"/>
      <c r="AQ90" s="2433"/>
    </row>
    <row r="91" spans="1:47" ht="37.5" customHeight="1" x14ac:dyDescent="0.2">
      <c r="A91" s="1850"/>
      <c r="B91" s="1859"/>
      <c r="C91" s="1860"/>
      <c r="D91" s="2414"/>
      <c r="E91" s="2415"/>
      <c r="F91" s="2416"/>
      <c r="G91" s="2414"/>
      <c r="H91" s="2415"/>
      <c r="I91" s="2416"/>
      <c r="J91" s="2288">
        <v>60</v>
      </c>
      <c r="K91" s="2354" t="s">
        <v>2380</v>
      </c>
      <c r="L91" s="2398" t="s">
        <v>2381</v>
      </c>
      <c r="M91" s="2354">
        <v>12</v>
      </c>
      <c r="N91" s="1487" t="s">
        <v>2382</v>
      </c>
      <c r="O91" s="2399"/>
      <c r="P91" s="2391"/>
      <c r="Q91" s="2418">
        <f>SUM(V91:V94)/R75</f>
        <v>0.11040819704851225</v>
      </c>
      <c r="R91" s="2424"/>
      <c r="S91" s="2391"/>
      <c r="T91" s="2414"/>
      <c r="U91" s="2425" t="s">
        <v>2377</v>
      </c>
      <c r="V91" s="2427">
        <v>466000000</v>
      </c>
      <c r="W91" s="1870">
        <v>46</v>
      </c>
      <c r="X91" s="1866" t="s">
        <v>645</v>
      </c>
      <c r="Y91" s="2435"/>
      <c r="Z91" s="2440"/>
      <c r="AA91" s="2443"/>
      <c r="AB91" s="2440"/>
      <c r="AC91" s="2440"/>
      <c r="AD91" s="2440"/>
      <c r="AE91" s="2438"/>
      <c r="AF91" s="2440"/>
      <c r="AG91" s="2441"/>
      <c r="AH91" s="2440"/>
      <c r="AI91" s="2440"/>
      <c r="AJ91" s="2440"/>
      <c r="AK91" s="2435"/>
      <c r="AL91" s="2435"/>
      <c r="AM91" s="2436"/>
      <c r="AN91" s="2436"/>
      <c r="AO91" s="2343"/>
      <c r="AP91" s="2343"/>
      <c r="AQ91" s="2433"/>
    </row>
    <row r="92" spans="1:47" ht="27.75" customHeight="1" x14ac:dyDescent="0.2">
      <c r="A92" s="1850"/>
      <c r="B92" s="1859"/>
      <c r="C92" s="1860"/>
      <c r="D92" s="2414"/>
      <c r="E92" s="2415"/>
      <c r="F92" s="2416"/>
      <c r="G92" s="2414"/>
      <c r="H92" s="2415"/>
      <c r="I92" s="2416"/>
      <c r="J92" s="2289"/>
      <c r="K92" s="2355"/>
      <c r="L92" s="2399"/>
      <c r="M92" s="2355"/>
      <c r="N92" s="1487"/>
      <c r="O92" s="2399"/>
      <c r="P92" s="2391"/>
      <c r="Q92" s="2421"/>
      <c r="R92" s="2424"/>
      <c r="S92" s="2391"/>
      <c r="T92" s="2414"/>
      <c r="U92" s="2426"/>
      <c r="V92" s="2428"/>
      <c r="W92" s="1870"/>
      <c r="X92" s="1866"/>
      <c r="Y92" s="2435"/>
      <c r="Z92" s="2440"/>
      <c r="AA92" s="2443"/>
      <c r="AB92" s="2440"/>
      <c r="AC92" s="2440"/>
      <c r="AD92" s="2440"/>
      <c r="AE92" s="2438"/>
      <c r="AF92" s="2440"/>
      <c r="AG92" s="2441"/>
      <c r="AH92" s="2440"/>
      <c r="AI92" s="2440"/>
      <c r="AJ92" s="2440"/>
      <c r="AK92" s="2435"/>
      <c r="AL92" s="2435"/>
      <c r="AM92" s="2436"/>
      <c r="AN92" s="2436"/>
      <c r="AO92" s="2343"/>
      <c r="AP92" s="2343"/>
      <c r="AQ92" s="2433"/>
    </row>
    <row r="93" spans="1:47" ht="36" customHeight="1" x14ac:dyDescent="0.2">
      <c r="A93" s="1850"/>
      <c r="B93" s="1859"/>
      <c r="C93" s="1860"/>
      <c r="D93" s="2414"/>
      <c r="E93" s="2415"/>
      <c r="F93" s="2416"/>
      <c r="G93" s="2414"/>
      <c r="H93" s="2415"/>
      <c r="I93" s="2416"/>
      <c r="J93" s="2289"/>
      <c r="K93" s="2355"/>
      <c r="L93" s="2399"/>
      <c r="M93" s="2355"/>
      <c r="N93" s="1487"/>
      <c r="O93" s="2399"/>
      <c r="P93" s="2391"/>
      <c r="Q93" s="2421"/>
      <c r="R93" s="2424"/>
      <c r="S93" s="2391"/>
      <c r="T93" s="2414"/>
      <c r="U93" s="1872" t="s">
        <v>2374</v>
      </c>
      <c r="V93" s="1873">
        <v>100000000</v>
      </c>
      <c r="W93" s="1870"/>
      <c r="X93" s="1866"/>
      <c r="Y93" s="2435"/>
      <c r="Z93" s="2440"/>
      <c r="AA93" s="2443"/>
      <c r="AB93" s="2440"/>
      <c r="AC93" s="2440"/>
      <c r="AD93" s="2440"/>
      <c r="AE93" s="2438"/>
      <c r="AF93" s="2440"/>
      <c r="AG93" s="2441"/>
      <c r="AH93" s="2440"/>
      <c r="AI93" s="2440"/>
      <c r="AJ93" s="2440"/>
      <c r="AK93" s="2435"/>
      <c r="AL93" s="2435"/>
      <c r="AM93" s="2436"/>
      <c r="AN93" s="2436"/>
      <c r="AO93" s="2343"/>
      <c r="AP93" s="2343"/>
      <c r="AQ93" s="2433"/>
    </row>
    <row r="94" spans="1:47" ht="34.5" customHeight="1" thickBot="1" x14ac:dyDescent="0.25">
      <c r="A94" s="1850"/>
      <c r="B94" s="1859"/>
      <c r="C94" s="1860"/>
      <c r="D94" s="2414"/>
      <c r="E94" s="2415"/>
      <c r="F94" s="2416"/>
      <c r="G94" s="2414"/>
      <c r="H94" s="2415"/>
      <c r="I94" s="2416"/>
      <c r="J94" s="2434"/>
      <c r="K94" s="2417"/>
      <c r="L94" s="2400"/>
      <c r="M94" s="2417"/>
      <c r="N94" s="1487"/>
      <c r="O94" s="2399"/>
      <c r="P94" s="2391"/>
      <c r="Q94" s="2419"/>
      <c r="R94" s="2424"/>
      <c r="S94" s="2391"/>
      <c r="T94" s="2414"/>
      <c r="U94" s="1874" t="s">
        <v>2383</v>
      </c>
      <c r="V94" s="1875">
        <v>2100000000</v>
      </c>
      <c r="W94" s="1868"/>
      <c r="X94" s="1866"/>
      <c r="Y94" s="2435"/>
      <c r="Z94" s="2440"/>
      <c r="AA94" s="2443"/>
      <c r="AB94" s="2440"/>
      <c r="AC94" s="2440"/>
      <c r="AD94" s="2440"/>
      <c r="AE94" s="2438"/>
      <c r="AF94" s="2440"/>
      <c r="AG94" s="2441"/>
      <c r="AH94" s="2440"/>
      <c r="AI94" s="2440"/>
      <c r="AJ94" s="2440"/>
      <c r="AK94" s="2435"/>
      <c r="AL94" s="2435"/>
      <c r="AM94" s="2436"/>
      <c r="AN94" s="2436"/>
      <c r="AO94" s="2343"/>
      <c r="AP94" s="2343"/>
      <c r="AQ94" s="2433"/>
    </row>
    <row r="95" spans="1:47" ht="33" customHeight="1" x14ac:dyDescent="0.2">
      <c r="A95" s="1850"/>
      <c r="B95" s="1859"/>
      <c r="C95" s="1860"/>
      <c r="D95" s="2414"/>
      <c r="E95" s="2415"/>
      <c r="F95" s="2416"/>
      <c r="G95" s="2414"/>
      <c r="H95" s="2415"/>
      <c r="I95" s="2416"/>
      <c r="J95" s="2429">
        <v>61</v>
      </c>
      <c r="K95" s="2412" t="s">
        <v>2384</v>
      </c>
      <c r="L95" s="2430" t="s">
        <v>2385</v>
      </c>
      <c r="M95" s="2431">
        <v>1</v>
      </c>
      <c r="N95" s="1446" t="s">
        <v>2386</v>
      </c>
      <c r="O95" s="2399"/>
      <c r="P95" s="2391"/>
      <c r="Q95" s="2418">
        <f>SUM(V95)/R75</f>
        <v>3.7272084525004134E-2</v>
      </c>
      <c r="R95" s="2424"/>
      <c r="S95" s="2391"/>
      <c r="T95" s="2414"/>
      <c r="U95" s="1876" t="s">
        <v>2377</v>
      </c>
      <c r="V95" s="1877">
        <v>900000000</v>
      </c>
      <c r="W95" s="2422">
        <v>82</v>
      </c>
      <c r="X95" s="2396" t="s">
        <v>2296</v>
      </c>
      <c r="Y95" s="2435"/>
      <c r="Z95" s="2440"/>
      <c r="AA95" s="2443"/>
      <c r="AB95" s="2440"/>
      <c r="AC95" s="2440"/>
      <c r="AD95" s="2440"/>
      <c r="AE95" s="2438"/>
      <c r="AF95" s="2440"/>
      <c r="AG95" s="2441"/>
      <c r="AH95" s="2440"/>
      <c r="AI95" s="2440"/>
      <c r="AJ95" s="2440"/>
      <c r="AK95" s="2435"/>
      <c r="AL95" s="2435"/>
      <c r="AM95" s="2436"/>
      <c r="AN95" s="2436"/>
      <c r="AO95" s="2343"/>
      <c r="AP95" s="2343"/>
      <c r="AQ95" s="2433"/>
    </row>
    <row r="96" spans="1:47" ht="42.75" customHeight="1" thickBot="1" x14ac:dyDescent="0.25">
      <c r="A96" s="1850"/>
      <c r="B96" s="1859"/>
      <c r="C96" s="1860"/>
      <c r="D96" s="2414"/>
      <c r="E96" s="2415"/>
      <c r="F96" s="2416"/>
      <c r="G96" s="2414"/>
      <c r="H96" s="2415"/>
      <c r="I96" s="2416"/>
      <c r="J96" s="2429"/>
      <c r="K96" s="2415"/>
      <c r="L96" s="2430"/>
      <c r="M96" s="2432"/>
      <c r="N96" s="1487" t="s">
        <v>2387</v>
      </c>
      <c r="O96" s="2399"/>
      <c r="P96" s="2391"/>
      <c r="Q96" s="2421"/>
      <c r="R96" s="2424"/>
      <c r="S96" s="2391"/>
      <c r="T96" s="2414"/>
      <c r="U96" s="1878" t="s">
        <v>2383</v>
      </c>
      <c r="V96" s="1879">
        <v>900000000</v>
      </c>
      <c r="W96" s="2422"/>
      <c r="X96" s="2396"/>
      <c r="Y96" s="2435"/>
      <c r="Z96" s="2440"/>
      <c r="AA96" s="2443"/>
      <c r="AB96" s="2440"/>
      <c r="AC96" s="2440"/>
      <c r="AD96" s="2440"/>
      <c r="AE96" s="2438"/>
      <c r="AF96" s="2440"/>
      <c r="AG96" s="2441"/>
      <c r="AH96" s="2440"/>
      <c r="AI96" s="2440"/>
      <c r="AJ96" s="2440"/>
      <c r="AK96" s="2435"/>
      <c r="AL96" s="2435"/>
      <c r="AM96" s="2436"/>
      <c r="AN96" s="2436"/>
      <c r="AO96" s="2343"/>
      <c r="AP96" s="2343"/>
      <c r="AQ96" s="2433"/>
    </row>
    <row r="97" spans="1:76" ht="30.75" customHeight="1" x14ac:dyDescent="0.2">
      <c r="A97" s="1850"/>
      <c r="B97" s="1859"/>
      <c r="C97" s="1860"/>
      <c r="D97" s="2414"/>
      <c r="E97" s="2415"/>
      <c r="F97" s="2416"/>
      <c r="G97" s="2414"/>
      <c r="H97" s="2415"/>
      <c r="I97" s="2416"/>
      <c r="J97" s="2409">
        <v>62</v>
      </c>
      <c r="K97" s="2390" t="s">
        <v>2388</v>
      </c>
      <c r="L97" s="2390" t="s">
        <v>2389</v>
      </c>
      <c r="M97" s="2398">
        <v>2</v>
      </c>
      <c r="N97" s="1487"/>
      <c r="O97" s="2399"/>
      <c r="P97" s="2391"/>
      <c r="Q97" s="2418">
        <f>SUM(V96:V99)/R75</f>
        <v>9.9392225400011025E-2</v>
      </c>
      <c r="R97" s="2424"/>
      <c r="S97" s="2391"/>
      <c r="T97" s="2414"/>
      <c r="U97" s="1880" t="s">
        <v>2383</v>
      </c>
      <c r="V97" s="1881">
        <v>1244000000</v>
      </c>
      <c r="W97" s="1868"/>
      <c r="X97" s="1490"/>
      <c r="Y97" s="2435"/>
      <c r="Z97" s="2440"/>
      <c r="AA97" s="2443"/>
      <c r="AB97" s="2440"/>
      <c r="AC97" s="2440"/>
      <c r="AD97" s="2440"/>
      <c r="AE97" s="2438"/>
      <c r="AF97" s="2440"/>
      <c r="AG97" s="2441"/>
      <c r="AH97" s="2440"/>
      <c r="AI97" s="2440"/>
      <c r="AJ97" s="2440"/>
      <c r="AK97" s="2435"/>
      <c r="AL97" s="2435"/>
      <c r="AM97" s="2436"/>
      <c r="AN97" s="2436"/>
      <c r="AO97" s="2343"/>
      <c r="AP97" s="2343"/>
      <c r="AQ97" s="2433"/>
    </row>
    <row r="98" spans="1:76" ht="31.5" customHeight="1" x14ac:dyDescent="0.2">
      <c r="A98" s="1850"/>
      <c r="B98" s="1859"/>
      <c r="C98" s="1860"/>
      <c r="D98" s="2414"/>
      <c r="E98" s="2415"/>
      <c r="F98" s="2416"/>
      <c r="G98" s="2414"/>
      <c r="H98" s="2415"/>
      <c r="I98" s="2416"/>
      <c r="J98" s="2420"/>
      <c r="K98" s="2391"/>
      <c r="L98" s="2391"/>
      <c r="M98" s="2399"/>
      <c r="N98" s="1487"/>
      <c r="O98" s="2399"/>
      <c r="P98" s="2391"/>
      <c r="Q98" s="2421"/>
      <c r="R98" s="2424"/>
      <c r="S98" s="2391"/>
      <c r="T98" s="2414"/>
      <c r="U98" s="1872" t="s">
        <v>2367</v>
      </c>
      <c r="V98" s="509">
        <f>300000000-144000000</f>
        <v>156000000</v>
      </c>
      <c r="W98" s="1868"/>
      <c r="X98" s="1866"/>
      <c r="Y98" s="2435"/>
      <c r="Z98" s="2440"/>
      <c r="AA98" s="2443"/>
      <c r="AB98" s="2440"/>
      <c r="AC98" s="2440"/>
      <c r="AD98" s="2440"/>
      <c r="AE98" s="2438"/>
      <c r="AF98" s="2440"/>
      <c r="AG98" s="2441"/>
      <c r="AH98" s="2440"/>
      <c r="AI98" s="2440"/>
      <c r="AJ98" s="2440"/>
      <c r="AK98" s="2435"/>
      <c r="AL98" s="2435"/>
      <c r="AM98" s="2436"/>
      <c r="AN98" s="2436"/>
      <c r="AO98" s="2343"/>
      <c r="AP98" s="2343"/>
      <c r="AQ98" s="2433"/>
    </row>
    <row r="99" spans="1:76" ht="43.5" customHeight="1" thickBot="1" x14ac:dyDescent="0.25">
      <c r="A99" s="1850"/>
      <c r="B99" s="1859"/>
      <c r="C99" s="1860"/>
      <c r="D99" s="2414"/>
      <c r="E99" s="2415"/>
      <c r="F99" s="2416"/>
      <c r="G99" s="2414"/>
      <c r="H99" s="2415"/>
      <c r="I99" s="2416"/>
      <c r="J99" s="2410"/>
      <c r="K99" s="2392"/>
      <c r="L99" s="2392"/>
      <c r="M99" s="2400"/>
      <c r="N99" s="1487"/>
      <c r="O99" s="2399"/>
      <c r="P99" s="2391"/>
      <c r="Q99" s="2419"/>
      <c r="R99" s="2424"/>
      <c r="S99" s="2391"/>
      <c r="T99" s="2414"/>
      <c r="U99" s="1882" t="s">
        <v>2346</v>
      </c>
      <c r="V99" s="1488">
        <v>100000000</v>
      </c>
      <c r="W99" s="1868"/>
      <c r="X99" s="1866"/>
      <c r="Y99" s="2435"/>
      <c r="Z99" s="2440"/>
      <c r="AA99" s="2443"/>
      <c r="AB99" s="2440"/>
      <c r="AC99" s="2440"/>
      <c r="AD99" s="2440"/>
      <c r="AE99" s="2438"/>
      <c r="AF99" s="2440"/>
      <c r="AG99" s="2441"/>
      <c r="AH99" s="2440"/>
      <c r="AI99" s="2440"/>
      <c r="AJ99" s="2440"/>
      <c r="AK99" s="2435"/>
      <c r="AL99" s="2435"/>
      <c r="AM99" s="2436"/>
      <c r="AN99" s="2436"/>
      <c r="AO99" s="2343"/>
      <c r="AP99" s="2343"/>
      <c r="AQ99" s="2433"/>
    </row>
    <row r="100" spans="1:76" ht="39.75" customHeight="1" x14ac:dyDescent="0.2">
      <c r="A100" s="1850"/>
      <c r="B100" s="1859"/>
      <c r="C100" s="1860"/>
      <c r="D100" s="2414"/>
      <c r="E100" s="2415"/>
      <c r="F100" s="2416"/>
      <c r="G100" s="2414"/>
      <c r="H100" s="2415"/>
      <c r="I100" s="2416"/>
      <c r="J100" s="2409">
        <v>63</v>
      </c>
      <c r="K100" s="2356" t="s">
        <v>1795</v>
      </c>
      <c r="L100" s="2356" t="s">
        <v>1796</v>
      </c>
      <c r="M100" s="2354">
        <v>250</v>
      </c>
      <c r="N100" s="1487"/>
      <c r="O100" s="2399"/>
      <c r="P100" s="2391"/>
      <c r="Q100" s="2418">
        <f>SUM(V100:V101)/R75</f>
        <v>0.1118162535750124</v>
      </c>
      <c r="R100" s="2424"/>
      <c r="S100" s="2391"/>
      <c r="T100" s="2414"/>
      <c r="U100" s="1861" t="s">
        <v>2353</v>
      </c>
      <c r="V100" s="1842">
        <f>1760000000+400000000</f>
        <v>2160000000</v>
      </c>
      <c r="W100" s="1883"/>
      <c r="X100" s="1884"/>
      <c r="Y100" s="2435"/>
      <c r="Z100" s="2440"/>
      <c r="AA100" s="2443"/>
      <c r="AB100" s="2440"/>
      <c r="AC100" s="2440"/>
      <c r="AD100" s="2440"/>
      <c r="AE100" s="2438"/>
      <c r="AF100" s="2440"/>
      <c r="AG100" s="2441"/>
      <c r="AH100" s="2440"/>
      <c r="AI100" s="2440"/>
      <c r="AJ100" s="2440"/>
      <c r="AK100" s="2435"/>
      <c r="AL100" s="2435"/>
      <c r="AM100" s="2436"/>
      <c r="AN100" s="2436"/>
      <c r="AO100" s="2343"/>
      <c r="AP100" s="2343">
        <v>43100</v>
      </c>
      <c r="AQ100" s="2433"/>
    </row>
    <row r="101" spans="1:76" ht="30.75" customHeight="1" thickBot="1" x14ac:dyDescent="0.25">
      <c r="A101" s="1850"/>
      <c r="B101" s="1859"/>
      <c r="C101" s="1860"/>
      <c r="D101" s="2414"/>
      <c r="E101" s="2415"/>
      <c r="F101" s="2416"/>
      <c r="G101" s="2414"/>
      <c r="H101" s="2415"/>
      <c r="I101" s="2416"/>
      <c r="J101" s="2410"/>
      <c r="K101" s="2393"/>
      <c r="L101" s="2393"/>
      <c r="M101" s="2417"/>
      <c r="N101" s="1487"/>
      <c r="O101" s="2399"/>
      <c r="P101" s="2391"/>
      <c r="Q101" s="2419"/>
      <c r="R101" s="2424"/>
      <c r="S101" s="2391"/>
      <c r="T101" s="2414"/>
      <c r="U101" s="1867" t="s">
        <v>2367</v>
      </c>
      <c r="V101" s="1846">
        <f>440000000+100000000</f>
        <v>540000000</v>
      </c>
      <c r="W101" s="1883"/>
      <c r="X101" s="1884"/>
      <c r="Y101" s="2435"/>
      <c r="Z101" s="2440"/>
      <c r="AA101" s="2443"/>
      <c r="AB101" s="2440"/>
      <c r="AC101" s="2440"/>
      <c r="AD101" s="2440"/>
      <c r="AE101" s="2438"/>
      <c r="AF101" s="2440"/>
      <c r="AG101" s="2441"/>
      <c r="AH101" s="2440"/>
      <c r="AI101" s="2440"/>
      <c r="AJ101" s="2440"/>
      <c r="AK101" s="2435"/>
      <c r="AL101" s="2435"/>
      <c r="AM101" s="2436"/>
      <c r="AN101" s="2436"/>
      <c r="AO101" s="2343"/>
      <c r="AP101" s="2343"/>
      <c r="AQ101" s="2433"/>
    </row>
    <row r="102" spans="1:76" ht="45" customHeight="1" x14ac:dyDescent="0.2">
      <c r="A102" s="1850"/>
      <c r="B102" s="1859"/>
      <c r="C102" s="1860"/>
      <c r="D102" s="2414"/>
      <c r="E102" s="2415"/>
      <c r="F102" s="2416"/>
      <c r="G102" s="2414"/>
      <c r="H102" s="2415"/>
      <c r="I102" s="2416"/>
      <c r="J102" s="2420">
        <v>64</v>
      </c>
      <c r="K102" s="2356" t="s">
        <v>2390</v>
      </c>
      <c r="L102" s="2390" t="s">
        <v>2391</v>
      </c>
      <c r="M102" s="2398">
        <v>2</v>
      </c>
      <c r="N102" s="1487"/>
      <c r="O102" s="2399"/>
      <c r="P102" s="2391"/>
      <c r="Q102" s="2418">
        <f>SUM(V102:V103)/R75</f>
        <v>1.2424028175001378E-3</v>
      </c>
      <c r="R102" s="2424"/>
      <c r="S102" s="2391"/>
      <c r="T102" s="2414"/>
      <c r="U102" s="1861" t="s">
        <v>2346</v>
      </c>
      <c r="V102" s="1842">
        <f>14361000+15639000</f>
        <v>30000000</v>
      </c>
      <c r="W102" s="1868"/>
      <c r="X102" s="1866"/>
      <c r="Y102" s="2435"/>
      <c r="Z102" s="2440"/>
      <c r="AA102" s="2443"/>
      <c r="AB102" s="2440"/>
      <c r="AC102" s="2440"/>
      <c r="AD102" s="2440"/>
      <c r="AE102" s="2438"/>
      <c r="AF102" s="2440"/>
      <c r="AG102" s="2441"/>
      <c r="AH102" s="2440"/>
      <c r="AI102" s="2440"/>
      <c r="AJ102" s="2440"/>
      <c r="AK102" s="2435"/>
      <c r="AL102" s="2435"/>
      <c r="AM102" s="2436"/>
      <c r="AN102" s="2436"/>
      <c r="AO102" s="2343"/>
      <c r="AP102" s="2343" t="s">
        <v>2392</v>
      </c>
      <c r="AQ102" s="2433"/>
    </row>
    <row r="103" spans="1:76" ht="56.25" customHeight="1" thickBot="1" x14ac:dyDescent="0.25">
      <c r="A103" s="1850"/>
      <c r="B103" s="1859"/>
      <c r="C103" s="1860"/>
      <c r="D103" s="2414"/>
      <c r="E103" s="2415"/>
      <c r="F103" s="2416"/>
      <c r="G103" s="2414"/>
      <c r="H103" s="2415"/>
      <c r="I103" s="2416"/>
      <c r="J103" s="2420"/>
      <c r="K103" s="2357"/>
      <c r="L103" s="2391"/>
      <c r="M103" s="2399"/>
      <c r="N103" s="1487"/>
      <c r="O103" s="2399"/>
      <c r="P103" s="2391"/>
      <c r="Q103" s="2421"/>
      <c r="R103" s="2424"/>
      <c r="S103" s="2391"/>
      <c r="T103" s="2414"/>
      <c r="U103" s="1867" t="s">
        <v>2350</v>
      </c>
      <c r="V103" s="1846">
        <f>15639000-15639000</f>
        <v>0</v>
      </c>
      <c r="W103" s="1885"/>
      <c r="X103" s="1886"/>
      <c r="Y103" s="2381"/>
      <c r="Z103" s="2387"/>
      <c r="AA103" s="2444"/>
      <c r="AB103" s="2440"/>
      <c r="AC103" s="2440"/>
      <c r="AD103" s="2440"/>
      <c r="AE103" s="2439"/>
      <c r="AF103" s="2387"/>
      <c r="AG103" s="2442"/>
      <c r="AH103" s="2387"/>
      <c r="AI103" s="2387"/>
      <c r="AJ103" s="2387"/>
      <c r="AK103" s="2381"/>
      <c r="AL103" s="2381"/>
      <c r="AM103" s="2384"/>
      <c r="AN103" s="2384"/>
      <c r="AO103" s="2437"/>
      <c r="AP103" s="2437"/>
      <c r="AQ103" s="2362"/>
    </row>
    <row r="104" spans="1:76" ht="56.25" customHeight="1" x14ac:dyDescent="0.2">
      <c r="A104" s="2407"/>
      <c r="B104" s="2408"/>
      <c r="C104" s="2408"/>
      <c r="D104" s="2408"/>
      <c r="E104" s="2408"/>
      <c r="F104" s="2408"/>
      <c r="G104" s="2408"/>
      <c r="H104" s="2408"/>
      <c r="I104" s="2408"/>
      <c r="J104" s="2408">
        <v>59</v>
      </c>
      <c r="K104" s="2356" t="s">
        <v>2393</v>
      </c>
      <c r="L104" s="2390" t="s">
        <v>2394</v>
      </c>
      <c r="M104" s="2398" t="s">
        <v>2395</v>
      </c>
      <c r="N104" s="2398" t="s">
        <v>2396</v>
      </c>
      <c r="O104" s="2398" t="s">
        <v>2397</v>
      </c>
      <c r="P104" s="2390" t="s">
        <v>2398</v>
      </c>
      <c r="Q104" s="2401">
        <v>1</v>
      </c>
      <c r="R104" s="2404">
        <v>611890318</v>
      </c>
      <c r="S104" s="2390" t="s">
        <v>2399</v>
      </c>
      <c r="T104" s="2390" t="s">
        <v>2400</v>
      </c>
      <c r="U104" s="2357" t="s">
        <v>2398</v>
      </c>
      <c r="V104" s="2394">
        <v>611890318</v>
      </c>
      <c r="W104" s="2396">
        <v>149</v>
      </c>
      <c r="X104" s="2396" t="s">
        <v>2401</v>
      </c>
      <c r="Y104" s="2381">
        <v>12668</v>
      </c>
      <c r="Z104" s="2387">
        <v>12704</v>
      </c>
      <c r="AA104" s="2387">
        <v>7596</v>
      </c>
      <c r="AB104" s="2388">
        <v>1582</v>
      </c>
      <c r="AC104" s="2388">
        <v>13190</v>
      </c>
      <c r="AD104" s="2388">
        <v>1890</v>
      </c>
      <c r="AE104" s="2387">
        <v>142</v>
      </c>
      <c r="AF104" s="2387">
        <v>64</v>
      </c>
      <c r="AG104" s="2387">
        <v>0</v>
      </c>
      <c r="AH104" s="2387">
        <v>0</v>
      </c>
      <c r="AI104" s="2387">
        <v>0</v>
      </c>
      <c r="AJ104" s="2387">
        <v>0</v>
      </c>
      <c r="AK104" s="2381">
        <v>908</v>
      </c>
      <c r="AL104" s="2381">
        <v>0</v>
      </c>
      <c r="AM104" s="2384">
        <v>0</v>
      </c>
      <c r="AN104" s="2384">
        <v>25372</v>
      </c>
      <c r="AO104" s="2343">
        <v>43102</v>
      </c>
      <c r="AP104" s="2343">
        <v>43465</v>
      </c>
      <c r="AQ104" s="2362" t="s">
        <v>2348</v>
      </c>
    </row>
    <row r="105" spans="1:76" ht="56.25" customHeight="1" x14ac:dyDescent="0.2">
      <c r="A105" s="2407"/>
      <c r="B105" s="2408"/>
      <c r="C105" s="2408"/>
      <c r="D105" s="2408"/>
      <c r="E105" s="2408"/>
      <c r="F105" s="2408"/>
      <c r="G105" s="2408"/>
      <c r="H105" s="2408"/>
      <c r="I105" s="2408"/>
      <c r="J105" s="2408"/>
      <c r="K105" s="2357"/>
      <c r="L105" s="2391"/>
      <c r="M105" s="2399"/>
      <c r="N105" s="2399"/>
      <c r="O105" s="2399"/>
      <c r="P105" s="2391"/>
      <c r="Q105" s="2402"/>
      <c r="R105" s="2405"/>
      <c r="S105" s="2391"/>
      <c r="T105" s="2391"/>
      <c r="U105" s="2357"/>
      <c r="V105" s="2394"/>
      <c r="W105" s="2396"/>
      <c r="X105" s="2396"/>
      <c r="Y105" s="2382"/>
      <c r="Z105" s="2388"/>
      <c r="AA105" s="2388"/>
      <c r="AB105" s="2388"/>
      <c r="AC105" s="2388"/>
      <c r="AD105" s="2388"/>
      <c r="AE105" s="2388"/>
      <c r="AF105" s="2388"/>
      <c r="AG105" s="2388"/>
      <c r="AH105" s="2388"/>
      <c r="AI105" s="2388"/>
      <c r="AJ105" s="2388"/>
      <c r="AK105" s="2382"/>
      <c r="AL105" s="2382"/>
      <c r="AM105" s="2385"/>
      <c r="AN105" s="2385"/>
      <c r="AO105" s="2343"/>
      <c r="AP105" s="2343"/>
      <c r="AQ105" s="2363"/>
    </row>
    <row r="106" spans="1:76" ht="56.25" customHeight="1" x14ac:dyDescent="0.2">
      <c r="A106" s="2407"/>
      <c r="B106" s="2408"/>
      <c r="C106" s="2408"/>
      <c r="D106" s="2408"/>
      <c r="E106" s="2408"/>
      <c r="F106" s="2408"/>
      <c r="G106" s="2408"/>
      <c r="H106" s="2408"/>
      <c r="I106" s="2408"/>
      <c r="J106" s="2408"/>
      <c r="K106" s="2357"/>
      <c r="L106" s="2391"/>
      <c r="M106" s="2399"/>
      <c r="N106" s="2399"/>
      <c r="O106" s="2399"/>
      <c r="P106" s="2391"/>
      <c r="Q106" s="2402"/>
      <c r="R106" s="2405"/>
      <c r="S106" s="2391"/>
      <c r="T106" s="2391"/>
      <c r="U106" s="2357"/>
      <c r="V106" s="2394"/>
      <c r="W106" s="2396"/>
      <c r="X106" s="2396"/>
      <c r="Y106" s="2382"/>
      <c r="Z106" s="2388"/>
      <c r="AA106" s="2388"/>
      <c r="AB106" s="2388"/>
      <c r="AC106" s="2388"/>
      <c r="AD106" s="2388"/>
      <c r="AE106" s="2388"/>
      <c r="AF106" s="2388"/>
      <c r="AG106" s="2388"/>
      <c r="AH106" s="2388"/>
      <c r="AI106" s="2388"/>
      <c r="AJ106" s="2388"/>
      <c r="AK106" s="2382"/>
      <c r="AL106" s="2382"/>
      <c r="AM106" s="2385"/>
      <c r="AN106" s="2385"/>
      <c r="AO106" s="2343"/>
      <c r="AP106" s="2343"/>
      <c r="AQ106" s="2363"/>
    </row>
    <row r="107" spans="1:76" ht="84.75" customHeight="1" x14ac:dyDescent="0.2">
      <c r="A107" s="2407"/>
      <c r="B107" s="2408"/>
      <c r="C107" s="2408"/>
      <c r="D107" s="2408"/>
      <c r="E107" s="2408"/>
      <c r="F107" s="2408"/>
      <c r="G107" s="2408"/>
      <c r="H107" s="2408"/>
      <c r="I107" s="2408"/>
      <c r="J107" s="2408">
        <v>59</v>
      </c>
      <c r="K107" s="2393"/>
      <c r="L107" s="2392"/>
      <c r="M107" s="2400"/>
      <c r="N107" s="2400"/>
      <c r="O107" s="2400"/>
      <c r="P107" s="2392"/>
      <c r="Q107" s="2403"/>
      <c r="R107" s="2406"/>
      <c r="S107" s="2392"/>
      <c r="T107" s="2392"/>
      <c r="U107" s="2393"/>
      <c r="V107" s="2395"/>
      <c r="W107" s="2397"/>
      <c r="X107" s="2397"/>
      <c r="Y107" s="2383"/>
      <c r="Z107" s="2389"/>
      <c r="AA107" s="2389"/>
      <c r="AB107" s="2389"/>
      <c r="AC107" s="2389"/>
      <c r="AD107" s="2389"/>
      <c r="AE107" s="2389"/>
      <c r="AF107" s="2389"/>
      <c r="AG107" s="2389"/>
      <c r="AH107" s="2389"/>
      <c r="AI107" s="2389"/>
      <c r="AJ107" s="2389"/>
      <c r="AK107" s="2383"/>
      <c r="AL107" s="2383"/>
      <c r="AM107" s="2386"/>
      <c r="AN107" s="2386"/>
      <c r="AO107" s="2343"/>
      <c r="AP107" s="2343"/>
      <c r="AQ107" s="2364"/>
    </row>
    <row r="108" spans="1:76" s="1762" customFormat="1" ht="27" customHeight="1" x14ac:dyDescent="0.2">
      <c r="A108" s="1887">
        <v>4</v>
      </c>
      <c r="B108" s="1809" t="s">
        <v>1380</v>
      </c>
      <c r="C108" s="1809"/>
      <c r="D108" s="1809"/>
      <c r="E108" s="1809"/>
      <c r="F108" s="1809"/>
      <c r="G108" s="1809"/>
      <c r="H108" s="1809"/>
      <c r="I108" s="1809"/>
      <c r="J108" s="1888"/>
      <c r="K108" s="1810"/>
      <c r="L108" s="1809"/>
      <c r="M108" s="1809"/>
      <c r="N108" s="1809"/>
      <c r="O108" s="1889"/>
      <c r="P108" s="1810"/>
      <c r="Q108" s="1890"/>
      <c r="R108" s="1891"/>
      <c r="S108" s="1810"/>
      <c r="T108" s="1810"/>
      <c r="U108" s="1810"/>
      <c r="V108" s="1892"/>
      <c r="W108" s="1893"/>
      <c r="X108" s="1810"/>
      <c r="Y108" s="1809"/>
      <c r="Z108" s="1809"/>
      <c r="AA108" s="1809"/>
      <c r="AB108" s="1809"/>
      <c r="AC108" s="1809"/>
      <c r="AD108" s="1809"/>
      <c r="AE108" s="1809"/>
      <c r="AF108" s="1809"/>
      <c r="AG108" s="1809"/>
      <c r="AH108" s="1809"/>
      <c r="AI108" s="1809"/>
      <c r="AJ108" s="1809"/>
      <c r="AK108" s="1809"/>
      <c r="AL108" s="1809"/>
      <c r="AM108" s="1809"/>
      <c r="AN108" s="1809"/>
      <c r="AO108" s="1894"/>
      <c r="AP108" s="1894"/>
      <c r="AQ108" s="1895"/>
      <c r="AR108" s="1732"/>
      <c r="AS108" s="1732"/>
      <c r="AT108" s="1732"/>
      <c r="AU108" s="1732"/>
      <c r="AV108" s="1732"/>
      <c r="AW108" s="1732"/>
      <c r="AX108" s="1732"/>
      <c r="AY108" s="1732"/>
      <c r="AZ108" s="1732"/>
      <c r="BA108" s="1732"/>
      <c r="BB108" s="1732"/>
      <c r="BC108" s="1732"/>
      <c r="BD108" s="1732"/>
      <c r="BE108" s="1732"/>
      <c r="BF108" s="1732"/>
      <c r="BG108" s="1732"/>
      <c r="BH108" s="1732"/>
      <c r="BI108" s="1732"/>
      <c r="BJ108" s="1732"/>
      <c r="BK108" s="1732"/>
      <c r="BL108" s="1732"/>
      <c r="BM108" s="1732"/>
      <c r="BN108" s="1732"/>
      <c r="BO108" s="1732"/>
      <c r="BP108" s="1732"/>
      <c r="BQ108" s="1732"/>
      <c r="BR108" s="1732"/>
      <c r="BS108" s="1732"/>
      <c r="BT108" s="1732"/>
      <c r="BU108" s="1732"/>
      <c r="BV108" s="1732"/>
      <c r="BW108" s="1732"/>
      <c r="BX108" s="1732"/>
    </row>
    <row r="109" spans="1:76" ht="26.25" customHeight="1" x14ac:dyDescent="0.2">
      <c r="A109" s="2365"/>
      <c r="B109" s="2366"/>
      <c r="C109" s="2367"/>
      <c r="D109" s="1896">
        <v>23</v>
      </c>
      <c r="E109" s="2371" t="s">
        <v>2402</v>
      </c>
      <c r="F109" s="2372"/>
      <c r="G109" s="2372"/>
      <c r="H109" s="2372"/>
      <c r="I109" s="2372"/>
      <c r="J109" s="2372"/>
      <c r="K109" s="2372"/>
      <c r="L109" s="2372"/>
      <c r="M109" s="1824"/>
      <c r="N109" s="1824"/>
      <c r="O109" s="1897"/>
      <c r="P109" s="1824"/>
      <c r="Q109" s="1824"/>
      <c r="R109" s="1824"/>
      <c r="S109" s="1824"/>
      <c r="T109" s="1824"/>
      <c r="U109" s="1824"/>
      <c r="V109" s="1898"/>
      <c r="W109" s="1824"/>
      <c r="X109" s="1824"/>
      <c r="Y109" s="1824"/>
      <c r="Z109" s="1824"/>
      <c r="AA109" s="1824"/>
      <c r="AB109" s="1824"/>
      <c r="AC109" s="1824"/>
      <c r="AD109" s="1824"/>
      <c r="AE109" s="1824"/>
      <c r="AF109" s="1824"/>
      <c r="AG109" s="1824"/>
      <c r="AH109" s="1824"/>
      <c r="AI109" s="1824"/>
      <c r="AJ109" s="1824"/>
      <c r="AK109" s="1824"/>
      <c r="AL109" s="1824"/>
      <c r="AM109" s="1824"/>
      <c r="AN109" s="1824"/>
      <c r="AO109" s="1824"/>
      <c r="AP109" s="1824"/>
      <c r="AQ109" s="1899"/>
    </row>
    <row r="110" spans="1:76" ht="21.75" customHeight="1" x14ac:dyDescent="0.2">
      <c r="A110" s="2368"/>
      <c r="B110" s="2369"/>
      <c r="C110" s="2370"/>
      <c r="D110" s="2373"/>
      <c r="E110" s="2366"/>
      <c r="F110" s="2367"/>
      <c r="G110" s="1853">
        <v>77</v>
      </c>
      <c r="H110" s="1900" t="s">
        <v>2403</v>
      </c>
      <c r="I110" s="1900"/>
      <c r="J110" s="1901"/>
      <c r="K110" s="1901"/>
      <c r="L110" s="1441"/>
      <c r="M110" s="1442"/>
      <c r="N110" s="1442"/>
      <c r="O110" s="1442"/>
      <c r="P110" s="1442"/>
      <c r="Q110" s="1442"/>
      <c r="R110" s="1442"/>
      <c r="S110" s="1442"/>
      <c r="T110" s="1442"/>
      <c r="U110" s="1442"/>
      <c r="V110" s="1442"/>
      <c r="W110" s="1442"/>
      <c r="X110" s="1442"/>
      <c r="Y110" s="1442"/>
      <c r="Z110" s="1442"/>
      <c r="AA110" s="1442"/>
      <c r="AB110" s="1442"/>
      <c r="AC110" s="1442"/>
      <c r="AD110" s="1442"/>
      <c r="AE110" s="1442"/>
      <c r="AF110" s="1442"/>
      <c r="AG110" s="1442"/>
      <c r="AH110" s="1442"/>
      <c r="AI110" s="1442"/>
      <c r="AJ110" s="1442"/>
      <c r="AK110" s="1442"/>
      <c r="AL110" s="1442"/>
      <c r="AM110" s="1442"/>
      <c r="AN110" s="1442"/>
      <c r="AO110" s="1442"/>
      <c r="AP110" s="1442"/>
      <c r="AQ110" s="1789"/>
    </row>
    <row r="111" spans="1:76" ht="58.5" customHeight="1" x14ac:dyDescent="0.2">
      <c r="A111" s="2368"/>
      <c r="B111" s="2369"/>
      <c r="C111" s="2370"/>
      <c r="D111" s="2374"/>
      <c r="E111" s="2369"/>
      <c r="F111" s="2370"/>
      <c r="G111" s="2375"/>
      <c r="H111" s="2376"/>
      <c r="I111" s="2377"/>
      <c r="J111" s="2375">
        <v>223</v>
      </c>
      <c r="K111" s="2356" t="s">
        <v>239</v>
      </c>
      <c r="L111" s="2356" t="s">
        <v>2404</v>
      </c>
      <c r="M111" s="2346">
        <v>1</v>
      </c>
      <c r="N111" s="2354" t="s">
        <v>2405</v>
      </c>
      <c r="O111" s="2354" t="s">
        <v>2406</v>
      </c>
      <c r="P111" s="2356" t="s">
        <v>2407</v>
      </c>
      <c r="Q111" s="2358">
        <v>1</v>
      </c>
      <c r="R111" s="2348">
        <v>500000000</v>
      </c>
      <c r="S111" s="2356" t="s">
        <v>2408</v>
      </c>
      <c r="T111" s="2360" t="s">
        <v>2409</v>
      </c>
      <c r="U111" s="1902" t="s">
        <v>2410</v>
      </c>
      <c r="V111" s="1903">
        <v>200000000</v>
      </c>
      <c r="W111" s="2350">
        <v>150</v>
      </c>
      <c r="X111" s="2352" t="s">
        <v>2401</v>
      </c>
      <c r="Y111" s="2348">
        <v>152555</v>
      </c>
      <c r="Z111" s="2348">
        <v>147157</v>
      </c>
      <c r="AA111" s="2348">
        <v>70841</v>
      </c>
      <c r="AB111" s="2348">
        <v>23518</v>
      </c>
      <c r="AC111" s="2348">
        <v>160070</v>
      </c>
      <c r="AD111" s="2348">
        <v>45282</v>
      </c>
      <c r="AE111" s="2348">
        <v>1118</v>
      </c>
      <c r="AF111" s="2348">
        <v>6629</v>
      </c>
      <c r="AG111" s="2350">
        <v>14</v>
      </c>
      <c r="AH111" s="2350">
        <v>19</v>
      </c>
      <c r="AI111" s="2346"/>
      <c r="AJ111" s="2346"/>
      <c r="AK111" s="2348">
        <v>27711</v>
      </c>
      <c r="AL111" s="2348">
        <v>8852</v>
      </c>
      <c r="AM111" s="2348">
        <v>31281</v>
      </c>
      <c r="AN111" s="2348">
        <v>299712</v>
      </c>
      <c r="AO111" s="2343">
        <v>43102</v>
      </c>
      <c r="AP111" s="2343">
        <v>43465</v>
      </c>
      <c r="AQ111" s="2344" t="s">
        <v>2348</v>
      </c>
    </row>
    <row r="112" spans="1:76" ht="91.5" customHeight="1" x14ac:dyDescent="0.2">
      <c r="A112" s="2368"/>
      <c r="B112" s="2369"/>
      <c r="C112" s="2370"/>
      <c r="D112" s="2374"/>
      <c r="E112" s="2369"/>
      <c r="F112" s="2370"/>
      <c r="G112" s="2378"/>
      <c r="H112" s="2379"/>
      <c r="I112" s="2380"/>
      <c r="J112" s="2378"/>
      <c r="K112" s="2357"/>
      <c r="L112" s="2357"/>
      <c r="M112" s="2347"/>
      <c r="N112" s="2355"/>
      <c r="O112" s="2355"/>
      <c r="P112" s="2357"/>
      <c r="Q112" s="2359"/>
      <c r="R112" s="2349"/>
      <c r="S112" s="2357"/>
      <c r="T112" s="2361"/>
      <c r="U112" s="1902" t="s">
        <v>2411</v>
      </c>
      <c r="V112" s="1903">
        <v>120000000</v>
      </c>
      <c r="W112" s="2351"/>
      <c r="X112" s="2353"/>
      <c r="Y112" s="2349"/>
      <c r="Z112" s="2349"/>
      <c r="AA112" s="2349"/>
      <c r="AB112" s="2349"/>
      <c r="AC112" s="2349"/>
      <c r="AD112" s="2349"/>
      <c r="AE112" s="2349"/>
      <c r="AF112" s="2349"/>
      <c r="AG112" s="2351"/>
      <c r="AH112" s="2351"/>
      <c r="AI112" s="2347"/>
      <c r="AJ112" s="2347"/>
      <c r="AK112" s="2349"/>
      <c r="AL112" s="2349"/>
      <c r="AM112" s="2349"/>
      <c r="AN112" s="2349"/>
      <c r="AO112" s="2343"/>
      <c r="AP112" s="2343"/>
      <c r="AQ112" s="2345"/>
    </row>
    <row r="113" spans="1:43" s="1905" customFormat="1" ht="86.25" customHeight="1" thickBot="1" x14ac:dyDescent="0.25">
      <c r="A113" s="2368"/>
      <c r="B113" s="2369"/>
      <c r="C113" s="2370"/>
      <c r="D113" s="2374"/>
      <c r="E113" s="2369"/>
      <c r="F113" s="2370"/>
      <c r="G113" s="2378"/>
      <c r="H113" s="2379"/>
      <c r="I113" s="2380"/>
      <c r="J113" s="2378">
        <v>223</v>
      </c>
      <c r="K113" s="2357"/>
      <c r="L113" s="2357"/>
      <c r="M113" s="2347"/>
      <c r="N113" s="2355"/>
      <c r="O113" s="2355"/>
      <c r="P113" s="2357"/>
      <c r="Q113" s="2359"/>
      <c r="R113" s="2349"/>
      <c r="S113" s="2357"/>
      <c r="T113" s="2361"/>
      <c r="U113" s="1489" t="s">
        <v>2412</v>
      </c>
      <c r="V113" s="1904">
        <v>180000000</v>
      </c>
      <c r="W113" s="2351"/>
      <c r="X113" s="2353"/>
      <c r="Y113" s="2349"/>
      <c r="Z113" s="2349"/>
      <c r="AA113" s="2349"/>
      <c r="AB113" s="2349"/>
      <c r="AC113" s="2349"/>
      <c r="AD113" s="2349"/>
      <c r="AE113" s="2349"/>
      <c r="AF113" s="2349"/>
      <c r="AG113" s="2351"/>
      <c r="AH113" s="2351"/>
      <c r="AI113" s="2347"/>
      <c r="AJ113" s="2347"/>
      <c r="AK113" s="2349"/>
      <c r="AL113" s="2349"/>
      <c r="AM113" s="2349"/>
      <c r="AN113" s="2349"/>
      <c r="AO113" s="2343"/>
      <c r="AP113" s="2343"/>
      <c r="AQ113" s="2345"/>
    </row>
    <row r="114" spans="1:43" s="1919" customFormat="1" ht="27" customHeight="1" thickBot="1" x14ac:dyDescent="0.25">
      <c r="A114" s="1906"/>
      <c r="B114" s="1907"/>
      <c r="C114" s="1907"/>
      <c r="D114" s="1907"/>
      <c r="E114" s="1907"/>
      <c r="F114" s="1907"/>
      <c r="G114" s="1907"/>
      <c r="H114" s="1907"/>
      <c r="I114" s="1907"/>
      <c r="J114" s="1907"/>
      <c r="K114" s="1908"/>
      <c r="L114" s="1909"/>
      <c r="M114" s="1910"/>
      <c r="N114" s="1909"/>
      <c r="O114" s="1910"/>
      <c r="P114" s="1909"/>
      <c r="Q114" s="1911"/>
      <c r="R114" s="1912">
        <f>SUM(R12:R113)</f>
        <v>35898619487</v>
      </c>
      <c r="S114" s="1913"/>
      <c r="T114" s="1909"/>
      <c r="U114" s="1909"/>
      <c r="V114" s="1912">
        <f>SUM(V12:V113)</f>
        <v>35898619487</v>
      </c>
      <c r="W114" s="1914"/>
      <c r="X114" s="1909"/>
      <c r="Y114" s="1915"/>
      <c r="Z114" s="1916"/>
      <c r="AA114" s="1916"/>
      <c r="AB114" s="1916"/>
      <c r="AC114" s="1916"/>
      <c r="AD114" s="1916"/>
      <c r="AE114" s="1916"/>
      <c r="AF114" s="1916"/>
      <c r="AG114" s="1916"/>
      <c r="AH114" s="1916"/>
      <c r="AI114" s="1916"/>
      <c r="AJ114" s="1916"/>
      <c r="AK114" s="1916"/>
      <c r="AL114" s="1916"/>
      <c r="AM114" s="1916"/>
      <c r="AN114" s="1917"/>
      <c r="AO114" s="1917"/>
      <c r="AP114" s="1917"/>
      <c r="AQ114" s="1918"/>
    </row>
    <row r="115" spans="1:43" s="1919" customFormat="1" ht="27" customHeight="1" x14ac:dyDescent="0.2">
      <c r="A115" s="1920"/>
      <c r="B115" s="1920"/>
      <c r="C115" s="1920"/>
      <c r="D115" s="1920"/>
      <c r="E115" s="1920"/>
      <c r="F115" s="1920"/>
      <c r="G115" s="1920"/>
      <c r="H115" s="1920"/>
      <c r="I115" s="1920"/>
      <c r="J115" s="1920"/>
      <c r="K115" s="1921"/>
      <c r="L115" s="1922"/>
      <c r="M115" s="1923"/>
      <c r="N115" s="1922"/>
      <c r="O115" s="1923"/>
      <c r="P115" s="1922"/>
      <c r="Q115" s="1922"/>
      <c r="R115" s="1924"/>
      <c r="S115" s="1922"/>
      <c r="T115" s="1922"/>
      <c r="U115" s="1922"/>
      <c r="V115" s="1925"/>
      <c r="W115" s="1926"/>
      <c r="X115" s="1922"/>
      <c r="Y115" s="1926"/>
      <c r="Z115" s="1927"/>
      <c r="AA115" s="1927"/>
      <c r="AB115" s="1927"/>
      <c r="AC115" s="1927"/>
      <c r="AD115" s="1927"/>
      <c r="AE115" s="1927"/>
      <c r="AF115" s="1927"/>
      <c r="AG115" s="1927"/>
      <c r="AH115" s="1927"/>
      <c r="AI115" s="1927"/>
      <c r="AJ115" s="1927"/>
      <c r="AK115" s="1927"/>
      <c r="AL115" s="1927"/>
      <c r="AM115" s="1927"/>
      <c r="AN115" s="1928"/>
      <c r="AO115" s="1928"/>
      <c r="AP115" s="1928"/>
      <c r="AQ115" s="1928"/>
    </row>
    <row r="116" spans="1:43" s="1919" customFormat="1" ht="27" customHeight="1" x14ac:dyDescent="0.2">
      <c r="A116" s="1920"/>
      <c r="B116" s="1920"/>
      <c r="C116" s="1920"/>
      <c r="D116" s="1920"/>
      <c r="E116" s="1920"/>
      <c r="F116" s="1920"/>
      <c r="G116" s="1920"/>
      <c r="H116" s="1920"/>
      <c r="I116" s="1920"/>
      <c r="J116" s="1920"/>
      <c r="K116" s="1921"/>
      <c r="L116" s="1922"/>
      <c r="M116" s="1923"/>
      <c r="N116" s="1922"/>
      <c r="O116" s="1923"/>
      <c r="P116" s="1922"/>
      <c r="Q116" s="1922"/>
      <c r="R116" s="1924"/>
      <c r="S116" s="1922"/>
      <c r="T116" s="1922"/>
      <c r="U116" s="1922"/>
      <c r="V116" s="1925"/>
      <c r="W116" s="1926"/>
      <c r="X116" s="1922"/>
      <c r="Y116" s="1926"/>
      <c r="Z116" s="1927"/>
      <c r="AA116" s="1927"/>
      <c r="AB116" s="1927"/>
      <c r="AC116" s="1927"/>
      <c r="AD116" s="1927"/>
      <c r="AE116" s="1927"/>
      <c r="AF116" s="1927"/>
      <c r="AG116" s="1927"/>
      <c r="AH116" s="1927"/>
      <c r="AI116" s="1927"/>
      <c r="AJ116" s="1927"/>
      <c r="AK116" s="1927"/>
      <c r="AL116" s="1927"/>
      <c r="AM116" s="1927"/>
      <c r="AN116" s="1928"/>
      <c r="AO116" s="1928"/>
      <c r="AP116" s="1928"/>
      <c r="AQ116" s="1928"/>
    </row>
    <row r="117" spans="1:43" ht="24" customHeight="1" x14ac:dyDescent="0.25">
      <c r="C117" s="1930"/>
      <c r="D117" s="1781" t="s">
        <v>2413</v>
      </c>
      <c r="E117" s="1781"/>
      <c r="F117" s="1781"/>
      <c r="G117" s="1781"/>
      <c r="H117" s="1931"/>
      <c r="I117" s="1732"/>
      <c r="J117" s="1805"/>
      <c r="K117" s="1932"/>
      <c r="L117" s="1932"/>
      <c r="M117" s="1932"/>
      <c r="N117" s="1932"/>
      <c r="O117" s="1805"/>
      <c r="P117" s="1932"/>
      <c r="Q117" s="1932"/>
      <c r="S117" s="1932"/>
      <c r="T117" s="1933"/>
      <c r="U117" s="1934"/>
      <c r="V117" s="1935"/>
      <c r="W117" s="1933"/>
      <c r="X117" s="1936"/>
      <c r="Y117" s="1932"/>
      <c r="Z117" s="1932"/>
      <c r="AA117" s="1932"/>
      <c r="AB117" s="1932"/>
      <c r="AC117" s="1932"/>
      <c r="AD117" s="1932"/>
      <c r="AE117" s="1932"/>
      <c r="AF117" s="1932"/>
      <c r="AG117" s="1932"/>
      <c r="AH117" s="1932"/>
      <c r="AI117" s="1932"/>
      <c r="AJ117" s="1932"/>
      <c r="AK117" s="1932"/>
      <c r="AL117" s="1932"/>
      <c r="AM117" s="1932"/>
      <c r="AN117" s="1932"/>
      <c r="AO117" s="1932"/>
      <c r="AP117" s="1932"/>
      <c r="AQ117" s="1932"/>
    </row>
    <row r="118" spans="1:43" ht="20.25" customHeight="1" x14ac:dyDescent="0.25">
      <c r="C118" s="1930"/>
      <c r="D118" s="1732" t="s">
        <v>2348</v>
      </c>
      <c r="E118" s="1930"/>
      <c r="F118" s="1930"/>
      <c r="G118" s="1930"/>
      <c r="H118" s="1732"/>
      <c r="I118" s="1732"/>
      <c r="J118" s="1805"/>
      <c r="K118" s="1932"/>
      <c r="L118" s="1932"/>
      <c r="M118" s="1932"/>
      <c r="N118" s="1932"/>
      <c r="O118" s="1805"/>
      <c r="P118" s="1932"/>
      <c r="Q118" s="1932"/>
      <c r="S118" s="1932"/>
      <c r="T118" s="1933"/>
      <c r="U118" s="1921"/>
      <c r="V118" s="1935"/>
      <c r="W118" s="1933"/>
      <c r="X118" s="1936"/>
      <c r="Y118" s="1932"/>
      <c r="Z118" s="1932"/>
      <c r="AA118" s="1932"/>
      <c r="AB118" s="1932"/>
      <c r="AC118" s="1932"/>
      <c r="AD118" s="1932"/>
      <c r="AE118" s="1932"/>
      <c r="AF118" s="1932"/>
      <c r="AG118" s="1932"/>
      <c r="AH118" s="1932"/>
      <c r="AI118" s="1932"/>
      <c r="AJ118" s="1932"/>
      <c r="AK118" s="1932"/>
      <c r="AL118" s="1932"/>
      <c r="AM118" s="1932"/>
      <c r="AN118" s="1932"/>
      <c r="AO118" s="1932"/>
      <c r="AP118" s="1932"/>
      <c r="AQ118" s="1932"/>
    </row>
    <row r="119" spans="1:43" ht="27" customHeight="1" x14ac:dyDescent="0.25">
      <c r="C119" s="1930"/>
      <c r="D119" s="1930"/>
      <c r="E119" s="1930"/>
      <c r="F119" s="1930"/>
      <c r="G119" s="1930"/>
      <c r="H119" s="1732"/>
      <c r="I119" s="1732"/>
      <c r="J119" s="1805"/>
      <c r="K119" s="1932"/>
      <c r="L119" s="1932"/>
      <c r="M119" s="1932"/>
      <c r="N119" s="1932"/>
      <c r="O119" s="1805"/>
      <c r="P119" s="1932"/>
      <c r="Q119" s="1932"/>
      <c r="S119" s="1932"/>
      <c r="T119" s="1933"/>
      <c r="U119" s="1921"/>
      <c r="V119" s="1935"/>
      <c r="W119" s="1933"/>
      <c r="X119" s="1936"/>
      <c r="Y119" s="1932"/>
      <c r="Z119" s="1932"/>
      <c r="AA119" s="1932"/>
      <c r="AB119" s="1932"/>
      <c r="AC119" s="1932"/>
      <c r="AD119" s="1932"/>
      <c r="AE119" s="1932"/>
      <c r="AF119" s="1932"/>
      <c r="AG119" s="1932"/>
      <c r="AH119" s="1932"/>
      <c r="AI119" s="1932"/>
      <c r="AJ119" s="1932"/>
      <c r="AK119" s="1932"/>
      <c r="AL119" s="1932"/>
      <c r="AM119" s="1932"/>
      <c r="AN119" s="1932"/>
      <c r="AO119" s="1932"/>
      <c r="AP119" s="1932"/>
      <c r="AQ119" s="1932"/>
    </row>
    <row r="120" spans="1:43" ht="27" customHeight="1" x14ac:dyDescent="0.2">
      <c r="C120" s="1932"/>
      <c r="D120" s="1932"/>
      <c r="E120" s="1932"/>
      <c r="F120" s="1932"/>
      <c r="G120" s="1932"/>
      <c r="H120" s="1932"/>
      <c r="I120" s="1932"/>
      <c r="J120" s="1805"/>
      <c r="K120" s="1932"/>
      <c r="L120" s="1932"/>
      <c r="M120" s="1932"/>
      <c r="N120" s="1932"/>
      <c r="O120" s="1805"/>
      <c r="P120" s="1932"/>
      <c r="Q120" s="1932"/>
      <c r="S120" s="1932"/>
      <c r="T120" s="1933"/>
      <c r="U120" s="1933"/>
      <c r="V120" s="1935"/>
      <c r="W120" s="1933"/>
      <c r="X120" s="1936"/>
      <c r="Y120" s="1932"/>
      <c r="Z120" s="1932"/>
      <c r="AA120" s="1932"/>
      <c r="AB120" s="1932"/>
      <c r="AC120" s="1932"/>
      <c r="AD120" s="1932"/>
      <c r="AE120" s="1932"/>
      <c r="AF120" s="1932"/>
      <c r="AG120" s="1932"/>
      <c r="AH120" s="1932"/>
      <c r="AI120" s="1932"/>
      <c r="AJ120" s="1932"/>
      <c r="AK120" s="1932"/>
      <c r="AL120" s="1932"/>
      <c r="AM120" s="1932"/>
      <c r="AN120" s="1932"/>
      <c r="AO120" s="1932"/>
      <c r="AP120" s="1932"/>
      <c r="AQ120" s="1932"/>
    </row>
    <row r="121" spans="1:43" ht="27" customHeight="1" x14ac:dyDescent="0.2">
      <c r="C121" s="1932"/>
      <c r="D121" s="1932"/>
      <c r="E121" s="1932"/>
      <c r="F121" s="1932"/>
      <c r="G121" s="1932"/>
      <c r="H121" s="1932"/>
      <c r="I121" s="1932"/>
      <c r="J121" s="1805"/>
      <c r="K121" s="1932"/>
      <c r="L121" s="1932"/>
      <c r="M121" s="1932"/>
      <c r="N121" s="1932"/>
      <c r="O121" s="1805"/>
      <c r="P121" s="1932"/>
      <c r="Q121" s="1932"/>
      <c r="S121" s="1932"/>
      <c r="T121" s="1933"/>
      <c r="U121" s="1933"/>
      <c r="V121" s="1935"/>
      <c r="W121" s="1933"/>
      <c r="X121" s="1936"/>
      <c r="Y121" s="1932"/>
      <c r="Z121" s="1932"/>
      <c r="AA121" s="1932"/>
      <c r="AB121" s="1932"/>
      <c r="AC121" s="1932"/>
      <c r="AD121" s="1932"/>
      <c r="AE121" s="1932"/>
      <c r="AF121" s="1932"/>
      <c r="AG121" s="1932"/>
      <c r="AH121" s="1932"/>
      <c r="AI121" s="1932"/>
      <c r="AJ121" s="1932"/>
      <c r="AK121" s="1932"/>
      <c r="AL121" s="1932"/>
      <c r="AM121" s="1932"/>
      <c r="AN121" s="1932"/>
      <c r="AO121" s="1932"/>
      <c r="AP121" s="1932"/>
      <c r="AQ121" s="1932"/>
    </row>
    <row r="122" spans="1:43" ht="27" customHeight="1" x14ac:dyDescent="0.2">
      <c r="C122" s="1932"/>
      <c r="D122" s="1932"/>
      <c r="E122" s="1932"/>
      <c r="F122" s="1932"/>
      <c r="G122" s="1932"/>
      <c r="H122" s="1932"/>
      <c r="I122" s="1932"/>
      <c r="J122" s="1805"/>
      <c r="K122" s="1932"/>
      <c r="L122" s="1932"/>
      <c r="M122" s="1932"/>
      <c r="N122" s="1932"/>
      <c r="O122" s="1805"/>
      <c r="P122" s="1932"/>
      <c r="Q122" s="1932"/>
      <c r="S122" s="1932"/>
      <c r="T122" s="1932"/>
      <c r="U122" s="1932"/>
      <c r="W122" s="1932"/>
      <c r="X122" s="1936"/>
      <c r="Y122" s="1932"/>
      <c r="Z122" s="1932"/>
      <c r="AA122" s="1932"/>
      <c r="AB122" s="1932"/>
      <c r="AC122" s="1932"/>
      <c r="AD122" s="1932"/>
      <c r="AE122" s="1932"/>
      <c r="AF122" s="1932"/>
      <c r="AG122" s="1932"/>
      <c r="AH122" s="1932"/>
      <c r="AI122" s="1932"/>
      <c r="AJ122" s="1932"/>
      <c r="AK122" s="1932"/>
      <c r="AL122" s="1932"/>
      <c r="AM122" s="1932"/>
      <c r="AN122" s="1932"/>
      <c r="AO122" s="1932"/>
      <c r="AP122" s="1932"/>
      <c r="AQ122" s="1932"/>
    </row>
    <row r="123" spans="1:43" ht="27" customHeight="1" x14ac:dyDescent="0.2">
      <c r="C123" s="1932"/>
      <c r="D123" s="1932"/>
      <c r="E123" s="1932"/>
      <c r="F123" s="1932"/>
      <c r="G123" s="1932"/>
      <c r="H123" s="1932"/>
      <c r="I123" s="1932"/>
      <c r="J123" s="1805"/>
      <c r="K123" s="1932"/>
      <c r="L123" s="1932"/>
      <c r="M123" s="1932"/>
      <c r="N123" s="1932"/>
      <c r="O123" s="1805"/>
      <c r="P123" s="1932"/>
      <c r="Q123" s="1932"/>
      <c r="S123" s="1932"/>
      <c r="T123" s="1932"/>
      <c r="U123" s="1932"/>
      <c r="W123" s="1932"/>
      <c r="X123" s="1936"/>
      <c r="Y123" s="1932"/>
      <c r="Z123" s="1932"/>
      <c r="AA123" s="1932"/>
      <c r="AB123" s="1932"/>
      <c r="AC123" s="1932"/>
      <c r="AD123" s="1932"/>
      <c r="AE123" s="1932"/>
      <c r="AF123" s="1932"/>
      <c r="AG123" s="1932"/>
      <c r="AH123" s="1932"/>
      <c r="AI123" s="1932"/>
      <c r="AJ123" s="1932"/>
      <c r="AK123" s="1932"/>
      <c r="AL123" s="1932"/>
      <c r="AM123" s="1932"/>
      <c r="AN123" s="1932"/>
      <c r="AO123" s="1932"/>
      <c r="AP123" s="1932"/>
      <c r="AQ123" s="1932"/>
    </row>
    <row r="124" spans="1:43" ht="27" customHeight="1" x14ac:dyDescent="0.2">
      <c r="C124" s="1932"/>
      <c r="D124" s="1932"/>
      <c r="E124" s="1932"/>
      <c r="F124" s="1932"/>
      <c r="G124" s="1932"/>
      <c r="H124" s="1932"/>
      <c r="I124" s="1932"/>
      <c r="J124" s="1805"/>
      <c r="K124" s="1932"/>
      <c r="L124" s="1932"/>
      <c r="M124" s="1932"/>
      <c r="N124" s="1932"/>
      <c r="O124" s="1805"/>
      <c r="P124" s="1932"/>
      <c r="Q124" s="1932"/>
      <c r="S124" s="1932"/>
      <c r="T124" s="1932"/>
      <c r="U124" s="1932"/>
      <c r="W124" s="1932"/>
      <c r="X124" s="1936"/>
      <c r="Y124" s="1932"/>
      <c r="Z124" s="1932"/>
      <c r="AA124" s="1932"/>
      <c r="AB124" s="1932"/>
      <c r="AC124" s="1932"/>
      <c r="AD124" s="1932"/>
      <c r="AE124" s="1932"/>
      <c r="AF124" s="1932"/>
      <c r="AG124" s="1932"/>
      <c r="AH124" s="1932"/>
      <c r="AI124" s="1932"/>
      <c r="AJ124" s="1932"/>
      <c r="AK124" s="1932"/>
      <c r="AL124" s="1932"/>
      <c r="AM124" s="1932"/>
      <c r="AN124" s="1932"/>
      <c r="AO124" s="1932"/>
      <c r="AP124" s="1932"/>
      <c r="AQ124" s="1932"/>
    </row>
    <row r="125" spans="1:43" ht="27" customHeight="1" x14ac:dyDescent="0.2">
      <c r="C125" s="1932"/>
      <c r="D125" s="1932"/>
      <c r="E125" s="1932"/>
      <c r="F125" s="1932"/>
      <c r="G125" s="1932"/>
      <c r="H125" s="1932"/>
      <c r="I125" s="1932"/>
      <c r="J125" s="1805"/>
      <c r="K125" s="1932"/>
      <c r="L125" s="1932"/>
      <c r="M125" s="1932"/>
      <c r="N125" s="1932"/>
      <c r="O125" s="1805"/>
      <c r="P125" s="1932"/>
      <c r="Q125" s="1932"/>
      <c r="S125" s="1932"/>
      <c r="T125" s="1932"/>
      <c r="U125" s="1932"/>
      <c r="W125" s="1932"/>
      <c r="X125" s="1936"/>
      <c r="Y125" s="1932"/>
      <c r="Z125" s="1932"/>
      <c r="AA125" s="1932"/>
      <c r="AB125" s="1932"/>
      <c r="AC125" s="1932"/>
      <c r="AD125" s="1932"/>
      <c r="AE125" s="1932"/>
      <c r="AF125" s="1932"/>
      <c r="AG125" s="1932"/>
      <c r="AH125" s="1932"/>
      <c r="AI125" s="1932"/>
      <c r="AJ125" s="1932"/>
      <c r="AK125" s="1932"/>
      <c r="AL125" s="1932"/>
      <c r="AM125" s="1932"/>
      <c r="AN125" s="1932"/>
      <c r="AO125" s="1932"/>
      <c r="AP125" s="1932"/>
      <c r="AQ125" s="1932"/>
    </row>
    <row r="126" spans="1:43" ht="27" customHeight="1" x14ac:dyDescent="0.2">
      <c r="C126" s="1932"/>
      <c r="D126" s="1932"/>
      <c r="E126" s="1932"/>
      <c r="F126" s="1932"/>
      <c r="G126" s="1932"/>
      <c r="H126" s="1932"/>
      <c r="I126" s="1932"/>
      <c r="J126" s="1805"/>
      <c r="K126" s="1932"/>
      <c r="L126" s="1932"/>
      <c r="M126" s="1932"/>
      <c r="N126" s="1932"/>
      <c r="O126" s="1805"/>
      <c r="P126" s="1932"/>
      <c r="Q126" s="1932"/>
      <c r="S126" s="1932"/>
      <c r="T126" s="1932"/>
      <c r="U126" s="1932"/>
      <c r="W126" s="1932"/>
      <c r="X126" s="1936"/>
      <c r="Y126" s="1932"/>
      <c r="Z126" s="1932"/>
      <c r="AA126" s="1932"/>
      <c r="AB126" s="1932"/>
      <c r="AC126" s="1932"/>
      <c r="AD126" s="1932"/>
      <c r="AE126" s="1932"/>
      <c r="AF126" s="1932"/>
      <c r="AG126" s="1932"/>
      <c r="AH126" s="1932"/>
      <c r="AI126" s="1932"/>
      <c r="AJ126" s="1932"/>
      <c r="AK126" s="1932"/>
      <c r="AL126" s="1932"/>
      <c r="AM126" s="1932"/>
      <c r="AN126" s="1932"/>
      <c r="AO126" s="1932"/>
      <c r="AP126" s="1932"/>
      <c r="AQ126" s="1932"/>
    </row>
    <row r="127" spans="1:43" ht="27" customHeight="1" x14ac:dyDescent="0.2">
      <c r="C127" s="1932"/>
      <c r="D127" s="1932"/>
      <c r="E127" s="1932"/>
      <c r="F127" s="1932"/>
      <c r="G127" s="1932"/>
      <c r="H127" s="1932"/>
      <c r="I127" s="1932"/>
      <c r="J127" s="1805"/>
      <c r="K127" s="1932"/>
      <c r="L127" s="1932"/>
      <c r="M127" s="1932"/>
      <c r="N127" s="1932"/>
      <c r="O127" s="1805"/>
      <c r="P127" s="1932"/>
      <c r="Q127" s="1932"/>
      <c r="S127" s="1932"/>
      <c r="T127" s="1932"/>
      <c r="U127" s="1932"/>
      <c r="W127" s="1932"/>
      <c r="X127" s="1936"/>
      <c r="Y127" s="1932"/>
      <c r="Z127" s="1932"/>
      <c r="AA127" s="1932"/>
      <c r="AB127" s="1932"/>
      <c r="AC127" s="1932"/>
      <c r="AD127" s="1932"/>
      <c r="AE127" s="1932"/>
      <c r="AF127" s="1932"/>
      <c r="AG127" s="1932"/>
      <c r="AH127" s="1932"/>
      <c r="AI127" s="1932"/>
      <c r="AJ127" s="1932"/>
      <c r="AK127" s="1932"/>
      <c r="AL127" s="1932"/>
      <c r="AM127" s="1932"/>
      <c r="AN127" s="1932"/>
      <c r="AO127" s="1932"/>
      <c r="AP127" s="1932"/>
      <c r="AQ127" s="1932"/>
    </row>
    <row r="128" spans="1:43" ht="27" customHeight="1" x14ac:dyDescent="0.2">
      <c r="C128" s="1932"/>
      <c r="D128" s="1932"/>
      <c r="E128" s="1932"/>
      <c r="F128" s="1932"/>
      <c r="G128" s="1932"/>
      <c r="H128" s="1932"/>
      <c r="I128" s="1932"/>
      <c r="J128" s="1805"/>
      <c r="K128" s="1932"/>
      <c r="L128" s="1932"/>
      <c r="M128" s="1932"/>
      <c r="N128" s="1932"/>
      <c r="O128" s="1805"/>
      <c r="P128" s="1932"/>
      <c r="Q128" s="1932"/>
      <c r="S128" s="1932"/>
      <c r="T128" s="1932"/>
      <c r="U128" s="1932"/>
      <c r="W128" s="1932"/>
      <c r="X128" s="1936"/>
      <c r="Y128" s="1932"/>
      <c r="Z128" s="1932"/>
      <c r="AA128" s="1932"/>
      <c r="AB128" s="1932"/>
      <c r="AC128" s="1932"/>
      <c r="AD128" s="1932"/>
      <c r="AE128" s="1932"/>
      <c r="AF128" s="1932"/>
      <c r="AG128" s="1932"/>
      <c r="AH128" s="1932"/>
      <c r="AI128" s="1932"/>
      <c r="AJ128" s="1932"/>
      <c r="AK128" s="1932"/>
      <c r="AL128" s="1932"/>
      <c r="AM128" s="1932"/>
      <c r="AN128" s="1932"/>
      <c r="AO128" s="1932"/>
      <c r="AP128" s="1932"/>
      <c r="AQ128" s="1932"/>
    </row>
    <row r="129" spans="3:43" ht="27" customHeight="1" x14ac:dyDescent="0.2">
      <c r="C129" s="1932"/>
      <c r="D129" s="1932"/>
      <c r="E129" s="1932"/>
      <c r="F129" s="1932"/>
      <c r="G129" s="1932"/>
      <c r="H129" s="1932"/>
      <c r="I129" s="1932"/>
      <c r="J129" s="1805"/>
      <c r="K129" s="1932"/>
      <c r="L129" s="1932"/>
      <c r="M129" s="1932"/>
      <c r="N129" s="1932"/>
      <c r="O129" s="1805"/>
      <c r="P129" s="1932"/>
      <c r="Q129" s="1932"/>
      <c r="S129" s="1932"/>
      <c r="T129" s="1932"/>
      <c r="U129" s="1932"/>
      <c r="W129" s="1932"/>
      <c r="X129" s="1936"/>
      <c r="Y129" s="1932"/>
      <c r="Z129" s="1932"/>
      <c r="AA129" s="1932"/>
      <c r="AB129" s="1932"/>
      <c r="AC129" s="1932"/>
      <c r="AD129" s="1932"/>
      <c r="AE129" s="1932"/>
      <c r="AF129" s="1932"/>
      <c r="AG129" s="1932"/>
      <c r="AH129" s="1932"/>
      <c r="AI129" s="1932"/>
      <c r="AJ129" s="1932"/>
      <c r="AK129" s="1932"/>
      <c r="AL129" s="1932"/>
      <c r="AM129" s="1932"/>
      <c r="AN129" s="1932"/>
      <c r="AO129" s="1932"/>
      <c r="AP129" s="1932"/>
      <c r="AQ129" s="1932"/>
    </row>
    <row r="130" spans="3:43" ht="27" customHeight="1" x14ac:dyDescent="0.2">
      <c r="C130" s="1932"/>
      <c r="D130" s="1932"/>
      <c r="E130" s="1932"/>
      <c r="F130" s="1932"/>
      <c r="G130" s="1932"/>
      <c r="H130" s="1932"/>
      <c r="I130" s="1932"/>
      <c r="J130" s="1805"/>
      <c r="K130" s="1932"/>
      <c r="L130" s="1932"/>
      <c r="M130" s="1932"/>
      <c r="N130" s="1932"/>
      <c r="O130" s="1805"/>
      <c r="P130" s="1932"/>
      <c r="Q130" s="1932"/>
      <c r="S130" s="1932"/>
      <c r="T130" s="1932"/>
      <c r="U130" s="1932"/>
      <c r="W130" s="1932"/>
      <c r="X130" s="1936"/>
      <c r="Y130" s="1932"/>
      <c r="Z130" s="1932"/>
      <c r="AA130" s="1932"/>
      <c r="AB130" s="1932"/>
      <c r="AC130" s="1932"/>
      <c r="AD130" s="1932"/>
      <c r="AE130" s="1932"/>
      <c r="AF130" s="1932"/>
      <c r="AG130" s="1932"/>
      <c r="AH130" s="1932"/>
      <c r="AI130" s="1932"/>
      <c r="AJ130" s="1932"/>
      <c r="AK130" s="1932"/>
      <c r="AL130" s="1932"/>
      <c r="AM130" s="1932"/>
      <c r="AN130" s="1932"/>
      <c r="AO130" s="1932"/>
      <c r="AP130" s="1932"/>
      <c r="AQ130" s="1932"/>
    </row>
    <row r="131" spans="3:43" ht="27" customHeight="1" x14ac:dyDescent="0.2">
      <c r="C131" s="1932"/>
      <c r="D131" s="1932"/>
      <c r="E131" s="1932"/>
      <c r="F131" s="1932"/>
      <c r="G131" s="1932"/>
      <c r="H131" s="1932"/>
      <c r="I131" s="1932"/>
      <c r="J131" s="1805"/>
      <c r="K131" s="1932"/>
      <c r="L131" s="1932"/>
      <c r="M131" s="1932"/>
      <c r="N131" s="1932"/>
      <c r="O131" s="1805"/>
      <c r="P131" s="1932"/>
      <c r="Q131" s="1932"/>
      <c r="S131" s="1932"/>
      <c r="T131" s="1932"/>
      <c r="U131" s="1932"/>
      <c r="W131" s="1932"/>
      <c r="X131" s="1936"/>
      <c r="Y131" s="1932"/>
      <c r="Z131" s="1932"/>
      <c r="AA131" s="1932"/>
      <c r="AB131" s="1932"/>
      <c r="AC131" s="1932"/>
      <c r="AD131" s="1932"/>
      <c r="AE131" s="1932"/>
      <c r="AF131" s="1932"/>
      <c r="AG131" s="1932"/>
      <c r="AH131" s="1932"/>
      <c r="AI131" s="1932"/>
      <c r="AJ131" s="1932"/>
      <c r="AK131" s="1932"/>
      <c r="AL131" s="1932"/>
      <c r="AM131" s="1932"/>
      <c r="AN131" s="1932"/>
      <c r="AO131" s="1932"/>
      <c r="AP131" s="1932"/>
      <c r="AQ131" s="1932"/>
    </row>
    <row r="132" spans="3:43" ht="27" customHeight="1" x14ac:dyDescent="0.2">
      <c r="C132" s="1932"/>
      <c r="D132" s="1932"/>
      <c r="E132" s="1932"/>
      <c r="F132" s="1932"/>
      <c r="G132" s="1932"/>
      <c r="H132" s="1932"/>
      <c r="I132" s="1932"/>
      <c r="J132" s="1805"/>
      <c r="K132" s="1932"/>
      <c r="L132" s="1932"/>
      <c r="M132" s="1932"/>
      <c r="N132" s="1932"/>
      <c r="O132" s="1805"/>
      <c r="P132" s="1932"/>
      <c r="Q132" s="1932"/>
      <c r="S132" s="1932"/>
      <c r="T132" s="1932"/>
      <c r="U132" s="1932"/>
      <c r="W132" s="1932"/>
      <c r="X132" s="1936"/>
      <c r="Y132" s="1932"/>
      <c r="Z132" s="1932"/>
      <c r="AA132" s="1932"/>
      <c r="AB132" s="1932"/>
      <c r="AC132" s="1932"/>
      <c r="AD132" s="1932"/>
      <c r="AE132" s="1932"/>
      <c r="AF132" s="1932"/>
      <c r="AG132" s="1932"/>
      <c r="AH132" s="1932"/>
      <c r="AI132" s="1932"/>
      <c r="AJ132" s="1932"/>
      <c r="AK132" s="1932"/>
      <c r="AL132" s="1932"/>
      <c r="AM132" s="1932"/>
      <c r="AN132" s="1932"/>
      <c r="AO132" s="1932"/>
      <c r="AP132" s="1932"/>
      <c r="AQ132" s="1932"/>
    </row>
    <row r="133" spans="3:43" ht="27" customHeight="1" x14ac:dyDescent="0.2">
      <c r="C133" s="1932"/>
      <c r="D133" s="1932"/>
      <c r="E133" s="1932"/>
      <c r="F133" s="1932"/>
      <c r="G133" s="1932"/>
      <c r="H133" s="1932"/>
      <c r="I133" s="1932"/>
      <c r="J133" s="1805"/>
      <c r="K133" s="1932"/>
      <c r="L133" s="1932"/>
      <c r="M133" s="1932"/>
      <c r="N133" s="1932"/>
      <c r="O133" s="1805"/>
      <c r="P133" s="1932"/>
      <c r="Q133" s="1932"/>
      <c r="S133" s="1932"/>
      <c r="T133" s="1932"/>
      <c r="U133" s="1932"/>
      <c r="W133" s="1932"/>
      <c r="X133" s="1936"/>
      <c r="Y133" s="1932"/>
      <c r="Z133" s="1932"/>
      <c r="AA133" s="1932"/>
      <c r="AB133" s="1932"/>
      <c r="AC133" s="1932"/>
      <c r="AD133" s="1932"/>
      <c r="AE133" s="1932"/>
      <c r="AF133" s="1932"/>
      <c r="AG133" s="1932"/>
      <c r="AH133" s="1932"/>
      <c r="AI133" s="1932"/>
      <c r="AJ133" s="1932"/>
      <c r="AK133" s="1932"/>
      <c r="AL133" s="1932"/>
      <c r="AM133" s="1932"/>
      <c r="AN133" s="1932"/>
      <c r="AO133" s="1932"/>
      <c r="AP133" s="1932"/>
      <c r="AQ133" s="1932"/>
    </row>
    <row r="134" spans="3:43" ht="27" customHeight="1" x14ac:dyDescent="0.2">
      <c r="C134" s="1932"/>
      <c r="D134" s="1932"/>
      <c r="E134" s="1932"/>
      <c r="F134" s="1932"/>
      <c r="G134" s="1932"/>
      <c r="H134" s="1932"/>
      <c r="I134" s="1932"/>
      <c r="J134" s="1805"/>
      <c r="K134" s="1932"/>
      <c r="L134" s="1932"/>
      <c r="M134" s="1932"/>
      <c r="N134" s="1932"/>
      <c r="O134" s="1805"/>
      <c r="P134" s="1932"/>
      <c r="Q134" s="1932"/>
      <c r="S134" s="1932"/>
      <c r="T134" s="1932"/>
      <c r="U134" s="1932"/>
      <c r="W134" s="1932"/>
      <c r="X134" s="1936"/>
      <c r="Y134" s="1932"/>
      <c r="Z134" s="1932"/>
      <c r="AA134" s="1932"/>
      <c r="AB134" s="1932"/>
      <c r="AC134" s="1932"/>
      <c r="AD134" s="1932"/>
      <c r="AE134" s="1932"/>
      <c r="AF134" s="1932"/>
      <c r="AG134" s="1932"/>
      <c r="AH134" s="1932"/>
      <c r="AI134" s="1932"/>
      <c r="AJ134" s="1932"/>
      <c r="AK134" s="1932"/>
      <c r="AL134" s="1932"/>
      <c r="AM134" s="1932"/>
      <c r="AN134" s="1932"/>
      <c r="AO134" s="1932"/>
      <c r="AP134" s="1932"/>
      <c r="AQ134" s="1932"/>
    </row>
    <row r="135" spans="3:43" ht="27" customHeight="1" x14ac:dyDescent="0.2">
      <c r="C135" s="1932"/>
      <c r="D135" s="1932"/>
      <c r="E135" s="1932"/>
      <c r="F135" s="1932"/>
      <c r="G135" s="1932"/>
      <c r="H135" s="1932"/>
      <c r="I135" s="1932"/>
      <c r="J135" s="1805"/>
      <c r="K135" s="1932"/>
      <c r="L135" s="1932"/>
      <c r="M135" s="1932"/>
      <c r="N135" s="1932"/>
      <c r="O135" s="1805"/>
      <c r="P135" s="1932"/>
      <c r="Q135" s="1932"/>
      <c r="S135" s="1932"/>
      <c r="T135" s="1932"/>
      <c r="U135" s="1932"/>
      <c r="W135" s="1932"/>
      <c r="X135" s="1936"/>
      <c r="Y135" s="1932"/>
      <c r="Z135" s="1932"/>
      <c r="AA135" s="1932"/>
      <c r="AB135" s="1932"/>
      <c r="AC135" s="1932"/>
      <c r="AD135" s="1932"/>
      <c r="AE135" s="1932"/>
      <c r="AF135" s="1932"/>
      <c r="AG135" s="1932"/>
      <c r="AH135" s="1932"/>
      <c r="AI135" s="1932"/>
      <c r="AJ135" s="1932"/>
      <c r="AK135" s="1932"/>
      <c r="AL135" s="1932"/>
      <c r="AM135" s="1932"/>
      <c r="AN135" s="1932"/>
      <c r="AO135" s="1932"/>
      <c r="AP135" s="1932"/>
      <c r="AQ135" s="1932"/>
    </row>
    <row r="136" spans="3:43" ht="27" customHeight="1" x14ac:dyDescent="0.2">
      <c r="C136" s="1932"/>
      <c r="D136" s="1932"/>
      <c r="E136" s="1932"/>
      <c r="F136" s="1932"/>
      <c r="G136" s="1932"/>
      <c r="H136" s="1932"/>
      <c r="I136" s="1932"/>
      <c r="J136" s="1805"/>
      <c r="K136" s="1932"/>
      <c r="L136" s="1932"/>
      <c r="M136" s="1932"/>
      <c r="N136" s="1932"/>
      <c r="O136" s="1805"/>
      <c r="P136" s="1932"/>
      <c r="Q136" s="1932"/>
      <c r="S136" s="1932"/>
      <c r="T136" s="1932"/>
      <c r="U136" s="1932"/>
      <c r="W136" s="1932"/>
      <c r="X136" s="1936"/>
      <c r="Y136" s="1932"/>
      <c r="Z136" s="1932"/>
      <c r="AA136" s="1932"/>
      <c r="AB136" s="1932"/>
      <c r="AC136" s="1932"/>
      <c r="AD136" s="1932"/>
      <c r="AE136" s="1932"/>
      <c r="AF136" s="1932"/>
      <c r="AG136" s="1932"/>
      <c r="AH136" s="1932"/>
      <c r="AI136" s="1932"/>
      <c r="AJ136" s="1932"/>
      <c r="AK136" s="1932"/>
      <c r="AL136" s="1932"/>
      <c r="AM136" s="1932"/>
      <c r="AN136" s="1932"/>
      <c r="AO136" s="1932"/>
      <c r="AP136" s="1932"/>
      <c r="AQ136" s="1932"/>
    </row>
    <row r="137" spans="3:43" ht="27" customHeight="1" x14ac:dyDescent="0.2">
      <c r="C137" s="1932"/>
      <c r="D137" s="1932"/>
      <c r="E137" s="1932"/>
      <c r="F137" s="1932"/>
      <c r="G137" s="1932"/>
      <c r="H137" s="1932"/>
      <c r="I137" s="1932"/>
      <c r="J137" s="1805"/>
      <c r="K137" s="1932"/>
      <c r="L137" s="1932"/>
      <c r="M137" s="1932"/>
      <c r="N137" s="1932"/>
      <c r="O137" s="1805"/>
      <c r="P137" s="1932"/>
      <c r="Q137" s="1932"/>
      <c r="S137" s="1932"/>
      <c r="T137" s="1932"/>
      <c r="U137" s="1932"/>
      <c r="W137" s="1932"/>
      <c r="X137" s="1936"/>
      <c r="Y137" s="1932"/>
      <c r="Z137" s="1932"/>
      <c r="AA137" s="1932"/>
      <c r="AB137" s="1932"/>
      <c r="AC137" s="1932"/>
      <c r="AD137" s="1932"/>
      <c r="AE137" s="1932"/>
      <c r="AF137" s="1932"/>
      <c r="AG137" s="1932"/>
      <c r="AH137" s="1932"/>
      <c r="AI137" s="1932"/>
      <c r="AJ137" s="1932"/>
      <c r="AK137" s="1932"/>
      <c r="AL137" s="1932"/>
      <c r="AM137" s="1932"/>
      <c r="AN137" s="1932"/>
      <c r="AO137" s="1932"/>
      <c r="AP137" s="1932"/>
      <c r="AQ137" s="1932"/>
    </row>
    <row r="138" spans="3:43" ht="27" customHeight="1" x14ac:dyDescent="0.2">
      <c r="C138" s="1932"/>
      <c r="D138" s="1932"/>
      <c r="E138" s="1932"/>
      <c r="F138" s="1932"/>
      <c r="G138" s="1932"/>
      <c r="H138" s="1932"/>
      <c r="I138" s="1932"/>
      <c r="J138" s="1805"/>
      <c r="K138" s="1932"/>
      <c r="L138" s="1932"/>
      <c r="M138" s="1932"/>
      <c r="N138" s="1932"/>
      <c r="O138" s="1805"/>
      <c r="P138" s="1932"/>
      <c r="Q138" s="1932"/>
      <c r="S138" s="1932"/>
      <c r="T138" s="1932"/>
      <c r="U138" s="1932"/>
      <c r="W138" s="1932"/>
      <c r="X138" s="1936"/>
      <c r="Y138" s="1932"/>
      <c r="Z138" s="1932"/>
      <c r="AA138" s="1932"/>
      <c r="AB138" s="1932"/>
      <c r="AC138" s="1932"/>
      <c r="AD138" s="1932"/>
      <c r="AE138" s="1932"/>
      <c r="AF138" s="1932"/>
      <c r="AG138" s="1932"/>
      <c r="AH138" s="1932"/>
      <c r="AI138" s="1932"/>
      <c r="AJ138" s="1932"/>
      <c r="AK138" s="1932"/>
      <c r="AL138" s="1932"/>
      <c r="AM138" s="1932"/>
      <c r="AN138" s="1932"/>
      <c r="AO138" s="1932"/>
      <c r="AP138" s="1932"/>
      <c r="AQ138" s="1932"/>
    </row>
    <row r="139" spans="3:43" ht="27" customHeight="1" x14ac:dyDescent="0.2">
      <c r="C139" s="1932"/>
      <c r="D139" s="1932"/>
      <c r="E139" s="1932"/>
      <c r="F139" s="1932"/>
      <c r="G139" s="1932"/>
      <c r="H139" s="1932"/>
      <c r="I139" s="1932"/>
      <c r="J139" s="1805"/>
      <c r="K139" s="1932"/>
      <c r="L139" s="1932"/>
      <c r="M139" s="1932"/>
      <c r="N139" s="1932"/>
      <c r="O139" s="1805"/>
      <c r="P139" s="1932"/>
      <c r="Q139" s="1932"/>
      <c r="S139" s="1932"/>
      <c r="T139" s="1932"/>
      <c r="U139" s="1932"/>
      <c r="W139" s="1932"/>
      <c r="X139" s="1936"/>
      <c r="Y139" s="1932"/>
      <c r="Z139" s="1932"/>
      <c r="AA139" s="1932"/>
      <c r="AB139" s="1932"/>
      <c r="AC139" s="1932"/>
      <c r="AD139" s="1932"/>
      <c r="AE139" s="1932"/>
      <c r="AF139" s="1932"/>
      <c r="AG139" s="1932"/>
      <c r="AH139" s="1932"/>
      <c r="AI139" s="1932"/>
      <c r="AJ139" s="1932"/>
      <c r="AK139" s="1932"/>
      <c r="AL139" s="1932"/>
      <c r="AM139" s="1932"/>
      <c r="AN139" s="1932"/>
      <c r="AO139" s="1932"/>
      <c r="AP139" s="1932"/>
      <c r="AQ139" s="1932"/>
    </row>
    <row r="140" spans="3:43" ht="27" customHeight="1" x14ac:dyDescent="0.2">
      <c r="C140" s="1932"/>
      <c r="D140" s="1932"/>
      <c r="E140" s="1932"/>
      <c r="F140" s="1932"/>
      <c r="G140" s="1932"/>
      <c r="H140" s="1932"/>
      <c r="I140" s="1932"/>
      <c r="J140" s="1805"/>
      <c r="K140" s="1932"/>
      <c r="L140" s="1932"/>
      <c r="M140" s="1932"/>
      <c r="N140" s="1932"/>
      <c r="O140" s="1805"/>
      <c r="P140" s="1932"/>
      <c r="Q140" s="1932"/>
      <c r="S140" s="1932"/>
      <c r="T140" s="1932"/>
      <c r="U140" s="1932"/>
      <c r="W140" s="1932"/>
      <c r="X140" s="1936"/>
      <c r="Y140" s="1932"/>
      <c r="Z140" s="1932"/>
      <c r="AA140" s="1932"/>
      <c r="AB140" s="1932"/>
      <c r="AC140" s="1932"/>
      <c r="AD140" s="1932"/>
      <c r="AE140" s="1932"/>
      <c r="AF140" s="1932"/>
      <c r="AG140" s="1932"/>
      <c r="AH140" s="1932"/>
      <c r="AI140" s="1932"/>
      <c r="AJ140" s="1932"/>
      <c r="AK140" s="1932"/>
      <c r="AL140" s="1932"/>
      <c r="AM140" s="1932"/>
      <c r="AN140" s="1932"/>
      <c r="AO140" s="1932"/>
      <c r="AP140" s="1932"/>
      <c r="AQ140" s="1932"/>
    </row>
    <row r="141" spans="3:43" ht="27" customHeight="1" x14ac:dyDescent="0.2">
      <c r="C141" s="1932"/>
      <c r="D141" s="1932"/>
      <c r="E141" s="1932"/>
      <c r="F141" s="1932"/>
      <c r="G141" s="1932"/>
      <c r="H141" s="1932"/>
      <c r="I141" s="1932"/>
      <c r="J141" s="1805"/>
      <c r="K141" s="1932"/>
      <c r="L141" s="1932"/>
      <c r="M141" s="1932"/>
      <c r="N141" s="1932"/>
      <c r="O141" s="1805"/>
      <c r="P141" s="1932"/>
      <c r="Q141" s="1932"/>
      <c r="S141" s="1932"/>
      <c r="T141" s="1932"/>
      <c r="U141" s="1932"/>
      <c r="W141" s="1932"/>
      <c r="X141" s="1936"/>
      <c r="Y141" s="1932"/>
      <c r="Z141" s="1932"/>
      <c r="AA141" s="1932"/>
      <c r="AB141" s="1932"/>
      <c r="AC141" s="1932"/>
      <c r="AD141" s="1932"/>
      <c r="AE141" s="1932"/>
      <c r="AF141" s="1932"/>
      <c r="AG141" s="1932"/>
      <c r="AH141" s="1932"/>
      <c r="AI141" s="1932"/>
      <c r="AJ141" s="1932"/>
      <c r="AK141" s="1932"/>
      <c r="AL141" s="1932"/>
      <c r="AM141" s="1932"/>
      <c r="AN141" s="1932"/>
      <c r="AO141" s="1932"/>
      <c r="AP141" s="1932"/>
      <c r="AQ141" s="1932"/>
    </row>
    <row r="142" spans="3:43" ht="27" customHeight="1" x14ac:dyDescent="0.2">
      <c r="C142" s="1932"/>
      <c r="D142" s="1932"/>
      <c r="E142" s="1932"/>
      <c r="F142" s="1932"/>
      <c r="G142" s="1932"/>
      <c r="H142" s="1932"/>
      <c r="I142" s="1932"/>
      <c r="J142" s="1805"/>
      <c r="K142" s="1932"/>
      <c r="L142" s="1932"/>
      <c r="M142" s="1932"/>
      <c r="N142" s="1932"/>
      <c r="O142" s="1805"/>
      <c r="P142" s="1932"/>
      <c r="Q142" s="1932"/>
      <c r="S142" s="1932"/>
      <c r="T142" s="1932"/>
      <c r="U142" s="1932"/>
      <c r="W142" s="1932"/>
      <c r="X142" s="1936"/>
      <c r="Y142" s="1932"/>
      <c r="Z142" s="1932"/>
      <c r="AA142" s="1932"/>
      <c r="AB142" s="1932"/>
      <c r="AC142" s="1932"/>
      <c r="AD142" s="1932"/>
      <c r="AE142" s="1932"/>
      <c r="AF142" s="1932"/>
      <c r="AG142" s="1932"/>
      <c r="AH142" s="1932"/>
      <c r="AI142" s="1932"/>
      <c r="AJ142" s="1932"/>
      <c r="AK142" s="1932"/>
      <c r="AL142" s="1932"/>
      <c r="AM142" s="1932"/>
      <c r="AN142" s="1932"/>
      <c r="AO142" s="1932"/>
      <c r="AP142" s="1932"/>
      <c r="AQ142" s="1932"/>
    </row>
    <row r="143" spans="3:43" ht="27" customHeight="1" x14ac:dyDescent="0.2">
      <c r="C143" s="1932"/>
      <c r="D143" s="1932"/>
      <c r="E143" s="1932"/>
      <c r="F143" s="1932"/>
      <c r="G143" s="1932"/>
      <c r="H143" s="1932"/>
      <c r="I143" s="1932"/>
      <c r="J143" s="1805"/>
      <c r="K143" s="1932"/>
      <c r="L143" s="1932"/>
      <c r="M143" s="1932"/>
      <c r="N143" s="1932"/>
      <c r="O143" s="1805"/>
      <c r="P143" s="1932"/>
      <c r="Q143" s="1932"/>
      <c r="S143" s="1932"/>
      <c r="T143" s="1932"/>
      <c r="U143" s="1932"/>
      <c r="W143" s="1932"/>
      <c r="X143" s="1936"/>
      <c r="Y143" s="1932"/>
      <c r="Z143" s="1932"/>
      <c r="AA143" s="1932"/>
      <c r="AB143" s="1932"/>
      <c r="AC143" s="1932"/>
      <c r="AD143" s="1932"/>
      <c r="AE143" s="1932"/>
      <c r="AF143" s="1932"/>
      <c r="AG143" s="1932"/>
      <c r="AH143" s="1932"/>
      <c r="AI143" s="1932"/>
      <c r="AJ143" s="1932"/>
      <c r="AK143" s="1932"/>
      <c r="AL143" s="1932"/>
      <c r="AM143" s="1932"/>
      <c r="AN143" s="1932"/>
      <c r="AO143" s="1932"/>
      <c r="AP143" s="1932"/>
      <c r="AQ143" s="1932"/>
    </row>
    <row r="144" spans="3:43" ht="27" customHeight="1" x14ac:dyDescent="0.2">
      <c r="C144" s="1932"/>
      <c r="D144" s="1932"/>
      <c r="E144" s="1932"/>
      <c r="F144" s="1932"/>
      <c r="G144" s="1932"/>
      <c r="H144" s="1932"/>
      <c r="I144" s="1932"/>
      <c r="J144" s="1805"/>
      <c r="K144" s="1932"/>
      <c r="L144" s="1932"/>
      <c r="M144" s="1932"/>
      <c r="N144" s="1932"/>
      <c r="O144" s="1805"/>
      <c r="P144" s="1932"/>
      <c r="Q144" s="1932"/>
      <c r="S144" s="1932"/>
      <c r="T144" s="1932"/>
      <c r="U144" s="1932"/>
      <c r="W144" s="1932"/>
      <c r="X144" s="1936"/>
      <c r="Y144" s="1932"/>
      <c r="Z144" s="1932"/>
      <c r="AA144" s="1932"/>
      <c r="AB144" s="1932"/>
      <c r="AC144" s="1932"/>
      <c r="AD144" s="1932"/>
      <c r="AE144" s="1932"/>
      <c r="AF144" s="1932"/>
      <c r="AG144" s="1932"/>
      <c r="AH144" s="1932"/>
      <c r="AI144" s="1932"/>
      <c r="AJ144" s="1932"/>
      <c r="AK144" s="1932"/>
      <c r="AL144" s="1932"/>
      <c r="AM144" s="1932"/>
      <c r="AN144" s="1932"/>
      <c r="AO144" s="1932"/>
      <c r="AP144" s="1932"/>
      <c r="AQ144" s="1932"/>
    </row>
    <row r="145" spans="3:43" ht="27" customHeight="1" x14ac:dyDescent="0.2">
      <c r="C145" s="1932"/>
      <c r="D145" s="1932"/>
      <c r="E145" s="1932"/>
      <c r="F145" s="1932"/>
      <c r="G145" s="1932"/>
      <c r="H145" s="1932"/>
      <c r="I145" s="1932"/>
      <c r="J145" s="1805"/>
      <c r="K145" s="1932"/>
      <c r="L145" s="1932"/>
      <c r="M145" s="1932"/>
      <c r="N145" s="1932"/>
      <c r="O145" s="1805"/>
      <c r="P145" s="1932"/>
      <c r="Q145" s="1932"/>
      <c r="S145" s="1932"/>
      <c r="T145" s="1932"/>
      <c r="U145" s="1932"/>
      <c r="W145" s="1932"/>
      <c r="X145" s="1936"/>
      <c r="Y145" s="1932"/>
      <c r="Z145" s="1932"/>
      <c r="AA145" s="1932"/>
      <c r="AB145" s="1932"/>
      <c r="AC145" s="1932"/>
      <c r="AD145" s="1932"/>
      <c r="AE145" s="1932"/>
      <c r="AF145" s="1932"/>
      <c r="AG145" s="1932"/>
      <c r="AH145" s="1932"/>
      <c r="AI145" s="1932"/>
      <c r="AJ145" s="1932"/>
      <c r="AK145" s="1932"/>
      <c r="AL145" s="1932"/>
      <c r="AM145" s="1932"/>
      <c r="AN145" s="1932"/>
      <c r="AO145" s="1932"/>
      <c r="AP145" s="1932"/>
      <c r="AQ145" s="1932"/>
    </row>
    <row r="146" spans="3:43" ht="27" customHeight="1" x14ac:dyDescent="0.2">
      <c r="C146" s="1932"/>
      <c r="D146" s="1932"/>
      <c r="E146" s="1932"/>
      <c r="F146" s="1932"/>
      <c r="G146" s="1932"/>
      <c r="H146" s="1932"/>
      <c r="I146" s="1932"/>
      <c r="J146" s="1805"/>
      <c r="K146" s="1932"/>
      <c r="L146" s="1932"/>
      <c r="M146" s="1932"/>
      <c r="N146" s="1932"/>
      <c r="O146" s="1805"/>
      <c r="P146" s="1932"/>
      <c r="Q146" s="1932"/>
      <c r="S146" s="1932"/>
      <c r="T146" s="1932"/>
      <c r="U146" s="1932"/>
      <c r="W146" s="1932"/>
      <c r="X146" s="1936"/>
      <c r="Y146" s="1932"/>
      <c r="Z146" s="1932"/>
      <c r="AA146" s="1932"/>
      <c r="AB146" s="1932"/>
      <c r="AC146" s="1932"/>
      <c r="AD146" s="1932"/>
      <c r="AE146" s="1932"/>
      <c r="AF146" s="1932"/>
      <c r="AG146" s="1932"/>
      <c r="AH146" s="1932"/>
      <c r="AI146" s="1932"/>
      <c r="AJ146" s="1932"/>
      <c r="AK146" s="1932"/>
      <c r="AL146" s="1932"/>
      <c r="AM146" s="1932"/>
      <c r="AN146" s="1932"/>
      <c r="AO146" s="1932"/>
      <c r="AP146" s="1932"/>
      <c r="AQ146" s="1932"/>
    </row>
    <row r="147" spans="3:43" ht="27" customHeight="1" x14ac:dyDescent="0.2">
      <c r="C147" s="1932"/>
      <c r="D147" s="1932"/>
      <c r="E147" s="1932"/>
      <c r="F147" s="1932"/>
      <c r="G147" s="1932"/>
      <c r="H147" s="1932"/>
      <c r="I147" s="1932"/>
      <c r="J147" s="1805"/>
      <c r="K147" s="1932"/>
      <c r="L147" s="1932"/>
      <c r="M147" s="1932"/>
      <c r="N147" s="1932"/>
      <c r="O147" s="1805"/>
      <c r="P147" s="1932"/>
      <c r="Q147" s="1932"/>
      <c r="S147" s="1932"/>
      <c r="T147" s="1932"/>
      <c r="U147" s="1932"/>
      <c r="W147" s="1932"/>
      <c r="X147" s="1936"/>
      <c r="Y147" s="1932"/>
      <c r="Z147" s="1932"/>
      <c r="AA147" s="1932"/>
      <c r="AB147" s="1932"/>
      <c r="AC147" s="1932"/>
      <c r="AD147" s="1932"/>
      <c r="AE147" s="1932"/>
      <c r="AF147" s="1932"/>
      <c r="AG147" s="1932"/>
      <c r="AH147" s="1932"/>
      <c r="AI147" s="1932"/>
      <c r="AJ147" s="1932"/>
      <c r="AK147" s="1932"/>
      <c r="AL147" s="1932"/>
      <c r="AM147" s="1932"/>
      <c r="AN147" s="1932"/>
      <c r="AO147" s="1932"/>
      <c r="AP147" s="1932"/>
      <c r="AQ147" s="1932"/>
    </row>
    <row r="148" spans="3:43" ht="27" customHeight="1" x14ac:dyDescent="0.2">
      <c r="C148" s="1932"/>
      <c r="D148" s="1932"/>
      <c r="E148" s="1932"/>
      <c r="F148" s="1932"/>
      <c r="G148" s="1932"/>
      <c r="H148" s="1932"/>
      <c r="I148" s="1932"/>
      <c r="J148" s="1805"/>
      <c r="K148" s="1932"/>
      <c r="L148" s="1932"/>
      <c r="M148" s="1932"/>
      <c r="N148" s="1932"/>
      <c r="O148" s="1805"/>
      <c r="P148" s="1932"/>
      <c r="Q148" s="1932"/>
      <c r="S148" s="1932"/>
      <c r="T148" s="1932"/>
      <c r="U148" s="1932"/>
      <c r="W148" s="1932"/>
      <c r="X148" s="1936"/>
      <c r="Y148" s="1932"/>
      <c r="Z148" s="1932"/>
      <c r="AA148" s="1932"/>
      <c r="AB148" s="1932"/>
      <c r="AC148" s="1932"/>
      <c r="AD148" s="1932"/>
      <c r="AE148" s="1932"/>
      <c r="AF148" s="1932"/>
      <c r="AG148" s="1932"/>
      <c r="AH148" s="1932"/>
      <c r="AI148" s="1932"/>
      <c r="AJ148" s="1932"/>
      <c r="AK148" s="1932"/>
      <c r="AL148" s="1932"/>
      <c r="AM148" s="1932"/>
      <c r="AN148" s="1932"/>
      <c r="AO148" s="1932"/>
      <c r="AP148" s="1932"/>
      <c r="AQ148" s="1932"/>
    </row>
    <row r="149" spans="3:43" ht="27" customHeight="1" x14ac:dyDescent="0.2">
      <c r="C149" s="1932"/>
      <c r="D149" s="1932"/>
      <c r="E149" s="1932"/>
      <c r="F149" s="1932"/>
      <c r="G149" s="1932"/>
      <c r="H149" s="1932"/>
      <c r="I149" s="1932"/>
      <c r="J149" s="1805"/>
      <c r="K149" s="1932"/>
      <c r="L149" s="1932"/>
      <c r="M149" s="1932"/>
      <c r="N149" s="1932"/>
      <c r="O149" s="1805"/>
      <c r="P149" s="1932"/>
      <c r="Q149" s="1932"/>
      <c r="S149" s="1932"/>
      <c r="T149" s="1932"/>
      <c r="U149" s="1932"/>
      <c r="W149" s="1932"/>
      <c r="X149" s="1936"/>
      <c r="Y149" s="1932"/>
      <c r="Z149" s="1932"/>
      <c r="AA149" s="1932"/>
      <c r="AB149" s="1932"/>
      <c r="AC149" s="1932"/>
      <c r="AD149" s="1932"/>
      <c r="AE149" s="1932"/>
      <c r="AF149" s="1932"/>
      <c r="AG149" s="1932"/>
      <c r="AH149" s="1932"/>
      <c r="AI149" s="1932"/>
      <c r="AJ149" s="1932"/>
      <c r="AK149" s="1932"/>
      <c r="AL149" s="1932"/>
      <c r="AM149" s="1932"/>
      <c r="AN149" s="1932"/>
      <c r="AO149" s="1932"/>
      <c r="AP149" s="1932"/>
      <c r="AQ149" s="1932"/>
    </row>
    <row r="150" spans="3:43" ht="27" customHeight="1" x14ac:dyDescent="0.2">
      <c r="C150" s="1932"/>
      <c r="D150" s="1932"/>
      <c r="E150" s="1932"/>
      <c r="F150" s="1932"/>
      <c r="G150" s="1932"/>
      <c r="H150" s="1932"/>
      <c r="I150" s="1932"/>
      <c r="J150" s="1805"/>
      <c r="K150" s="1932"/>
      <c r="L150" s="1932"/>
      <c r="M150" s="1932"/>
      <c r="N150" s="1932"/>
      <c r="O150" s="1805"/>
      <c r="P150" s="1932"/>
      <c r="Q150" s="1932"/>
      <c r="S150" s="1932"/>
      <c r="T150" s="1932"/>
      <c r="U150" s="1932"/>
      <c r="W150" s="1932"/>
      <c r="X150" s="1936"/>
      <c r="Y150" s="1932"/>
      <c r="Z150" s="1932"/>
      <c r="AA150" s="1932"/>
      <c r="AB150" s="1932"/>
      <c r="AC150" s="1932"/>
      <c r="AD150" s="1932"/>
      <c r="AE150" s="1932"/>
      <c r="AF150" s="1932"/>
      <c r="AG150" s="1932"/>
      <c r="AH150" s="1932"/>
      <c r="AI150" s="1932"/>
      <c r="AJ150" s="1932"/>
      <c r="AK150" s="1932"/>
      <c r="AL150" s="1932"/>
      <c r="AM150" s="1932"/>
      <c r="AN150" s="1932"/>
      <c r="AO150" s="1932"/>
      <c r="AP150" s="1932"/>
      <c r="AQ150" s="1932"/>
    </row>
    <row r="151" spans="3:43" ht="27" customHeight="1" x14ac:dyDescent="0.2">
      <c r="C151" s="1932"/>
      <c r="D151" s="1932"/>
      <c r="E151" s="1932"/>
      <c r="F151" s="1932"/>
      <c r="G151" s="1932"/>
      <c r="H151" s="1932"/>
      <c r="I151" s="1932"/>
      <c r="J151" s="1805"/>
      <c r="K151" s="1932"/>
      <c r="L151" s="1932"/>
      <c r="M151" s="1932"/>
      <c r="N151" s="1932"/>
      <c r="O151" s="1805"/>
      <c r="P151" s="1932"/>
      <c r="Q151" s="1932"/>
      <c r="S151" s="1932"/>
      <c r="T151" s="1932"/>
      <c r="U151" s="1932"/>
      <c r="W151" s="1932"/>
      <c r="X151" s="1936"/>
      <c r="Y151" s="1932"/>
      <c r="Z151" s="1932"/>
      <c r="AA151" s="1932"/>
      <c r="AB151" s="1932"/>
      <c r="AC151" s="1932"/>
      <c r="AD151" s="1932"/>
      <c r="AE151" s="1932"/>
      <c r="AF151" s="1932"/>
      <c r="AG151" s="1932"/>
      <c r="AH151" s="1932"/>
      <c r="AI151" s="1932"/>
      <c r="AJ151" s="1932"/>
      <c r="AK151" s="1932"/>
      <c r="AL151" s="1932"/>
      <c r="AM151" s="1932"/>
      <c r="AN151" s="1932"/>
      <c r="AO151" s="1932"/>
      <c r="AP151" s="1932"/>
      <c r="AQ151" s="1932"/>
    </row>
    <row r="152" spans="3:43" ht="27" customHeight="1" x14ac:dyDescent="0.2">
      <c r="C152" s="1932"/>
      <c r="D152" s="1932"/>
      <c r="E152" s="1932"/>
      <c r="F152" s="1932"/>
      <c r="G152" s="1932"/>
      <c r="H152" s="1932"/>
      <c r="I152" s="1932"/>
      <c r="J152" s="1805"/>
      <c r="K152" s="1932"/>
      <c r="L152" s="1932"/>
      <c r="M152" s="1932"/>
      <c r="N152" s="1932"/>
      <c r="O152" s="1805"/>
      <c r="P152" s="1932"/>
      <c r="Q152" s="1932"/>
      <c r="S152" s="1932"/>
      <c r="T152" s="1932"/>
      <c r="U152" s="1932"/>
      <c r="W152" s="1932"/>
      <c r="X152" s="1936"/>
      <c r="Y152" s="1932"/>
      <c r="Z152" s="1932"/>
      <c r="AA152" s="1932"/>
      <c r="AB152" s="1932"/>
      <c r="AC152" s="1932"/>
      <c r="AD152" s="1932"/>
      <c r="AE152" s="1932"/>
      <c r="AF152" s="1932"/>
      <c r="AG152" s="1932"/>
      <c r="AH152" s="1932"/>
      <c r="AI152" s="1932"/>
      <c r="AJ152" s="1932"/>
      <c r="AK152" s="1932"/>
      <c r="AL152" s="1932"/>
      <c r="AM152" s="1932"/>
      <c r="AN152" s="1932"/>
      <c r="AO152" s="1932"/>
      <c r="AP152" s="1932"/>
      <c r="AQ152" s="1932"/>
    </row>
    <row r="153" spans="3:43" ht="27" customHeight="1" x14ac:dyDescent="0.2">
      <c r="C153" s="1932"/>
      <c r="D153" s="1932"/>
      <c r="E153" s="1932"/>
      <c r="F153" s="1932"/>
      <c r="G153" s="1932"/>
      <c r="H153" s="1932"/>
      <c r="I153" s="1932"/>
      <c r="J153" s="1805"/>
      <c r="K153" s="1932"/>
      <c r="L153" s="1932"/>
      <c r="M153" s="1932"/>
      <c r="N153" s="1932"/>
      <c r="O153" s="1805"/>
      <c r="P153" s="1932"/>
      <c r="Q153" s="1932"/>
      <c r="S153" s="1932"/>
      <c r="T153" s="1932"/>
      <c r="U153" s="1932"/>
      <c r="W153" s="1932"/>
      <c r="X153" s="1936"/>
      <c r="Y153" s="1932"/>
      <c r="Z153" s="1932"/>
      <c r="AA153" s="1932"/>
      <c r="AB153" s="1932"/>
      <c r="AC153" s="1932"/>
      <c r="AD153" s="1932"/>
      <c r="AE153" s="1932"/>
      <c r="AF153" s="1932"/>
      <c r="AG153" s="1932"/>
      <c r="AH153" s="1932"/>
      <c r="AI153" s="1932"/>
      <c r="AJ153" s="1932"/>
      <c r="AK153" s="1932"/>
      <c r="AL153" s="1932"/>
      <c r="AM153" s="1932"/>
      <c r="AN153" s="1932"/>
      <c r="AO153" s="1932"/>
      <c r="AP153" s="1932"/>
      <c r="AQ153" s="1932"/>
    </row>
    <row r="154" spans="3:43" ht="27" customHeight="1" x14ac:dyDescent="0.2">
      <c r="C154" s="1932"/>
      <c r="D154" s="1932"/>
      <c r="E154" s="1932"/>
      <c r="F154" s="1932"/>
      <c r="G154" s="1932"/>
      <c r="H154" s="1932"/>
      <c r="I154" s="1932"/>
      <c r="J154" s="1805"/>
      <c r="K154" s="1932"/>
      <c r="L154" s="1932"/>
      <c r="M154" s="1932"/>
      <c r="N154" s="1932"/>
      <c r="O154" s="1805"/>
      <c r="P154" s="1932"/>
      <c r="Q154" s="1932"/>
      <c r="S154" s="1932"/>
      <c r="T154" s="1932"/>
      <c r="U154" s="1932"/>
      <c r="W154" s="1932"/>
      <c r="X154" s="1936"/>
      <c r="Y154" s="1932"/>
      <c r="Z154" s="1932"/>
      <c r="AA154" s="1932"/>
      <c r="AB154" s="1932"/>
      <c r="AC154" s="1932"/>
      <c r="AD154" s="1932"/>
      <c r="AE154" s="1932"/>
      <c r="AF154" s="1932"/>
      <c r="AG154" s="1932"/>
      <c r="AH154" s="1932"/>
      <c r="AI154" s="1932"/>
      <c r="AJ154" s="1932"/>
      <c r="AK154" s="1932"/>
      <c r="AL154" s="1932"/>
      <c r="AM154" s="1932"/>
      <c r="AN154" s="1932"/>
      <c r="AO154" s="1932"/>
      <c r="AP154" s="1932"/>
      <c r="AQ154" s="1932"/>
    </row>
    <row r="155" spans="3:43" ht="27" customHeight="1" x14ac:dyDescent="0.2">
      <c r="C155" s="1932"/>
      <c r="D155" s="1932"/>
      <c r="E155" s="1932"/>
      <c r="F155" s="1932"/>
      <c r="G155" s="1932"/>
      <c r="H155" s="1932"/>
      <c r="I155" s="1932"/>
      <c r="J155" s="1805"/>
      <c r="K155" s="1932"/>
      <c r="L155" s="1932"/>
      <c r="M155" s="1932"/>
      <c r="N155" s="1932"/>
      <c r="O155" s="1805"/>
      <c r="P155" s="1932"/>
      <c r="Q155" s="1932"/>
      <c r="S155" s="1932"/>
      <c r="T155" s="1932"/>
      <c r="U155" s="1932"/>
      <c r="W155" s="1932"/>
      <c r="X155" s="1936"/>
      <c r="Y155" s="1932"/>
      <c r="Z155" s="1932"/>
      <c r="AA155" s="1932"/>
      <c r="AB155" s="1932"/>
      <c r="AC155" s="1932"/>
      <c r="AD155" s="1932"/>
      <c r="AE155" s="1932"/>
      <c r="AF155" s="1932"/>
      <c r="AG155" s="1932"/>
      <c r="AH155" s="1932"/>
      <c r="AI155" s="1932"/>
      <c r="AJ155" s="1932"/>
      <c r="AK155" s="1932"/>
      <c r="AL155" s="1932"/>
      <c r="AM155" s="1932"/>
      <c r="AN155" s="1932"/>
      <c r="AO155" s="1932"/>
      <c r="AP155" s="1932"/>
      <c r="AQ155" s="1932"/>
    </row>
    <row r="156" spans="3:43" ht="27" customHeight="1" x14ac:dyDescent="0.2">
      <c r="C156" s="1932"/>
      <c r="D156" s="1932"/>
      <c r="E156" s="1932"/>
      <c r="F156" s="1932"/>
      <c r="G156" s="1932"/>
      <c r="H156" s="1932"/>
      <c r="I156" s="1932"/>
      <c r="J156" s="1805"/>
      <c r="K156" s="1932"/>
      <c r="L156" s="1932"/>
      <c r="M156" s="1932"/>
      <c r="N156" s="1932"/>
      <c r="O156" s="1805"/>
      <c r="P156" s="1932"/>
      <c r="Q156" s="1932"/>
      <c r="S156" s="1932"/>
      <c r="T156" s="1932"/>
      <c r="U156" s="1932"/>
      <c r="W156" s="1932"/>
      <c r="X156" s="1936"/>
      <c r="Y156" s="1932"/>
      <c r="Z156" s="1932"/>
      <c r="AA156" s="1932"/>
      <c r="AB156" s="1932"/>
      <c r="AC156" s="1932"/>
      <c r="AD156" s="1932"/>
      <c r="AE156" s="1932"/>
      <c r="AF156" s="1932"/>
      <c r="AG156" s="1932"/>
      <c r="AH156" s="1932"/>
      <c r="AI156" s="1932"/>
      <c r="AJ156" s="1932"/>
      <c r="AK156" s="1932"/>
      <c r="AL156" s="1932"/>
      <c r="AM156" s="1932"/>
      <c r="AN156" s="1932"/>
      <c r="AO156" s="1932"/>
      <c r="AP156" s="1932"/>
      <c r="AQ156" s="1932"/>
    </row>
    <row r="157" spans="3:43" ht="27" customHeight="1" x14ac:dyDescent="0.2">
      <c r="C157" s="1932"/>
      <c r="D157" s="1932"/>
      <c r="E157" s="1932"/>
      <c r="F157" s="1932"/>
      <c r="G157" s="1932"/>
      <c r="H157" s="1932"/>
      <c r="I157" s="1932"/>
      <c r="J157" s="1805"/>
      <c r="K157" s="1932"/>
      <c r="L157" s="1932"/>
      <c r="M157" s="1932"/>
      <c r="N157" s="1932"/>
      <c r="O157" s="1805"/>
      <c r="P157" s="1932"/>
      <c r="Q157" s="1932"/>
      <c r="S157" s="1932"/>
      <c r="T157" s="1932"/>
      <c r="U157" s="1932"/>
      <c r="W157" s="1932"/>
      <c r="X157" s="1936"/>
      <c r="Y157" s="1932"/>
      <c r="Z157" s="1932"/>
      <c r="AA157" s="1932"/>
      <c r="AB157" s="1932"/>
      <c r="AC157" s="1932"/>
      <c r="AD157" s="1932"/>
      <c r="AE157" s="1932"/>
      <c r="AF157" s="1932"/>
      <c r="AG157" s="1932"/>
      <c r="AH157" s="1932"/>
      <c r="AI157" s="1932"/>
      <c r="AJ157" s="1932"/>
      <c r="AK157" s="1932"/>
      <c r="AL157" s="1932"/>
      <c r="AM157" s="1932"/>
      <c r="AN157" s="1932"/>
      <c r="AO157" s="1932"/>
      <c r="AP157" s="1932"/>
      <c r="AQ157" s="1932"/>
    </row>
    <row r="158" spans="3:43" ht="27" customHeight="1" x14ac:dyDescent="0.2">
      <c r="C158" s="1932"/>
      <c r="D158" s="1932"/>
      <c r="E158" s="1932"/>
      <c r="F158" s="1932"/>
      <c r="G158" s="1932"/>
      <c r="H158" s="1932"/>
      <c r="I158" s="1932"/>
      <c r="J158" s="1805"/>
      <c r="K158" s="1932"/>
      <c r="L158" s="1932"/>
      <c r="M158" s="1932"/>
      <c r="N158" s="1932"/>
      <c r="O158" s="1805"/>
      <c r="P158" s="1932"/>
      <c r="Q158" s="1932"/>
      <c r="S158" s="1932"/>
      <c r="T158" s="1932"/>
      <c r="U158" s="1932"/>
      <c r="W158" s="1932"/>
      <c r="X158" s="1936"/>
      <c r="Y158" s="1932"/>
      <c r="Z158" s="1932"/>
      <c r="AA158" s="1932"/>
      <c r="AB158" s="1932"/>
      <c r="AC158" s="1932"/>
      <c r="AD158" s="1932"/>
      <c r="AE158" s="1932"/>
      <c r="AF158" s="1932"/>
      <c r="AG158" s="1932"/>
      <c r="AH158" s="1932"/>
      <c r="AI158" s="1932"/>
      <c r="AJ158" s="1932"/>
      <c r="AK158" s="1932"/>
      <c r="AL158" s="1932"/>
      <c r="AM158" s="1932"/>
      <c r="AN158" s="1932"/>
      <c r="AO158" s="1932"/>
      <c r="AP158" s="1932"/>
      <c r="AQ158" s="1932"/>
    </row>
    <row r="159" spans="3:43" ht="27" customHeight="1" x14ac:dyDescent="0.2">
      <c r="C159" s="1932"/>
      <c r="D159" s="1932"/>
      <c r="E159" s="1932"/>
      <c r="F159" s="1932"/>
      <c r="G159" s="1932"/>
      <c r="H159" s="1932"/>
      <c r="I159" s="1932"/>
      <c r="J159" s="1805"/>
      <c r="K159" s="1932"/>
      <c r="L159" s="1932"/>
      <c r="M159" s="1932"/>
      <c r="N159" s="1932"/>
      <c r="O159" s="1805"/>
      <c r="P159" s="1932"/>
      <c r="Q159" s="1932"/>
      <c r="S159" s="1932"/>
      <c r="T159" s="1932"/>
      <c r="U159" s="1932"/>
      <c r="W159" s="1932"/>
      <c r="X159" s="1936"/>
      <c r="Y159" s="1932"/>
      <c r="Z159" s="1932"/>
      <c r="AA159" s="1932"/>
      <c r="AB159" s="1932"/>
      <c r="AC159" s="1932"/>
      <c r="AD159" s="1932"/>
      <c r="AE159" s="1932"/>
      <c r="AF159" s="1932"/>
      <c r="AG159" s="1932"/>
      <c r="AH159" s="1932"/>
      <c r="AI159" s="1932"/>
      <c r="AJ159" s="1932"/>
      <c r="AK159" s="1932"/>
      <c r="AL159" s="1932"/>
      <c r="AM159" s="1932"/>
      <c r="AN159" s="1932"/>
      <c r="AO159" s="1932"/>
      <c r="AP159" s="1932"/>
      <c r="AQ159" s="1932"/>
    </row>
    <row r="160" spans="3:43" ht="27" customHeight="1" x14ac:dyDescent="0.2">
      <c r="C160" s="1932"/>
      <c r="D160" s="1932"/>
      <c r="E160" s="1932"/>
      <c r="F160" s="1932"/>
      <c r="G160" s="1932"/>
      <c r="H160" s="1932"/>
      <c r="I160" s="1932"/>
      <c r="J160" s="1805"/>
      <c r="K160" s="1932"/>
      <c r="L160" s="1932"/>
      <c r="M160" s="1932"/>
      <c r="N160" s="1932"/>
      <c r="O160" s="1805"/>
      <c r="P160" s="1932"/>
      <c r="Q160" s="1932"/>
      <c r="S160" s="1932"/>
      <c r="T160" s="1932"/>
      <c r="U160" s="1932"/>
      <c r="W160" s="1932"/>
      <c r="X160" s="1936"/>
      <c r="Y160" s="1932"/>
      <c r="Z160" s="1932"/>
      <c r="AA160" s="1932"/>
      <c r="AB160" s="1932"/>
      <c r="AC160" s="1932"/>
      <c r="AD160" s="1932"/>
      <c r="AE160" s="1932"/>
      <c r="AF160" s="1932"/>
      <c r="AG160" s="1932"/>
      <c r="AH160" s="1932"/>
      <c r="AI160" s="1932"/>
      <c r="AJ160" s="1932"/>
      <c r="AK160" s="1932"/>
      <c r="AL160" s="1932"/>
      <c r="AM160" s="1932"/>
      <c r="AN160" s="1932"/>
      <c r="AO160" s="1932"/>
      <c r="AP160" s="1932"/>
      <c r="AQ160" s="1932"/>
    </row>
    <row r="161" spans="3:43" ht="27" customHeight="1" x14ac:dyDescent="0.2">
      <c r="C161" s="1932"/>
      <c r="D161" s="1932"/>
      <c r="E161" s="1932"/>
      <c r="F161" s="1932"/>
      <c r="G161" s="1932"/>
      <c r="H161" s="1932"/>
      <c r="I161" s="1932"/>
      <c r="J161" s="1805"/>
      <c r="K161" s="1932"/>
      <c r="L161" s="1932"/>
      <c r="M161" s="1932"/>
      <c r="N161" s="1932"/>
      <c r="O161" s="1805"/>
      <c r="P161" s="1932"/>
      <c r="Q161" s="1932"/>
      <c r="S161" s="1932"/>
      <c r="T161" s="1932"/>
      <c r="U161" s="1932"/>
      <c r="W161" s="1932"/>
      <c r="X161" s="1936"/>
      <c r="Y161" s="1932"/>
      <c r="Z161" s="1932"/>
      <c r="AA161" s="1932"/>
      <c r="AB161" s="1932"/>
      <c r="AC161" s="1932"/>
      <c r="AD161" s="1932"/>
      <c r="AE161" s="1932"/>
      <c r="AF161" s="1932"/>
      <c r="AG161" s="1932"/>
      <c r="AH161" s="1932"/>
      <c r="AI161" s="1932"/>
      <c r="AJ161" s="1932"/>
      <c r="AK161" s="1932"/>
      <c r="AL161" s="1932"/>
      <c r="AM161" s="1932"/>
      <c r="AN161" s="1932"/>
      <c r="AO161" s="1932"/>
      <c r="AP161" s="1932"/>
      <c r="AQ161" s="1932"/>
    </row>
    <row r="162" spans="3:43" ht="27" customHeight="1" x14ac:dyDescent="0.2">
      <c r="C162" s="1932"/>
      <c r="D162" s="1932"/>
      <c r="E162" s="1932"/>
      <c r="F162" s="1932"/>
      <c r="G162" s="1932"/>
      <c r="H162" s="1932"/>
      <c r="I162" s="1932"/>
      <c r="J162" s="1805"/>
      <c r="K162" s="1932"/>
      <c r="L162" s="1932"/>
      <c r="M162" s="1932"/>
      <c r="N162" s="1932"/>
      <c r="O162" s="1805"/>
      <c r="P162" s="1932"/>
      <c r="Q162" s="1932"/>
      <c r="S162" s="1932"/>
      <c r="T162" s="1932"/>
      <c r="U162" s="1932"/>
      <c r="W162" s="1932"/>
      <c r="X162" s="1936"/>
      <c r="Y162" s="1932"/>
      <c r="Z162" s="1932"/>
      <c r="AA162" s="1932"/>
      <c r="AB162" s="1932"/>
      <c r="AC162" s="1932"/>
      <c r="AD162" s="1932"/>
      <c r="AE162" s="1932"/>
      <c r="AF162" s="1932"/>
      <c r="AG162" s="1932"/>
      <c r="AH162" s="1932"/>
      <c r="AI162" s="1932"/>
      <c r="AJ162" s="1932"/>
      <c r="AK162" s="1932"/>
      <c r="AL162" s="1932"/>
      <c r="AM162" s="1932"/>
      <c r="AN162" s="1932"/>
      <c r="AO162" s="1932"/>
      <c r="AP162" s="1932"/>
      <c r="AQ162" s="1932"/>
    </row>
    <row r="163" spans="3:43" ht="27" customHeight="1" x14ac:dyDescent="0.2">
      <c r="C163" s="1932"/>
      <c r="D163" s="1932"/>
      <c r="E163" s="1932"/>
      <c r="F163" s="1932"/>
      <c r="G163" s="1932"/>
      <c r="H163" s="1932"/>
      <c r="I163" s="1932"/>
      <c r="J163" s="1805"/>
      <c r="K163" s="1932"/>
      <c r="L163" s="1932"/>
      <c r="M163" s="1932"/>
      <c r="N163" s="1932"/>
      <c r="O163" s="1805"/>
      <c r="P163" s="1932"/>
      <c r="Q163" s="1932"/>
      <c r="S163" s="1932"/>
      <c r="T163" s="1932"/>
      <c r="U163" s="1932"/>
      <c r="W163" s="1932"/>
      <c r="X163" s="1936"/>
      <c r="Y163" s="1932"/>
      <c r="Z163" s="1932"/>
      <c r="AA163" s="1932"/>
      <c r="AB163" s="1932"/>
      <c r="AC163" s="1932"/>
      <c r="AD163" s="1932"/>
      <c r="AE163" s="1932"/>
      <c r="AF163" s="1932"/>
      <c r="AG163" s="1932"/>
      <c r="AH163" s="1932"/>
      <c r="AI163" s="1932"/>
      <c r="AJ163" s="1932"/>
      <c r="AK163" s="1932"/>
      <c r="AL163" s="1932"/>
      <c r="AM163" s="1932"/>
      <c r="AN163" s="1932"/>
      <c r="AO163" s="1932"/>
      <c r="AP163" s="1932"/>
      <c r="AQ163" s="1932"/>
    </row>
    <row r="164" spans="3:43" ht="27" customHeight="1" x14ac:dyDescent="0.2">
      <c r="C164" s="1932"/>
      <c r="D164" s="1932"/>
      <c r="E164" s="1932"/>
      <c r="F164" s="1932"/>
      <c r="G164" s="1932"/>
      <c r="H164" s="1932"/>
      <c r="I164" s="1932"/>
      <c r="J164" s="1805"/>
      <c r="K164" s="1932"/>
      <c r="L164" s="1932"/>
      <c r="M164" s="1932"/>
      <c r="N164" s="1932"/>
      <c r="O164" s="1805"/>
      <c r="P164" s="1932"/>
      <c r="Q164" s="1932"/>
      <c r="S164" s="1932"/>
      <c r="T164" s="1932"/>
      <c r="U164" s="1932"/>
      <c r="W164" s="1932"/>
      <c r="X164" s="1936"/>
      <c r="Y164" s="1932"/>
      <c r="Z164" s="1932"/>
      <c r="AA164" s="1932"/>
      <c r="AB164" s="1932"/>
      <c r="AC164" s="1932"/>
      <c r="AD164" s="1932"/>
      <c r="AE164" s="1932"/>
      <c r="AF164" s="1932"/>
      <c r="AG164" s="1932"/>
      <c r="AH164" s="1932"/>
      <c r="AI164" s="1932"/>
      <c r="AJ164" s="1932"/>
      <c r="AK164" s="1932"/>
      <c r="AL164" s="1932"/>
      <c r="AM164" s="1932"/>
      <c r="AN164" s="1932"/>
      <c r="AO164" s="1932"/>
      <c r="AP164" s="1932"/>
      <c r="AQ164" s="1932"/>
    </row>
    <row r="165" spans="3:43" ht="27" customHeight="1" x14ac:dyDescent="0.2">
      <c r="C165" s="1932"/>
      <c r="D165" s="1932"/>
      <c r="E165" s="1932"/>
      <c r="F165" s="1932"/>
      <c r="G165" s="1932"/>
      <c r="H165" s="1932"/>
      <c r="I165" s="1932"/>
      <c r="J165" s="1805"/>
      <c r="K165" s="1932"/>
      <c r="L165" s="1932"/>
      <c r="M165" s="1932"/>
      <c r="N165" s="1932"/>
      <c r="O165" s="1805"/>
      <c r="P165" s="1932"/>
      <c r="Q165" s="1932"/>
      <c r="S165" s="1932"/>
      <c r="T165" s="1932"/>
      <c r="U165" s="1932"/>
      <c r="W165" s="1932"/>
      <c r="X165" s="1936"/>
      <c r="Y165" s="1932"/>
      <c r="Z165" s="1932"/>
      <c r="AA165" s="1932"/>
      <c r="AB165" s="1932"/>
      <c r="AC165" s="1932"/>
      <c r="AD165" s="1932"/>
      <c r="AE165" s="1932"/>
      <c r="AF165" s="1932"/>
      <c r="AG165" s="1932"/>
      <c r="AH165" s="1932"/>
      <c r="AI165" s="1932"/>
      <c r="AJ165" s="1932"/>
      <c r="AK165" s="1932"/>
      <c r="AL165" s="1932"/>
      <c r="AM165" s="1932"/>
      <c r="AN165" s="1932"/>
      <c r="AO165" s="1932"/>
      <c r="AP165" s="1932"/>
      <c r="AQ165" s="1932"/>
    </row>
    <row r="166" spans="3:43" ht="27" customHeight="1" x14ac:dyDescent="0.2">
      <c r="C166" s="1932"/>
      <c r="D166" s="1932"/>
      <c r="E166" s="1932"/>
      <c r="F166" s="1932"/>
      <c r="G166" s="1932"/>
      <c r="H166" s="1932"/>
      <c r="I166" s="1932"/>
      <c r="J166" s="1805"/>
      <c r="K166" s="1932"/>
      <c r="L166" s="1932"/>
      <c r="M166" s="1932"/>
      <c r="N166" s="1932"/>
      <c r="O166" s="1805"/>
      <c r="P166" s="1932"/>
      <c r="Q166" s="1932"/>
      <c r="S166" s="1932"/>
      <c r="T166" s="1932"/>
      <c r="U166" s="1932"/>
      <c r="W166" s="1932"/>
      <c r="X166" s="1936"/>
      <c r="Y166" s="1932"/>
      <c r="Z166" s="1932"/>
      <c r="AA166" s="1932"/>
      <c r="AB166" s="1932"/>
      <c r="AC166" s="1932"/>
      <c r="AD166" s="1932"/>
      <c r="AE166" s="1932"/>
      <c r="AF166" s="1932"/>
      <c r="AG166" s="1932"/>
      <c r="AH166" s="1932"/>
      <c r="AI166" s="1932"/>
      <c r="AJ166" s="1932"/>
      <c r="AK166" s="1932"/>
      <c r="AL166" s="1932"/>
      <c r="AM166" s="1932"/>
      <c r="AN166" s="1932"/>
      <c r="AO166" s="1932"/>
      <c r="AP166" s="1932"/>
      <c r="AQ166" s="1932"/>
    </row>
    <row r="167" spans="3:43" ht="27" customHeight="1" x14ac:dyDescent="0.2">
      <c r="C167" s="1932"/>
      <c r="D167" s="1932"/>
      <c r="E167" s="1932"/>
      <c r="F167" s="1932"/>
      <c r="G167" s="1932"/>
      <c r="H167" s="1932"/>
      <c r="I167" s="1932"/>
      <c r="J167" s="1805"/>
      <c r="K167" s="1932"/>
      <c r="L167" s="1932"/>
      <c r="M167" s="1932"/>
      <c r="N167" s="1932"/>
      <c r="O167" s="1805"/>
      <c r="P167" s="1932"/>
      <c r="Q167" s="1932"/>
      <c r="S167" s="1932"/>
      <c r="T167" s="1932"/>
      <c r="U167" s="1932"/>
      <c r="W167" s="1932"/>
      <c r="X167" s="1936"/>
      <c r="Y167" s="1932"/>
      <c r="Z167" s="1932"/>
      <c r="AA167" s="1932"/>
      <c r="AB167" s="1932"/>
      <c r="AC167" s="1932"/>
      <c r="AD167" s="1932"/>
      <c r="AE167" s="1932"/>
      <c r="AF167" s="1932"/>
      <c r="AG167" s="1932"/>
      <c r="AH167" s="1932"/>
      <c r="AI167" s="1932"/>
      <c r="AJ167" s="1932"/>
      <c r="AK167" s="1932"/>
      <c r="AL167" s="1932"/>
      <c r="AM167" s="1932"/>
      <c r="AN167" s="1932"/>
      <c r="AO167" s="1932"/>
      <c r="AP167" s="1932"/>
      <c r="AQ167" s="1932"/>
    </row>
    <row r="168" spans="3:43" ht="27" customHeight="1" x14ac:dyDescent="0.2">
      <c r="C168" s="1932"/>
      <c r="D168" s="1932"/>
      <c r="E168" s="1932"/>
      <c r="F168" s="1932"/>
      <c r="G168" s="1932"/>
      <c r="H168" s="1932"/>
      <c r="I168" s="1932"/>
      <c r="J168" s="1805"/>
      <c r="K168" s="1932"/>
      <c r="L168" s="1932"/>
      <c r="M168" s="1932"/>
      <c r="N168" s="1932"/>
      <c r="O168" s="1805"/>
      <c r="P168" s="1932"/>
      <c r="Q168" s="1932"/>
      <c r="S168" s="1932"/>
      <c r="T168" s="1932"/>
      <c r="U168" s="1932"/>
      <c r="W168" s="1932"/>
      <c r="X168" s="1936"/>
      <c r="Y168" s="1932"/>
      <c r="Z168" s="1932"/>
      <c r="AA168" s="1932"/>
      <c r="AB168" s="1932"/>
      <c r="AC168" s="1932"/>
      <c r="AD168" s="1932"/>
      <c r="AE168" s="1932"/>
      <c r="AF168" s="1932"/>
      <c r="AG168" s="1932"/>
      <c r="AH168" s="1932"/>
      <c r="AI168" s="1932"/>
      <c r="AJ168" s="1932"/>
      <c r="AK168" s="1932"/>
      <c r="AL168" s="1932"/>
      <c r="AM168" s="1932"/>
      <c r="AN168" s="1932"/>
      <c r="AO168" s="1932"/>
      <c r="AP168" s="1932"/>
      <c r="AQ168" s="1932"/>
    </row>
    <row r="169" spans="3:43" ht="27" customHeight="1" x14ac:dyDescent="0.2">
      <c r="C169" s="1932"/>
      <c r="D169" s="1932"/>
      <c r="E169" s="1932"/>
      <c r="F169" s="1932"/>
      <c r="G169" s="1932"/>
      <c r="H169" s="1932"/>
      <c r="I169" s="1932"/>
      <c r="J169" s="1805"/>
      <c r="K169" s="1932"/>
      <c r="L169" s="1932"/>
      <c r="M169" s="1932"/>
      <c r="N169" s="1932"/>
      <c r="O169" s="1805"/>
      <c r="P169" s="1932"/>
      <c r="Q169" s="1932"/>
      <c r="S169" s="1932"/>
      <c r="T169" s="1932"/>
      <c r="U169" s="1932"/>
      <c r="W169" s="1932"/>
      <c r="X169" s="1936"/>
      <c r="Y169" s="1932"/>
      <c r="Z169" s="1932"/>
      <c r="AA169" s="1932"/>
      <c r="AB169" s="1932"/>
      <c r="AC169" s="1932"/>
      <c r="AD169" s="1932"/>
      <c r="AE169" s="1932"/>
      <c r="AF169" s="1932"/>
      <c r="AG169" s="1932"/>
      <c r="AH169" s="1932"/>
      <c r="AI169" s="1932"/>
      <c r="AJ169" s="1932"/>
      <c r="AK169" s="1932"/>
      <c r="AL169" s="1932"/>
      <c r="AM169" s="1932"/>
      <c r="AN169" s="1932"/>
      <c r="AO169" s="1932"/>
      <c r="AP169" s="1932"/>
      <c r="AQ169" s="1932"/>
    </row>
    <row r="170" spans="3:43" ht="27" customHeight="1" x14ac:dyDescent="0.2">
      <c r="C170" s="1932"/>
      <c r="D170" s="1932"/>
      <c r="E170" s="1932"/>
      <c r="F170" s="1932"/>
      <c r="G170" s="1932"/>
      <c r="H170" s="1932"/>
      <c r="I170" s="1932"/>
      <c r="J170" s="1805"/>
      <c r="K170" s="1932"/>
      <c r="L170" s="1932"/>
      <c r="M170" s="1932"/>
      <c r="N170" s="1932"/>
      <c r="O170" s="1805"/>
      <c r="P170" s="1932"/>
      <c r="Q170" s="1932"/>
      <c r="S170" s="1932"/>
      <c r="T170" s="1932"/>
      <c r="U170" s="1932"/>
      <c r="W170" s="1932"/>
      <c r="X170" s="1936"/>
      <c r="Y170" s="1932"/>
      <c r="Z170" s="1932"/>
      <c r="AA170" s="1932"/>
      <c r="AB170" s="1932"/>
      <c r="AC170" s="1932"/>
      <c r="AD170" s="1932"/>
      <c r="AE170" s="1932"/>
      <c r="AF170" s="1932"/>
      <c r="AG170" s="1932"/>
      <c r="AH170" s="1932"/>
      <c r="AI170" s="1932"/>
      <c r="AJ170" s="1932"/>
      <c r="AK170" s="1932"/>
      <c r="AL170" s="1932"/>
      <c r="AM170" s="1932"/>
      <c r="AN170" s="1932"/>
      <c r="AO170" s="1932"/>
      <c r="AP170" s="1932"/>
      <c r="AQ170" s="1932"/>
    </row>
    <row r="171" spans="3:43" ht="27" customHeight="1" x14ac:dyDescent="0.2">
      <c r="C171" s="1932"/>
      <c r="D171" s="1932"/>
      <c r="E171" s="1932"/>
      <c r="F171" s="1932"/>
      <c r="G171" s="1932"/>
      <c r="H171" s="1932"/>
      <c r="I171" s="1932"/>
      <c r="J171" s="1805"/>
      <c r="K171" s="1932"/>
      <c r="L171" s="1932"/>
      <c r="M171" s="1932"/>
      <c r="N171" s="1932"/>
      <c r="O171" s="1805"/>
      <c r="P171" s="1932"/>
      <c r="Q171" s="1932"/>
      <c r="S171" s="1932"/>
      <c r="T171" s="1932"/>
      <c r="U171" s="1932"/>
      <c r="W171" s="1932"/>
      <c r="X171" s="1936"/>
      <c r="Y171" s="1932"/>
      <c r="Z171" s="1932"/>
      <c r="AA171" s="1932"/>
      <c r="AB171" s="1932"/>
      <c r="AC171" s="1932"/>
      <c r="AD171" s="1932"/>
      <c r="AE171" s="1932"/>
      <c r="AF171" s="1932"/>
      <c r="AG171" s="1932"/>
      <c r="AH171" s="1932"/>
      <c r="AI171" s="1932"/>
      <c r="AJ171" s="1932"/>
      <c r="AK171" s="1932"/>
      <c r="AL171" s="1932"/>
      <c r="AM171" s="1932"/>
      <c r="AN171" s="1932"/>
      <c r="AO171" s="1932"/>
      <c r="AP171" s="1932"/>
      <c r="AQ171" s="1932"/>
    </row>
    <row r="172" spans="3:43" ht="27" customHeight="1" x14ac:dyDescent="0.2">
      <c r="C172" s="1932"/>
      <c r="D172" s="1932"/>
      <c r="E172" s="1932"/>
      <c r="F172" s="1932"/>
      <c r="G172" s="1932"/>
      <c r="H172" s="1932"/>
      <c r="I172" s="1932"/>
      <c r="J172" s="1805"/>
      <c r="K172" s="1932"/>
      <c r="L172" s="1932"/>
      <c r="M172" s="1932"/>
      <c r="N172" s="1932"/>
      <c r="O172" s="1805"/>
      <c r="P172" s="1932"/>
      <c r="Q172" s="1932"/>
      <c r="S172" s="1932"/>
      <c r="T172" s="1932"/>
      <c r="U172" s="1932"/>
      <c r="W172" s="1932"/>
      <c r="X172" s="1936"/>
      <c r="Y172" s="1932"/>
      <c r="Z172" s="1932"/>
      <c r="AA172" s="1932"/>
      <c r="AB172" s="1932"/>
      <c r="AC172" s="1932"/>
      <c r="AD172" s="1932"/>
      <c r="AE172" s="1932"/>
      <c r="AF172" s="1932"/>
      <c r="AG172" s="1932"/>
      <c r="AH172" s="1932"/>
      <c r="AI172" s="1932"/>
      <c r="AJ172" s="1932"/>
      <c r="AK172" s="1932"/>
      <c r="AL172" s="1932"/>
      <c r="AM172" s="1932"/>
      <c r="AN172" s="1932"/>
      <c r="AO172" s="1932"/>
      <c r="AP172" s="1932"/>
      <c r="AQ172" s="1932"/>
    </row>
    <row r="173" spans="3:43" ht="27" customHeight="1" x14ac:dyDescent="0.2">
      <c r="C173" s="1932"/>
      <c r="D173" s="1932"/>
      <c r="E173" s="1932"/>
      <c r="F173" s="1932"/>
      <c r="G173" s="1932"/>
      <c r="H173" s="1932"/>
      <c r="I173" s="1932"/>
      <c r="J173" s="1805"/>
      <c r="K173" s="1932"/>
      <c r="L173" s="1932"/>
      <c r="M173" s="1932"/>
      <c r="N173" s="1932"/>
      <c r="O173" s="1805"/>
      <c r="P173" s="1932"/>
      <c r="Q173" s="1932"/>
      <c r="S173" s="1932"/>
      <c r="T173" s="1932"/>
      <c r="U173" s="1932"/>
      <c r="W173" s="1932"/>
      <c r="X173" s="1936"/>
      <c r="Y173" s="1932"/>
      <c r="Z173" s="1932"/>
      <c r="AA173" s="1932"/>
      <c r="AB173" s="1932"/>
      <c r="AC173" s="1932"/>
      <c r="AD173" s="1932"/>
      <c r="AE173" s="1932"/>
      <c r="AF173" s="1932"/>
      <c r="AG173" s="1932"/>
      <c r="AH173" s="1932"/>
      <c r="AI173" s="1932"/>
      <c r="AJ173" s="1932"/>
      <c r="AK173" s="1932"/>
      <c r="AL173" s="1932"/>
      <c r="AM173" s="1932"/>
      <c r="AN173" s="1932"/>
      <c r="AO173" s="1932"/>
      <c r="AP173" s="1932"/>
      <c r="AQ173" s="1932"/>
    </row>
    <row r="174" spans="3:43" ht="27" customHeight="1" x14ac:dyDescent="0.2">
      <c r="C174" s="1932"/>
      <c r="D174" s="1932"/>
      <c r="E174" s="1932"/>
      <c r="F174" s="1932"/>
      <c r="G174" s="1932"/>
      <c r="H174" s="1932"/>
      <c r="I174" s="1932"/>
      <c r="J174" s="1805"/>
      <c r="K174" s="1932"/>
      <c r="L174" s="1932"/>
      <c r="M174" s="1932"/>
      <c r="N174" s="1932"/>
      <c r="O174" s="1805"/>
      <c r="P174" s="1932"/>
      <c r="Q174" s="1932"/>
      <c r="S174" s="1932"/>
      <c r="T174" s="1932"/>
      <c r="U174" s="1932"/>
      <c r="W174" s="1932"/>
      <c r="X174" s="1936"/>
      <c r="Y174" s="1932"/>
      <c r="Z174" s="1932"/>
      <c r="AA174" s="1932"/>
      <c r="AB174" s="1932"/>
      <c r="AC174" s="1932"/>
      <c r="AD174" s="1932"/>
      <c r="AE174" s="1932"/>
      <c r="AF174" s="1932"/>
      <c r="AG174" s="1932"/>
      <c r="AH174" s="1932"/>
      <c r="AI174" s="1932"/>
      <c r="AJ174" s="1932"/>
      <c r="AK174" s="1932"/>
      <c r="AL174" s="1932"/>
      <c r="AM174" s="1932"/>
      <c r="AN174" s="1932"/>
      <c r="AO174" s="1932"/>
      <c r="AP174" s="1932"/>
      <c r="AQ174" s="1932"/>
    </row>
    <row r="175" spans="3:43" ht="27" customHeight="1" x14ac:dyDescent="0.2">
      <c r="C175" s="1932"/>
      <c r="D175" s="1932"/>
      <c r="E175" s="1932"/>
      <c r="F175" s="1932"/>
      <c r="G175" s="1932"/>
      <c r="H175" s="1932"/>
      <c r="I175" s="1932"/>
      <c r="J175" s="1805"/>
      <c r="K175" s="1932"/>
      <c r="L175" s="1932"/>
      <c r="M175" s="1932"/>
      <c r="N175" s="1932"/>
      <c r="O175" s="1805"/>
      <c r="P175" s="1932"/>
      <c r="Q175" s="1932"/>
      <c r="S175" s="1932"/>
      <c r="T175" s="1932"/>
      <c r="U175" s="1932"/>
      <c r="W175" s="1932"/>
      <c r="X175" s="1936"/>
      <c r="Y175" s="1932"/>
      <c r="Z175" s="1932"/>
      <c r="AA175" s="1932"/>
      <c r="AB175" s="1932"/>
      <c r="AC175" s="1932"/>
      <c r="AD175" s="1932"/>
      <c r="AE175" s="1932"/>
      <c r="AF175" s="1932"/>
      <c r="AG175" s="1932"/>
      <c r="AH175" s="1932"/>
      <c r="AI175" s="1932"/>
      <c r="AJ175" s="1932"/>
      <c r="AK175" s="1932"/>
      <c r="AL175" s="1932"/>
      <c r="AM175" s="1932"/>
      <c r="AN175" s="1932"/>
      <c r="AO175" s="1932"/>
      <c r="AP175" s="1932"/>
      <c r="AQ175" s="1932"/>
    </row>
    <row r="176" spans="3:43" ht="27" customHeight="1" x14ac:dyDescent="0.2">
      <c r="C176" s="1932"/>
      <c r="D176" s="1932"/>
      <c r="E176" s="1932"/>
      <c r="F176" s="1932"/>
      <c r="G176" s="1932"/>
      <c r="H176" s="1932"/>
      <c r="I176" s="1932"/>
      <c r="J176" s="1805"/>
      <c r="K176" s="1932"/>
      <c r="L176" s="1932"/>
      <c r="M176" s="1932"/>
      <c r="N176" s="1932"/>
      <c r="O176" s="1805"/>
      <c r="P176" s="1932"/>
      <c r="Q176" s="1932"/>
      <c r="S176" s="1932"/>
      <c r="T176" s="1932"/>
      <c r="U176" s="1932"/>
      <c r="W176" s="1932"/>
      <c r="X176" s="1936"/>
      <c r="Y176" s="1932"/>
      <c r="Z176" s="1932"/>
      <c r="AA176" s="1932"/>
      <c r="AB176" s="1932"/>
      <c r="AC176" s="1932"/>
      <c r="AD176" s="1932"/>
      <c r="AE176" s="1932"/>
      <c r="AF176" s="1932"/>
      <c r="AG176" s="1932"/>
      <c r="AH176" s="1932"/>
      <c r="AI176" s="1932"/>
      <c r="AJ176" s="1932"/>
      <c r="AK176" s="1932"/>
      <c r="AL176" s="1932"/>
      <c r="AM176" s="1932"/>
      <c r="AN176" s="1932"/>
      <c r="AO176" s="1932"/>
      <c r="AP176" s="1932"/>
      <c r="AQ176" s="1932"/>
    </row>
    <row r="177" spans="3:43" ht="27" customHeight="1" x14ac:dyDescent="0.2">
      <c r="C177" s="1932"/>
      <c r="D177" s="1932"/>
      <c r="E177" s="1932"/>
      <c r="F177" s="1932"/>
      <c r="G177" s="1932"/>
      <c r="H177" s="1932"/>
      <c r="I177" s="1932"/>
      <c r="J177" s="1805"/>
      <c r="K177" s="1932"/>
      <c r="L177" s="1932"/>
      <c r="M177" s="1932"/>
      <c r="N177" s="1932"/>
      <c r="O177" s="1805"/>
      <c r="P177" s="1932"/>
      <c r="Q177" s="1932"/>
      <c r="S177" s="1932"/>
      <c r="T177" s="1932"/>
      <c r="U177" s="1932"/>
      <c r="W177" s="1932"/>
      <c r="X177" s="1936"/>
      <c r="Y177" s="1932"/>
      <c r="Z177" s="1932"/>
      <c r="AA177" s="1932"/>
      <c r="AB177" s="1932"/>
      <c r="AC177" s="1932"/>
      <c r="AD177" s="1932"/>
      <c r="AE177" s="1932"/>
      <c r="AF177" s="1932"/>
      <c r="AG177" s="1932"/>
      <c r="AH177" s="1932"/>
      <c r="AI177" s="1932"/>
      <c r="AJ177" s="1932"/>
      <c r="AK177" s="1932"/>
      <c r="AL177" s="1932"/>
      <c r="AM177" s="1932"/>
      <c r="AN177" s="1932"/>
      <c r="AO177" s="1932"/>
      <c r="AP177" s="1932"/>
      <c r="AQ177" s="1932"/>
    </row>
    <row r="178" spans="3:43" ht="27" customHeight="1" x14ac:dyDescent="0.2">
      <c r="C178" s="1932"/>
      <c r="D178" s="1932"/>
      <c r="E178" s="1932"/>
      <c r="F178" s="1932"/>
      <c r="G178" s="1932"/>
      <c r="H178" s="1932"/>
      <c r="I178" s="1932"/>
      <c r="J178" s="1805"/>
      <c r="K178" s="1932"/>
      <c r="L178" s="1932"/>
      <c r="M178" s="1932"/>
      <c r="N178" s="1932"/>
      <c r="O178" s="1805"/>
      <c r="P178" s="1932"/>
      <c r="Q178" s="1932"/>
      <c r="S178" s="1932"/>
      <c r="T178" s="1932"/>
      <c r="U178" s="1932"/>
      <c r="W178" s="1932"/>
      <c r="X178" s="1936"/>
      <c r="Y178" s="1932"/>
      <c r="Z178" s="1932"/>
      <c r="AA178" s="1932"/>
      <c r="AB178" s="1932"/>
      <c r="AC178" s="1932"/>
      <c r="AD178" s="1932"/>
      <c r="AE178" s="1932"/>
      <c r="AF178" s="1932"/>
      <c r="AG178" s="1932"/>
      <c r="AH178" s="1932"/>
      <c r="AI178" s="1932"/>
      <c r="AJ178" s="1932"/>
      <c r="AK178" s="1932"/>
      <c r="AL178" s="1932"/>
      <c r="AM178" s="1932"/>
      <c r="AN178" s="1932"/>
      <c r="AO178" s="1932"/>
      <c r="AP178" s="1932"/>
      <c r="AQ178" s="1932"/>
    </row>
    <row r="179" spans="3:43" ht="27" customHeight="1" x14ac:dyDescent="0.2">
      <c r="C179" s="1932"/>
      <c r="D179" s="1932"/>
      <c r="E179" s="1932"/>
      <c r="F179" s="1932"/>
      <c r="G179" s="1932"/>
      <c r="H179" s="1932"/>
      <c r="I179" s="1932"/>
      <c r="J179" s="1805"/>
      <c r="K179" s="1932"/>
      <c r="L179" s="1932"/>
      <c r="M179" s="1932"/>
      <c r="N179" s="1932"/>
      <c r="O179" s="1805"/>
      <c r="P179" s="1932"/>
      <c r="Q179" s="1932"/>
      <c r="S179" s="1932"/>
      <c r="T179" s="1932"/>
      <c r="U179" s="1932"/>
      <c r="W179" s="1932"/>
      <c r="X179" s="1936"/>
      <c r="Y179" s="1932"/>
      <c r="Z179" s="1932"/>
      <c r="AA179" s="1932"/>
      <c r="AB179" s="1932"/>
      <c r="AC179" s="1932"/>
      <c r="AD179" s="1932"/>
      <c r="AE179" s="1932"/>
      <c r="AF179" s="1932"/>
      <c r="AG179" s="1932"/>
      <c r="AH179" s="1932"/>
      <c r="AI179" s="1932"/>
      <c r="AJ179" s="1932"/>
      <c r="AK179" s="1932"/>
      <c r="AL179" s="1932"/>
      <c r="AM179" s="1932"/>
      <c r="AN179" s="1932"/>
      <c r="AO179" s="1932"/>
      <c r="AP179" s="1932"/>
      <c r="AQ179" s="1932"/>
    </row>
    <row r="180" spans="3:43" ht="27" customHeight="1" x14ac:dyDescent="0.2">
      <c r="C180" s="1932"/>
      <c r="D180" s="1932"/>
      <c r="E180" s="1932"/>
      <c r="F180" s="1932"/>
      <c r="G180" s="1932"/>
      <c r="H180" s="1932"/>
      <c r="I180" s="1932"/>
      <c r="J180" s="1805"/>
      <c r="K180" s="1932"/>
      <c r="L180" s="1932"/>
      <c r="M180" s="1932"/>
      <c r="N180" s="1932"/>
      <c r="O180" s="1805"/>
      <c r="P180" s="1932"/>
      <c r="Q180" s="1932"/>
      <c r="S180" s="1932"/>
      <c r="T180" s="1932"/>
      <c r="U180" s="1932"/>
      <c r="W180" s="1932"/>
      <c r="X180" s="1936"/>
      <c r="Y180" s="1932"/>
      <c r="Z180" s="1932"/>
      <c r="AA180" s="1932"/>
      <c r="AB180" s="1932"/>
      <c r="AC180" s="1932"/>
      <c r="AD180" s="1932"/>
      <c r="AE180" s="1932"/>
      <c r="AF180" s="1932"/>
      <c r="AG180" s="1932"/>
      <c r="AH180" s="1932"/>
      <c r="AI180" s="1932"/>
      <c r="AJ180" s="1932"/>
      <c r="AK180" s="1932"/>
      <c r="AL180" s="1932"/>
      <c r="AM180" s="1932"/>
      <c r="AN180" s="1932"/>
      <c r="AO180" s="1932"/>
      <c r="AP180" s="1932"/>
      <c r="AQ180" s="1932"/>
    </row>
    <row r="181" spans="3:43" ht="27" customHeight="1" x14ac:dyDescent="0.2">
      <c r="C181" s="1932"/>
      <c r="D181" s="1932"/>
      <c r="E181" s="1932"/>
      <c r="F181" s="1932"/>
      <c r="G181" s="1932"/>
      <c r="H181" s="1932"/>
      <c r="I181" s="1932"/>
      <c r="J181" s="1805"/>
      <c r="K181" s="1932"/>
      <c r="L181" s="1932"/>
      <c r="M181" s="1932"/>
      <c r="N181" s="1932"/>
      <c r="O181" s="1805"/>
      <c r="P181" s="1932"/>
      <c r="Q181" s="1932"/>
      <c r="S181" s="1932"/>
      <c r="T181" s="1932"/>
      <c r="U181" s="1932"/>
      <c r="W181" s="1932"/>
      <c r="X181" s="1936"/>
      <c r="Y181" s="1932"/>
      <c r="Z181" s="1932"/>
      <c r="AA181" s="1932"/>
      <c r="AB181" s="1932"/>
      <c r="AC181" s="1932"/>
      <c r="AD181" s="1932"/>
      <c r="AE181" s="1932"/>
      <c r="AF181" s="1932"/>
      <c r="AG181" s="1932"/>
      <c r="AH181" s="1932"/>
      <c r="AI181" s="1932"/>
      <c r="AJ181" s="1932"/>
      <c r="AK181" s="1932"/>
      <c r="AL181" s="1932"/>
      <c r="AM181" s="1932"/>
      <c r="AN181" s="1932"/>
      <c r="AO181" s="1932"/>
      <c r="AP181" s="1932"/>
      <c r="AQ181" s="1932"/>
    </row>
    <row r="182" spans="3:43" ht="27" customHeight="1" x14ac:dyDescent="0.2">
      <c r="C182" s="1932"/>
      <c r="D182" s="1932"/>
      <c r="E182" s="1932"/>
      <c r="F182" s="1932"/>
      <c r="G182" s="1932"/>
      <c r="H182" s="1932"/>
      <c r="I182" s="1932"/>
      <c r="J182" s="1805"/>
      <c r="K182" s="1932"/>
      <c r="L182" s="1932"/>
      <c r="M182" s="1932"/>
      <c r="N182" s="1932"/>
      <c r="O182" s="1805"/>
      <c r="P182" s="1932"/>
      <c r="Q182" s="1932"/>
      <c r="S182" s="1932"/>
      <c r="T182" s="1932"/>
      <c r="U182" s="1932"/>
      <c r="W182" s="1932"/>
      <c r="X182" s="1936"/>
      <c r="Y182" s="1932"/>
      <c r="Z182" s="1932"/>
      <c r="AA182" s="1932"/>
      <c r="AB182" s="1932"/>
      <c r="AC182" s="1932"/>
      <c r="AD182" s="1932"/>
      <c r="AE182" s="1932"/>
      <c r="AF182" s="1932"/>
      <c r="AG182" s="1932"/>
      <c r="AH182" s="1932"/>
      <c r="AI182" s="1932"/>
      <c r="AJ182" s="1932"/>
      <c r="AK182" s="1932"/>
      <c r="AL182" s="1932"/>
      <c r="AM182" s="1932"/>
      <c r="AN182" s="1932"/>
      <c r="AO182" s="1932"/>
      <c r="AP182" s="1932"/>
      <c r="AQ182" s="1932"/>
    </row>
    <row r="183" spans="3:43" ht="27" customHeight="1" x14ac:dyDescent="0.2">
      <c r="C183" s="1932"/>
      <c r="D183" s="1932"/>
      <c r="E183" s="1932"/>
      <c r="F183" s="1932"/>
      <c r="G183" s="1932"/>
      <c r="H183" s="1932"/>
      <c r="I183" s="1932"/>
      <c r="J183" s="1805"/>
      <c r="K183" s="1932"/>
      <c r="L183" s="1932"/>
      <c r="M183" s="1932"/>
      <c r="N183" s="1932"/>
      <c r="O183" s="1805"/>
      <c r="P183" s="1932"/>
      <c r="Q183" s="1932"/>
      <c r="S183" s="1932"/>
      <c r="T183" s="1932"/>
      <c r="U183" s="1932"/>
      <c r="W183" s="1932"/>
      <c r="X183" s="1936"/>
      <c r="Y183" s="1932"/>
      <c r="Z183" s="1932"/>
      <c r="AA183" s="1932"/>
      <c r="AB183" s="1932"/>
      <c r="AC183" s="1932"/>
      <c r="AD183" s="1932"/>
      <c r="AE183" s="1932"/>
      <c r="AF183" s="1932"/>
      <c r="AG183" s="1932"/>
      <c r="AH183" s="1932"/>
      <c r="AI183" s="1932"/>
      <c r="AJ183" s="1932"/>
      <c r="AK183" s="1932"/>
      <c r="AL183" s="1932"/>
      <c r="AM183" s="1932"/>
      <c r="AN183" s="1932"/>
      <c r="AO183" s="1932"/>
      <c r="AP183" s="1932"/>
      <c r="AQ183" s="1932"/>
    </row>
    <row r="184" spans="3:43" ht="27" customHeight="1" x14ac:dyDescent="0.2">
      <c r="C184" s="1932"/>
      <c r="D184" s="1932"/>
      <c r="E184" s="1932"/>
      <c r="F184" s="1932"/>
      <c r="G184" s="1932"/>
      <c r="H184" s="1932"/>
      <c r="I184" s="1932"/>
      <c r="J184" s="1805"/>
      <c r="K184" s="1932"/>
      <c r="L184" s="1932"/>
      <c r="M184" s="1932"/>
      <c r="N184" s="1932"/>
      <c r="O184" s="1805"/>
      <c r="P184" s="1932"/>
      <c r="Q184" s="1932"/>
      <c r="S184" s="1932"/>
      <c r="T184" s="1932"/>
      <c r="U184" s="1932"/>
      <c r="W184" s="1932"/>
      <c r="X184" s="1936"/>
      <c r="Y184" s="1932"/>
      <c r="Z184" s="1932"/>
      <c r="AA184" s="1932"/>
      <c r="AB184" s="1932"/>
      <c r="AC184" s="1932"/>
      <c r="AD184" s="1932"/>
      <c r="AE184" s="1932"/>
      <c r="AF184" s="1932"/>
      <c r="AG184" s="1932"/>
      <c r="AH184" s="1932"/>
      <c r="AI184" s="1932"/>
      <c r="AJ184" s="1932"/>
      <c r="AK184" s="1932"/>
      <c r="AL184" s="1932"/>
      <c r="AM184" s="1932"/>
      <c r="AN184" s="1932"/>
      <c r="AO184" s="1932"/>
      <c r="AP184" s="1932"/>
      <c r="AQ184" s="1932"/>
    </row>
    <row r="185" spans="3:43" ht="27" customHeight="1" x14ac:dyDescent="0.2">
      <c r="C185" s="1932"/>
      <c r="D185" s="1932"/>
      <c r="E185" s="1932"/>
      <c r="F185" s="1932"/>
      <c r="G185" s="1932"/>
      <c r="H185" s="1932"/>
      <c r="I185" s="1932"/>
      <c r="J185" s="1805"/>
      <c r="K185" s="1932"/>
      <c r="L185" s="1932"/>
      <c r="M185" s="1932"/>
      <c r="N185" s="1932"/>
      <c r="O185" s="1805"/>
      <c r="P185" s="1932"/>
      <c r="Q185" s="1932"/>
      <c r="S185" s="1932"/>
      <c r="T185" s="1932"/>
      <c r="U185" s="1932"/>
      <c r="W185" s="1932"/>
      <c r="X185" s="1936"/>
      <c r="Y185" s="1932"/>
      <c r="Z185" s="1932"/>
      <c r="AA185" s="1932"/>
      <c r="AB185" s="1932"/>
      <c r="AC185" s="1932"/>
      <c r="AD185" s="1932"/>
      <c r="AE185" s="1932"/>
      <c r="AF185" s="1932"/>
      <c r="AG185" s="1932"/>
      <c r="AH185" s="1932"/>
      <c r="AI185" s="1932"/>
      <c r="AJ185" s="1932"/>
      <c r="AK185" s="1932"/>
      <c r="AL185" s="1932"/>
      <c r="AM185" s="1932"/>
      <c r="AN185" s="1932"/>
      <c r="AO185" s="1932"/>
      <c r="AP185" s="1932"/>
      <c r="AQ185" s="1932"/>
    </row>
    <row r="186" spans="3:43" ht="27" customHeight="1" x14ac:dyDescent="0.2">
      <c r="C186" s="1932"/>
      <c r="D186" s="1932"/>
      <c r="E186" s="1932"/>
      <c r="F186" s="1932"/>
      <c r="G186" s="1932"/>
      <c r="H186" s="1932"/>
      <c r="I186" s="1932"/>
      <c r="J186" s="1805"/>
      <c r="K186" s="1932"/>
      <c r="L186" s="1932"/>
      <c r="M186" s="1932"/>
      <c r="N186" s="1932"/>
      <c r="O186" s="1805"/>
      <c r="P186" s="1932"/>
      <c r="Q186" s="1932"/>
      <c r="S186" s="1932"/>
      <c r="T186" s="1932"/>
      <c r="U186" s="1932"/>
      <c r="W186" s="1932"/>
      <c r="X186" s="1936"/>
      <c r="Y186" s="1932"/>
      <c r="Z186" s="1932"/>
      <c r="AA186" s="1932"/>
      <c r="AB186" s="1932"/>
      <c r="AC186" s="1932"/>
      <c r="AD186" s="1932"/>
      <c r="AE186" s="1932"/>
      <c r="AF186" s="1932"/>
      <c r="AG186" s="1932"/>
      <c r="AH186" s="1932"/>
      <c r="AI186" s="1932"/>
      <c r="AJ186" s="1932"/>
      <c r="AK186" s="1932"/>
      <c r="AL186" s="1932"/>
      <c r="AM186" s="1932"/>
      <c r="AN186" s="1932"/>
      <c r="AO186" s="1932"/>
      <c r="AP186" s="1932"/>
      <c r="AQ186" s="1932"/>
    </row>
    <row r="187" spans="3:43" ht="27" customHeight="1" x14ac:dyDescent="0.2">
      <c r="C187" s="1932"/>
      <c r="D187" s="1932"/>
      <c r="E187" s="1932"/>
      <c r="F187" s="1932"/>
      <c r="G187" s="1932"/>
      <c r="H187" s="1932"/>
      <c r="I187" s="1932"/>
      <c r="J187" s="1805"/>
      <c r="K187" s="1932"/>
      <c r="L187" s="1932"/>
      <c r="M187" s="1932"/>
      <c r="N187" s="1932"/>
      <c r="O187" s="1805"/>
      <c r="P187" s="1932"/>
      <c r="Q187" s="1932"/>
      <c r="S187" s="1932"/>
      <c r="T187" s="1932"/>
      <c r="U187" s="1932"/>
      <c r="W187" s="1932"/>
      <c r="X187" s="1936"/>
      <c r="Y187" s="1932"/>
      <c r="Z187" s="1932"/>
      <c r="AA187" s="1932"/>
      <c r="AB187" s="1932"/>
      <c r="AC187" s="1932"/>
      <c r="AD187" s="1932"/>
      <c r="AE187" s="1932"/>
      <c r="AF187" s="1932"/>
      <c r="AG187" s="1932"/>
      <c r="AH187" s="1932"/>
      <c r="AI187" s="1932"/>
      <c r="AJ187" s="1932"/>
      <c r="AK187" s="1932"/>
      <c r="AL187" s="1932"/>
      <c r="AM187" s="1932"/>
      <c r="AN187" s="1932"/>
      <c r="AO187" s="1932"/>
      <c r="AP187" s="1932"/>
      <c r="AQ187" s="1932"/>
    </row>
    <row r="188" spans="3:43" ht="27" customHeight="1" x14ac:dyDescent="0.2">
      <c r="C188" s="1932"/>
      <c r="D188" s="1932"/>
      <c r="E188" s="1932"/>
      <c r="F188" s="1932"/>
      <c r="G188" s="1932"/>
      <c r="H188" s="1932"/>
      <c r="I188" s="1932"/>
      <c r="J188" s="1805"/>
      <c r="K188" s="1932"/>
      <c r="L188" s="1932"/>
      <c r="M188" s="1932"/>
      <c r="N188" s="1932"/>
      <c r="O188" s="1805"/>
      <c r="P188" s="1932"/>
      <c r="Q188" s="1932"/>
      <c r="S188" s="1932"/>
      <c r="T188" s="1932"/>
      <c r="U188" s="1932"/>
      <c r="W188" s="1932"/>
      <c r="X188" s="1936"/>
      <c r="Y188" s="1932"/>
      <c r="Z188" s="1932"/>
      <c r="AA188" s="1932"/>
      <c r="AB188" s="1932"/>
      <c r="AC188" s="1932"/>
      <c r="AD188" s="1932"/>
      <c r="AE188" s="1932"/>
      <c r="AF188" s="1932"/>
      <c r="AG188" s="1932"/>
      <c r="AH188" s="1932"/>
      <c r="AI188" s="1932"/>
      <c r="AJ188" s="1932"/>
      <c r="AK188" s="1932"/>
      <c r="AL188" s="1932"/>
      <c r="AM188" s="1932"/>
      <c r="AN188" s="1932"/>
      <c r="AO188" s="1932"/>
      <c r="AP188" s="1932"/>
      <c r="AQ188" s="1932"/>
    </row>
    <row r="189" spans="3:43" ht="27" customHeight="1" x14ac:dyDescent="0.2">
      <c r="C189" s="1932"/>
      <c r="D189" s="1932"/>
      <c r="E189" s="1932"/>
      <c r="F189" s="1932"/>
      <c r="G189" s="1932"/>
      <c r="H189" s="1932"/>
      <c r="I189" s="1932"/>
      <c r="J189" s="1805"/>
      <c r="K189" s="1932"/>
      <c r="L189" s="1932"/>
      <c r="M189" s="1932"/>
      <c r="N189" s="1932"/>
      <c r="O189" s="1805"/>
      <c r="P189" s="1932"/>
      <c r="Q189" s="1932"/>
      <c r="S189" s="1932"/>
      <c r="T189" s="1932"/>
      <c r="U189" s="1932"/>
      <c r="W189" s="1932"/>
      <c r="X189" s="1936"/>
      <c r="Y189" s="1932"/>
      <c r="Z189" s="1932"/>
      <c r="AA189" s="1932"/>
      <c r="AB189" s="1932"/>
      <c r="AC189" s="1932"/>
      <c r="AD189" s="1932"/>
      <c r="AE189" s="1932"/>
      <c r="AF189" s="1932"/>
      <c r="AG189" s="1932"/>
      <c r="AH189" s="1932"/>
      <c r="AI189" s="1932"/>
      <c r="AJ189" s="1932"/>
      <c r="AK189" s="1932"/>
      <c r="AL189" s="1932"/>
      <c r="AM189" s="1932"/>
      <c r="AN189" s="1932"/>
      <c r="AO189" s="1932"/>
      <c r="AP189" s="1932"/>
      <c r="AQ189" s="1932"/>
    </row>
    <row r="190" spans="3:43" ht="27" customHeight="1" x14ac:dyDescent="0.2">
      <c r="C190" s="1932"/>
      <c r="D190" s="1932"/>
      <c r="E190" s="1932"/>
      <c r="F190" s="1932"/>
      <c r="G190" s="1932"/>
      <c r="H190" s="1932"/>
      <c r="I190" s="1932"/>
      <c r="J190" s="1805"/>
      <c r="K190" s="1932"/>
      <c r="L190" s="1932"/>
      <c r="M190" s="1932"/>
      <c r="N190" s="1932"/>
      <c r="O190" s="1805"/>
      <c r="P190" s="1932"/>
      <c r="Q190" s="1932"/>
      <c r="S190" s="1932"/>
      <c r="T190" s="1932"/>
      <c r="U190" s="1932"/>
      <c r="W190" s="1932"/>
      <c r="X190" s="1936"/>
      <c r="Y190" s="1932"/>
      <c r="Z190" s="1932"/>
      <c r="AA190" s="1932"/>
      <c r="AB190" s="1932"/>
      <c r="AC190" s="1932"/>
      <c r="AD190" s="1932"/>
      <c r="AE190" s="1932"/>
      <c r="AF190" s="1932"/>
      <c r="AG190" s="1932"/>
      <c r="AH190" s="1932"/>
      <c r="AI190" s="1932"/>
      <c r="AJ190" s="1932"/>
      <c r="AK190" s="1932"/>
      <c r="AL190" s="1932"/>
      <c r="AM190" s="1932"/>
      <c r="AN190" s="1932"/>
      <c r="AO190" s="1932"/>
      <c r="AP190" s="1932"/>
      <c r="AQ190" s="1932"/>
    </row>
    <row r="191" spans="3:43" ht="27" customHeight="1" x14ac:dyDescent="0.2">
      <c r="C191" s="1932"/>
      <c r="D191" s="1932"/>
      <c r="E191" s="1932"/>
      <c r="F191" s="1932"/>
      <c r="G191" s="1932"/>
      <c r="H191" s="1932"/>
      <c r="I191" s="1932"/>
      <c r="J191" s="1805"/>
      <c r="K191" s="1932"/>
      <c r="L191" s="1932"/>
      <c r="M191" s="1932"/>
      <c r="N191" s="1932"/>
      <c r="O191" s="1805"/>
      <c r="P191" s="1932"/>
      <c r="Q191" s="1932"/>
      <c r="S191" s="1932"/>
      <c r="T191" s="1932"/>
      <c r="U191" s="1932"/>
      <c r="W191" s="1932"/>
      <c r="X191" s="1936"/>
      <c r="Y191" s="1932"/>
      <c r="Z191" s="1932"/>
      <c r="AA191" s="1932"/>
      <c r="AB191" s="1932"/>
      <c r="AC191" s="1932"/>
      <c r="AD191" s="1932"/>
      <c r="AE191" s="1932"/>
      <c r="AF191" s="1932"/>
      <c r="AG191" s="1932"/>
      <c r="AH191" s="1932"/>
      <c r="AI191" s="1932"/>
      <c r="AJ191" s="1932"/>
      <c r="AK191" s="1932"/>
      <c r="AL191" s="1932"/>
      <c r="AM191" s="1932"/>
      <c r="AN191" s="1932"/>
      <c r="AO191" s="1932"/>
      <c r="AP191" s="1932"/>
      <c r="AQ191" s="1932"/>
    </row>
    <row r="192" spans="3:43" ht="27" customHeight="1" x14ac:dyDescent="0.2">
      <c r="C192" s="1932"/>
      <c r="D192" s="1932"/>
      <c r="E192" s="1932"/>
      <c r="F192" s="1932"/>
      <c r="G192" s="1932"/>
      <c r="H192" s="1932"/>
      <c r="I192" s="1932"/>
      <c r="J192" s="1805"/>
      <c r="K192" s="1932"/>
      <c r="L192" s="1932"/>
      <c r="M192" s="1932"/>
      <c r="N192" s="1932"/>
      <c r="O192" s="1805"/>
      <c r="P192" s="1932"/>
      <c r="Q192" s="1932"/>
      <c r="S192" s="1932"/>
      <c r="T192" s="1932"/>
      <c r="U192" s="1932"/>
      <c r="W192" s="1932"/>
      <c r="X192" s="1936"/>
      <c r="Y192" s="1932"/>
      <c r="Z192" s="1932"/>
      <c r="AA192" s="1932"/>
      <c r="AB192" s="1932"/>
      <c r="AC192" s="1932"/>
      <c r="AD192" s="1932"/>
      <c r="AE192" s="1932"/>
      <c r="AF192" s="1932"/>
      <c r="AG192" s="1932"/>
      <c r="AH192" s="1932"/>
      <c r="AI192" s="1932"/>
      <c r="AJ192" s="1932"/>
      <c r="AK192" s="1932"/>
      <c r="AL192" s="1932"/>
      <c r="AM192" s="1932"/>
      <c r="AN192" s="1932"/>
      <c r="AO192" s="1932"/>
      <c r="AP192" s="1932"/>
      <c r="AQ192" s="1932"/>
    </row>
    <row r="193" spans="3:43" ht="27" customHeight="1" x14ac:dyDescent="0.2">
      <c r="C193" s="1932"/>
      <c r="D193" s="1932"/>
      <c r="E193" s="1932"/>
      <c r="F193" s="1932"/>
      <c r="G193" s="1932"/>
      <c r="H193" s="1932"/>
      <c r="I193" s="1932"/>
      <c r="J193" s="1805"/>
      <c r="K193" s="1932"/>
      <c r="L193" s="1932"/>
      <c r="M193" s="1932"/>
      <c r="N193" s="1932"/>
      <c r="O193" s="1805"/>
      <c r="P193" s="1932"/>
      <c r="Q193" s="1932"/>
      <c r="S193" s="1932"/>
      <c r="T193" s="1932"/>
      <c r="U193" s="1932"/>
      <c r="W193" s="1932"/>
      <c r="X193" s="1936"/>
      <c r="Y193" s="1932"/>
      <c r="Z193" s="1932"/>
      <c r="AA193" s="1932"/>
      <c r="AB193" s="1932"/>
      <c r="AC193" s="1932"/>
      <c r="AD193" s="1932"/>
      <c r="AE193" s="1932"/>
      <c r="AF193" s="1932"/>
      <c r="AG193" s="1932"/>
      <c r="AH193" s="1932"/>
      <c r="AI193" s="1932"/>
      <c r="AJ193" s="1932"/>
      <c r="AK193" s="1932"/>
      <c r="AL193" s="1932"/>
      <c r="AM193" s="1932"/>
      <c r="AN193" s="1932"/>
      <c r="AO193" s="1932"/>
      <c r="AP193" s="1932"/>
      <c r="AQ193" s="1932"/>
    </row>
    <row r="194" spans="3:43" ht="27" customHeight="1" x14ac:dyDescent="0.2">
      <c r="C194" s="1932"/>
      <c r="D194" s="1932"/>
      <c r="E194" s="1932"/>
      <c r="F194" s="1932"/>
      <c r="G194" s="1932"/>
      <c r="H194" s="1932"/>
      <c r="I194" s="1932"/>
      <c r="J194" s="1805"/>
      <c r="K194" s="1932"/>
      <c r="L194" s="1932"/>
      <c r="M194" s="1932"/>
      <c r="N194" s="1932"/>
      <c r="O194" s="1805"/>
      <c r="P194" s="1932"/>
      <c r="Q194" s="1932"/>
      <c r="S194" s="1932"/>
      <c r="T194" s="1932"/>
      <c r="U194" s="1932"/>
      <c r="W194" s="1932"/>
      <c r="X194" s="1936"/>
      <c r="Y194" s="1932"/>
      <c r="Z194" s="1932"/>
      <c r="AA194" s="1932"/>
      <c r="AB194" s="1932"/>
      <c r="AC194" s="1932"/>
      <c r="AD194" s="1932"/>
      <c r="AE194" s="1932"/>
      <c r="AF194" s="1932"/>
      <c r="AG194" s="1932"/>
      <c r="AH194" s="1932"/>
      <c r="AI194" s="1932"/>
      <c r="AJ194" s="1932"/>
      <c r="AK194" s="1932"/>
      <c r="AL194" s="1932"/>
      <c r="AM194" s="1932"/>
      <c r="AN194" s="1932"/>
      <c r="AO194" s="1932"/>
      <c r="AP194" s="1932"/>
      <c r="AQ194" s="1932"/>
    </row>
    <row r="195" spans="3:43" ht="27" customHeight="1" x14ac:dyDescent="0.2">
      <c r="C195" s="1932"/>
      <c r="D195" s="1932"/>
      <c r="E195" s="1932"/>
      <c r="F195" s="1932"/>
      <c r="G195" s="1932"/>
      <c r="H195" s="1932"/>
      <c r="I195" s="1932"/>
      <c r="J195" s="1805"/>
      <c r="K195" s="1932"/>
      <c r="L195" s="1932"/>
      <c r="M195" s="1932"/>
      <c r="N195" s="1932"/>
      <c r="O195" s="1805"/>
      <c r="P195" s="1932"/>
      <c r="Q195" s="1932"/>
      <c r="S195" s="1932"/>
      <c r="T195" s="1932"/>
      <c r="U195" s="1932"/>
      <c r="W195" s="1932"/>
      <c r="X195" s="1936"/>
      <c r="Y195" s="1932"/>
      <c r="Z195" s="1932"/>
      <c r="AA195" s="1932"/>
      <c r="AB195" s="1932"/>
      <c r="AC195" s="1932"/>
      <c r="AD195" s="1932"/>
      <c r="AE195" s="1932"/>
      <c r="AF195" s="1932"/>
      <c r="AG195" s="1932"/>
      <c r="AH195" s="1932"/>
      <c r="AI195" s="1932"/>
      <c r="AJ195" s="1932"/>
      <c r="AK195" s="1932"/>
      <c r="AL195" s="1932"/>
      <c r="AM195" s="1932"/>
      <c r="AN195" s="1932"/>
      <c r="AO195" s="1932"/>
      <c r="AP195" s="1932"/>
      <c r="AQ195" s="1932"/>
    </row>
    <row r="196" spans="3:43" ht="27" customHeight="1" x14ac:dyDescent="0.2">
      <c r="C196" s="1932"/>
      <c r="D196" s="1932"/>
      <c r="E196" s="1932"/>
      <c r="F196" s="1932"/>
      <c r="G196" s="1932"/>
      <c r="H196" s="1932"/>
      <c r="I196" s="1932"/>
      <c r="J196" s="1805"/>
      <c r="K196" s="1932"/>
      <c r="L196" s="1932"/>
      <c r="M196" s="1932"/>
      <c r="N196" s="1932"/>
      <c r="O196" s="1805"/>
      <c r="P196" s="1932"/>
      <c r="Q196" s="1932"/>
      <c r="S196" s="1932"/>
      <c r="T196" s="1932"/>
      <c r="U196" s="1932"/>
      <c r="W196" s="1932"/>
      <c r="X196" s="1936"/>
      <c r="Y196" s="1932"/>
      <c r="Z196" s="1932"/>
      <c r="AA196" s="1932"/>
      <c r="AB196" s="1932"/>
      <c r="AC196" s="1932"/>
      <c r="AD196" s="1932"/>
      <c r="AE196" s="1932"/>
      <c r="AF196" s="1932"/>
      <c r="AG196" s="1932"/>
      <c r="AH196" s="1932"/>
      <c r="AI196" s="1932"/>
      <c r="AJ196" s="1932"/>
      <c r="AK196" s="1932"/>
      <c r="AL196" s="1932"/>
      <c r="AM196" s="1932"/>
      <c r="AN196" s="1932"/>
      <c r="AO196" s="1932"/>
      <c r="AP196" s="1932"/>
      <c r="AQ196" s="1932"/>
    </row>
    <row r="197" spans="3:43" ht="27" customHeight="1" x14ac:dyDescent="0.2">
      <c r="C197" s="1932"/>
      <c r="D197" s="1932"/>
      <c r="E197" s="1932"/>
      <c r="F197" s="1932"/>
      <c r="G197" s="1932"/>
      <c r="H197" s="1932"/>
      <c r="I197" s="1932"/>
      <c r="J197" s="1805"/>
      <c r="K197" s="1932"/>
      <c r="L197" s="1932"/>
      <c r="M197" s="1932"/>
      <c r="N197" s="1932"/>
      <c r="O197" s="1805"/>
      <c r="P197" s="1932"/>
      <c r="Q197" s="1932"/>
      <c r="S197" s="1932"/>
      <c r="T197" s="1932"/>
      <c r="U197" s="1932"/>
      <c r="W197" s="1932"/>
      <c r="X197" s="1936"/>
      <c r="Y197" s="1932"/>
      <c r="Z197" s="1932"/>
      <c r="AA197" s="1932"/>
      <c r="AB197" s="1932"/>
      <c r="AC197" s="1932"/>
      <c r="AD197" s="1932"/>
      <c r="AE197" s="1932"/>
      <c r="AF197" s="1932"/>
      <c r="AG197" s="1932"/>
      <c r="AH197" s="1932"/>
      <c r="AI197" s="1932"/>
      <c r="AJ197" s="1932"/>
      <c r="AK197" s="1932"/>
      <c r="AL197" s="1932"/>
      <c r="AM197" s="1932"/>
      <c r="AN197" s="1932"/>
      <c r="AO197" s="1932"/>
      <c r="AP197" s="1932"/>
      <c r="AQ197" s="1932"/>
    </row>
    <row r="198" spans="3:43" ht="27" customHeight="1" x14ac:dyDescent="0.2">
      <c r="C198" s="1932"/>
      <c r="D198" s="1932"/>
      <c r="E198" s="1932"/>
      <c r="F198" s="1932"/>
      <c r="G198" s="1932"/>
      <c r="H198" s="1932"/>
      <c r="I198" s="1932"/>
      <c r="J198" s="1805"/>
      <c r="K198" s="1932"/>
      <c r="L198" s="1932"/>
      <c r="M198" s="1932"/>
      <c r="N198" s="1932"/>
      <c r="O198" s="1805"/>
      <c r="P198" s="1932"/>
      <c r="Q198" s="1932"/>
      <c r="S198" s="1932"/>
      <c r="T198" s="1932"/>
      <c r="U198" s="1932"/>
      <c r="W198" s="1932"/>
      <c r="X198" s="1936"/>
      <c r="Y198" s="1932"/>
      <c r="Z198" s="1932"/>
      <c r="AA198" s="1932"/>
      <c r="AB198" s="1932"/>
      <c r="AC198" s="1932"/>
      <c r="AD198" s="1932"/>
      <c r="AE198" s="1932"/>
      <c r="AF198" s="1932"/>
      <c r="AG198" s="1932"/>
      <c r="AH198" s="1932"/>
      <c r="AI198" s="1932"/>
      <c r="AJ198" s="1932"/>
      <c r="AK198" s="1932"/>
      <c r="AL198" s="1932"/>
      <c r="AM198" s="1932"/>
      <c r="AN198" s="1932"/>
      <c r="AO198" s="1932"/>
      <c r="AP198" s="1932"/>
      <c r="AQ198" s="1932"/>
    </row>
    <row r="199" spans="3:43" ht="27" customHeight="1" x14ac:dyDescent="0.2">
      <c r="C199" s="1932"/>
      <c r="D199" s="1932"/>
      <c r="E199" s="1932"/>
      <c r="F199" s="1932"/>
      <c r="G199" s="1932"/>
      <c r="H199" s="1932"/>
      <c r="I199" s="1932"/>
      <c r="J199" s="1805"/>
      <c r="K199" s="1932"/>
      <c r="L199" s="1932"/>
      <c r="M199" s="1932"/>
      <c r="N199" s="1932"/>
      <c r="O199" s="1805"/>
      <c r="P199" s="1932"/>
      <c r="Q199" s="1932"/>
      <c r="S199" s="1932"/>
      <c r="T199" s="1932"/>
      <c r="U199" s="1932"/>
      <c r="W199" s="1932"/>
      <c r="X199" s="1936"/>
      <c r="Y199" s="1932"/>
      <c r="Z199" s="1932"/>
      <c r="AA199" s="1932"/>
      <c r="AB199" s="1932"/>
      <c r="AC199" s="1932"/>
      <c r="AD199" s="1932"/>
      <c r="AE199" s="1932"/>
      <c r="AF199" s="1932"/>
      <c r="AG199" s="1932"/>
      <c r="AH199" s="1932"/>
      <c r="AI199" s="1932"/>
      <c r="AJ199" s="1932"/>
      <c r="AK199" s="1932"/>
      <c r="AL199" s="1932"/>
      <c r="AM199" s="1932"/>
      <c r="AN199" s="1932"/>
      <c r="AO199" s="1932"/>
      <c r="AP199" s="1932"/>
      <c r="AQ199" s="1932"/>
    </row>
    <row r="200" spans="3:43" ht="27" customHeight="1" x14ac:dyDescent="0.2">
      <c r="C200" s="1932"/>
      <c r="D200" s="1932"/>
      <c r="E200" s="1932"/>
      <c r="F200" s="1932"/>
      <c r="G200" s="1932"/>
      <c r="H200" s="1932"/>
      <c r="I200" s="1932"/>
      <c r="J200" s="1805"/>
      <c r="K200" s="1932"/>
      <c r="L200" s="1932"/>
      <c r="M200" s="1932"/>
      <c r="N200" s="1932"/>
      <c r="O200" s="1805"/>
      <c r="P200" s="1932"/>
      <c r="Q200" s="1932"/>
      <c r="S200" s="1932"/>
      <c r="T200" s="1932"/>
      <c r="U200" s="1932"/>
      <c r="W200" s="1932"/>
      <c r="X200" s="1936"/>
      <c r="Y200" s="1932"/>
      <c r="Z200" s="1932"/>
      <c r="AA200" s="1932"/>
      <c r="AB200" s="1932"/>
      <c r="AC200" s="1932"/>
      <c r="AD200" s="1932"/>
      <c r="AE200" s="1932"/>
      <c r="AF200" s="1932"/>
      <c r="AG200" s="1932"/>
      <c r="AH200" s="1932"/>
      <c r="AI200" s="1932"/>
      <c r="AJ200" s="1932"/>
      <c r="AK200" s="1932"/>
      <c r="AL200" s="1932"/>
      <c r="AM200" s="1932"/>
      <c r="AN200" s="1932"/>
      <c r="AO200" s="1932"/>
      <c r="AP200" s="1932"/>
      <c r="AQ200" s="1932"/>
    </row>
    <row r="201" spans="3:43" ht="27" customHeight="1" x14ac:dyDescent="0.2">
      <c r="C201" s="1932"/>
      <c r="D201" s="1932"/>
      <c r="E201" s="1932"/>
      <c r="F201" s="1932"/>
      <c r="G201" s="1932"/>
      <c r="H201" s="1932"/>
      <c r="I201" s="1932"/>
      <c r="J201" s="1805"/>
      <c r="K201" s="1932"/>
      <c r="L201" s="1932"/>
      <c r="M201" s="1932"/>
      <c r="N201" s="1932"/>
      <c r="O201" s="1805"/>
      <c r="P201" s="1932"/>
      <c r="Q201" s="1932"/>
      <c r="S201" s="1932"/>
      <c r="T201" s="1932"/>
      <c r="U201" s="1932"/>
      <c r="W201" s="1932"/>
      <c r="X201" s="1936"/>
      <c r="Y201" s="1932"/>
      <c r="Z201" s="1932"/>
      <c r="AA201" s="1932"/>
      <c r="AB201" s="1932"/>
      <c r="AC201" s="1932"/>
      <c r="AD201" s="1932"/>
      <c r="AE201" s="1932"/>
      <c r="AF201" s="1932"/>
      <c r="AG201" s="1932"/>
      <c r="AH201" s="1932"/>
      <c r="AI201" s="1932"/>
      <c r="AJ201" s="1932"/>
      <c r="AK201" s="1932"/>
      <c r="AL201" s="1932"/>
      <c r="AM201" s="1932"/>
      <c r="AN201" s="1932"/>
      <c r="AO201" s="1932"/>
      <c r="AP201" s="1932"/>
      <c r="AQ201" s="1932"/>
    </row>
    <row r="202" spans="3:43" ht="27" customHeight="1" x14ac:dyDescent="0.2">
      <c r="C202" s="1932"/>
      <c r="D202" s="1932"/>
      <c r="E202" s="1932"/>
      <c r="F202" s="1932"/>
      <c r="G202" s="1932"/>
      <c r="H202" s="1932"/>
      <c r="I202" s="1932"/>
      <c r="J202" s="1805"/>
      <c r="K202" s="1932"/>
      <c r="L202" s="1932"/>
      <c r="M202" s="1932"/>
      <c r="N202" s="1932"/>
      <c r="O202" s="1805"/>
      <c r="P202" s="1932"/>
      <c r="Q202" s="1932"/>
      <c r="S202" s="1932"/>
      <c r="T202" s="1932"/>
      <c r="U202" s="1932"/>
      <c r="W202" s="1932"/>
      <c r="X202" s="1936"/>
      <c r="Y202" s="1932"/>
      <c r="Z202" s="1932"/>
      <c r="AA202" s="1932"/>
      <c r="AB202" s="1932"/>
      <c r="AC202" s="1932"/>
      <c r="AD202" s="1932"/>
      <c r="AE202" s="1932"/>
      <c r="AF202" s="1932"/>
      <c r="AG202" s="1932"/>
      <c r="AH202" s="1932"/>
      <c r="AI202" s="1932"/>
      <c r="AJ202" s="1932"/>
      <c r="AK202" s="1932"/>
      <c r="AL202" s="1932"/>
      <c r="AM202" s="1932"/>
      <c r="AN202" s="1932"/>
      <c r="AO202" s="1932"/>
      <c r="AP202" s="1932"/>
      <c r="AQ202" s="1932"/>
    </row>
    <row r="203" spans="3:43" ht="27" customHeight="1" x14ac:dyDescent="0.2">
      <c r="C203" s="1932"/>
      <c r="D203" s="1932"/>
      <c r="E203" s="1932"/>
      <c r="F203" s="1932"/>
      <c r="G203" s="1932"/>
      <c r="H203" s="1932"/>
      <c r="I203" s="1932"/>
      <c r="J203" s="1805"/>
      <c r="K203" s="1932"/>
      <c r="L203" s="1932"/>
      <c r="M203" s="1932"/>
      <c r="N203" s="1932"/>
      <c r="O203" s="1805"/>
      <c r="P203" s="1932"/>
      <c r="Q203" s="1932"/>
      <c r="S203" s="1932"/>
      <c r="T203" s="1932"/>
      <c r="U203" s="1932"/>
      <c r="W203" s="1932"/>
      <c r="X203" s="1936"/>
      <c r="Y203" s="1932"/>
      <c r="Z203" s="1932"/>
      <c r="AA203" s="1932"/>
      <c r="AB203" s="1932"/>
      <c r="AC203" s="1932"/>
      <c r="AD203" s="1932"/>
      <c r="AE203" s="1932"/>
      <c r="AF203" s="1932"/>
      <c r="AG203" s="1932"/>
      <c r="AH203" s="1932"/>
      <c r="AI203" s="1932"/>
      <c r="AJ203" s="1932"/>
      <c r="AK203" s="1932"/>
      <c r="AL203" s="1932"/>
      <c r="AM203" s="1932"/>
      <c r="AN203" s="1932"/>
      <c r="AO203" s="1932"/>
      <c r="AP203" s="1932"/>
      <c r="AQ203" s="1932"/>
    </row>
    <row r="204" spans="3:43" ht="27" customHeight="1" x14ac:dyDescent="0.2">
      <c r="C204" s="1932"/>
      <c r="D204" s="1932"/>
      <c r="E204" s="1932"/>
      <c r="F204" s="1932"/>
      <c r="G204" s="1932"/>
      <c r="H204" s="1932"/>
      <c r="I204" s="1932"/>
      <c r="J204" s="1805"/>
      <c r="K204" s="1932"/>
      <c r="L204" s="1932"/>
      <c r="M204" s="1932"/>
      <c r="N204" s="1932"/>
      <c r="O204" s="1805"/>
      <c r="P204" s="1932"/>
      <c r="Q204" s="1932"/>
      <c r="S204" s="1932"/>
      <c r="T204" s="1932"/>
      <c r="U204" s="1932"/>
      <c r="W204" s="1932"/>
      <c r="X204" s="1936"/>
      <c r="Y204" s="1932"/>
      <c r="Z204" s="1932"/>
      <c r="AA204" s="1932"/>
      <c r="AB204" s="1932"/>
      <c r="AC204" s="1932"/>
      <c r="AD204" s="1932"/>
      <c r="AE204" s="1932"/>
      <c r="AF204" s="1932"/>
      <c r="AG204" s="1932"/>
      <c r="AH204" s="1932"/>
      <c r="AI204" s="1932"/>
      <c r="AJ204" s="1932"/>
      <c r="AK204" s="1932"/>
      <c r="AL204" s="1932"/>
      <c r="AM204" s="1932"/>
      <c r="AN204" s="1932"/>
      <c r="AO204" s="1932"/>
      <c r="AP204" s="1932"/>
      <c r="AQ204" s="1932"/>
    </row>
    <row r="205" spans="3:43" ht="27" customHeight="1" x14ac:dyDescent="0.2">
      <c r="C205" s="1932"/>
      <c r="D205" s="1932"/>
      <c r="E205" s="1932"/>
      <c r="F205" s="1932"/>
      <c r="G205" s="1932"/>
      <c r="H205" s="1932"/>
      <c r="I205" s="1932"/>
      <c r="J205" s="1805"/>
      <c r="K205" s="1932"/>
      <c r="L205" s="1932"/>
      <c r="M205" s="1932"/>
      <c r="N205" s="1932"/>
      <c r="O205" s="1805"/>
      <c r="P205" s="1932"/>
      <c r="Q205" s="1932"/>
      <c r="S205" s="1932"/>
      <c r="T205" s="1932"/>
      <c r="U205" s="1932"/>
      <c r="W205" s="1932"/>
      <c r="X205" s="1936"/>
      <c r="Y205" s="1932"/>
      <c r="Z205" s="1932"/>
      <c r="AA205" s="1932"/>
      <c r="AB205" s="1932"/>
      <c r="AC205" s="1932"/>
      <c r="AD205" s="1932"/>
      <c r="AE205" s="1932"/>
      <c r="AF205" s="1932"/>
      <c r="AG205" s="1932"/>
      <c r="AH205" s="1932"/>
      <c r="AI205" s="1932"/>
      <c r="AJ205" s="1932"/>
      <c r="AK205" s="1932"/>
      <c r="AL205" s="1932"/>
      <c r="AM205" s="1932"/>
      <c r="AN205" s="1932"/>
      <c r="AO205" s="1932"/>
      <c r="AP205" s="1932"/>
      <c r="AQ205" s="1932"/>
    </row>
    <row r="206" spans="3:43" ht="27" customHeight="1" x14ac:dyDescent="0.2">
      <c r="C206" s="1932"/>
      <c r="D206" s="1932"/>
      <c r="E206" s="1932"/>
      <c r="F206" s="1932"/>
      <c r="G206" s="1932"/>
      <c r="H206" s="1932"/>
      <c r="I206" s="1932"/>
      <c r="J206" s="1805"/>
      <c r="K206" s="1932"/>
      <c r="L206" s="1932"/>
      <c r="M206" s="1932"/>
      <c r="N206" s="1932"/>
      <c r="O206" s="1805"/>
      <c r="P206" s="1932"/>
      <c r="Q206" s="1932"/>
      <c r="S206" s="1932"/>
      <c r="T206" s="1932"/>
      <c r="U206" s="1932"/>
      <c r="W206" s="1932"/>
      <c r="X206" s="1936"/>
      <c r="Y206" s="1932"/>
      <c r="Z206" s="1932"/>
      <c r="AA206" s="1932"/>
      <c r="AB206" s="1932"/>
      <c r="AC206" s="1932"/>
      <c r="AD206" s="1932"/>
      <c r="AE206" s="1932"/>
      <c r="AF206" s="1932"/>
      <c r="AG206" s="1932"/>
      <c r="AH206" s="1932"/>
      <c r="AI206" s="1932"/>
      <c r="AJ206" s="1932"/>
      <c r="AK206" s="1932"/>
      <c r="AL206" s="1932"/>
      <c r="AM206" s="1932"/>
      <c r="AN206" s="1932"/>
      <c r="AO206" s="1932"/>
      <c r="AP206" s="1932"/>
      <c r="AQ206" s="1932"/>
    </row>
    <row r="207" spans="3:43" ht="27" customHeight="1" x14ac:dyDescent="0.2">
      <c r="C207" s="1932"/>
      <c r="D207" s="1932"/>
      <c r="E207" s="1932"/>
      <c r="F207" s="1932"/>
      <c r="G207" s="1932"/>
      <c r="H207" s="1932"/>
      <c r="I207" s="1932"/>
      <c r="J207" s="1805"/>
      <c r="K207" s="1932"/>
      <c r="L207" s="1932"/>
      <c r="M207" s="1932"/>
      <c r="N207" s="1932"/>
      <c r="O207" s="1805"/>
      <c r="P207" s="1932"/>
      <c r="Q207" s="1932"/>
      <c r="S207" s="1932"/>
      <c r="T207" s="1932"/>
      <c r="U207" s="1932"/>
      <c r="W207" s="1932"/>
      <c r="X207" s="1936"/>
      <c r="Y207" s="1932"/>
      <c r="Z207" s="1932"/>
      <c r="AA207" s="1932"/>
      <c r="AB207" s="1932"/>
      <c r="AC207" s="1932"/>
      <c r="AD207" s="1932"/>
      <c r="AE207" s="1932"/>
      <c r="AF207" s="1932"/>
      <c r="AG207" s="1932"/>
      <c r="AH207" s="1932"/>
      <c r="AI207" s="1932"/>
      <c r="AJ207" s="1932"/>
      <c r="AK207" s="1932"/>
      <c r="AL207" s="1932"/>
      <c r="AM207" s="1932"/>
      <c r="AN207" s="1932"/>
      <c r="AO207" s="1932"/>
      <c r="AP207" s="1932"/>
      <c r="AQ207" s="1932"/>
    </row>
    <row r="208" spans="3:43" ht="27" customHeight="1" x14ac:dyDescent="0.2">
      <c r="C208" s="1932"/>
      <c r="D208" s="1932"/>
      <c r="E208" s="1932"/>
      <c r="F208" s="1932"/>
      <c r="G208" s="1932"/>
      <c r="H208" s="1932"/>
      <c r="I208" s="1932"/>
      <c r="J208" s="1805"/>
      <c r="K208" s="1932"/>
      <c r="L208" s="1932"/>
      <c r="M208" s="1932"/>
      <c r="N208" s="1932"/>
      <c r="O208" s="1805"/>
      <c r="P208" s="1932"/>
      <c r="Q208" s="1932"/>
      <c r="S208" s="1932"/>
      <c r="T208" s="1932"/>
      <c r="U208" s="1932"/>
      <c r="W208" s="1932"/>
      <c r="X208" s="1936"/>
      <c r="Y208" s="1932"/>
      <c r="Z208" s="1932"/>
      <c r="AA208" s="1932"/>
      <c r="AB208" s="1932"/>
      <c r="AC208" s="1932"/>
      <c r="AD208" s="1932"/>
      <c r="AE208" s="1932"/>
      <c r="AF208" s="1932"/>
      <c r="AG208" s="1932"/>
      <c r="AH208" s="1932"/>
      <c r="AI208" s="1932"/>
      <c r="AJ208" s="1932"/>
      <c r="AK208" s="1932"/>
      <c r="AL208" s="1932"/>
      <c r="AM208" s="1932"/>
      <c r="AN208" s="1932"/>
      <c r="AO208" s="1932"/>
      <c r="AP208" s="1932"/>
      <c r="AQ208" s="1932"/>
    </row>
    <row r="209" spans="3:43" ht="27" customHeight="1" x14ac:dyDescent="0.2">
      <c r="C209" s="1932"/>
      <c r="D209" s="1932"/>
      <c r="E209" s="1932"/>
      <c r="F209" s="1932"/>
      <c r="G209" s="1932"/>
      <c r="H209" s="1932"/>
      <c r="I209" s="1932"/>
      <c r="J209" s="1805"/>
      <c r="K209" s="1932"/>
      <c r="L209" s="1932"/>
      <c r="M209" s="1932"/>
      <c r="N209" s="1932"/>
      <c r="O209" s="1805"/>
      <c r="P209" s="1932"/>
      <c r="Q209" s="1932"/>
      <c r="S209" s="1932"/>
      <c r="T209" s="1932"/>
      <c r="U209" s="1932"/>
      <c r="W209" s="1932"/>
      <c r="X209" s="1936"/>
      <c r="Y209" s="1932"/>
      <c r="Z209" s="1932"/>
      <c r="AA209" s="1932"/>
      <c r="AB209" s="1932"/>
      <c r="AC209" s="1932"/>
      <c r="AD209" s="1932"/>
      <c r="AE209" s="1932"/>
      <c r="AF209" s="1932"/>
      <c r="AG209" s="1932"/>
      <c r="AH209" s="1932"/>
      <c r="AI209" s="1932"/>
      <c r="AJ209" s="1932"/>
      <c r="AK209" s="1932"/>
      <c r="AL209" s="1932"/>
      <c r="AM209" s="1932"/>
      <c r="AN209" s="1932"/>
      <c r="AO209" s="1932"/>
      <c r="AP209" s="1932"/>
      <c r="AQ209" s="1932"/>
    </row>
    <row r="210" spans="3:43" ht="27" customHeight="1" x14ac:dyDescent="0.2">
      <c r="C210" s="1932"/>
      <c r="D210" s="1932"/>
      <c r="E210" s="1932"/>
      <c r="F210" s="1932"/>
      <c r="G210" s="1932"/>
      <c r="H210" s="1932"/>
      <c r="I210" s="1932"/>
      <c r="J210" s="1805"/>
      <c r="K210" s="1932"/>
      <c r="L210" s="1932"/>
      <c r="M210" s="1932"/>
      <c r="N210" s="1932"/>
      <c r="O210" s="1805"/>
      <c r="P210" s="1932"/>
      <c r="Q210" s="1932"/>
      <c r="S210" s="1932"/>
      <c r="T210" s="1932"/>
      <c r="U210" s="1932"/>
      <c r="W210" s="1932"/>
      <c r="X210" s="1936"/>
      <c r="Y210" s="1932"/>
      <c r="Z210" s="1932"/>
      <c r="AA210" s="1932"/>
      <c r="AB210" s="1932"/>
      <c r="AC210" s="1932"/>
      <c r="AD210" s="1932"/>
      <c r="AE210" s="1932"/>
      <c r="AF210" s="1932"/>
      <c r="AG210" s="1932"/>
      <c r="AH210" s="1932"/>
      <c r="AI210" s="1932"/>
      <c r="AJ210" s="1932"/>
      <c r="AK210" s="1932"/>
      <c r="AL210" s="1932"/>
      <c r="AM210" s="1932"/>
      <c r="AN210" s="1932"/>
      <c r="AO210" s="1932"/>
      <c r="AP210" s="1932"/>
      <c r="AQ210" s="1932"/>
    </row>
    <row r="211" spans="3:43" ht="27" customHeight="1" x14ac:dyDescent="0.2">
      <c r="C211" s="1932"/>
      <c r="D211" s="1932"/>
      <c r="E211" s="1932"/>
      <c r="F211" s="1932"/>
      <c r="G211" s="1932"/>
      <c r="H211" s="1932"/>
      <c r="I211" s="1932"/>
      <c r="J211" s="1805"/>
      <c r="K211" s="1932"/>
      <c r="L211" s="1932"/>
      <c r="M211" s="1932"/>
      <c r="N211" s="1932"/>
      <c r="O211" s="1805"/>
      <c r="P211" s="1932"/>
      <c r="Q211" s="1932"/>
      <c r="S211" s="1932"/>
      <c r="T211" s="1932"/>
      <c r="U211" s="1932"/>
      <c r="W211" s="1932"/>
      <c r="X211" s="1936"/>
      <c r="Y211" s="1932"/>
      <c r="Z211" s="1932"/>
      <c r="AA211" s="1932"/>
      <c r="AB211" s="1932"/>
      <c r="AC211" s="1932"/>
      <c r="AD211" s="1932"/>
      <c r="AE211" s="1932"/>
      <c r="AF211" s="1932"/>
      <c r="AG211" s="1932"/>
      <c r="AH211" s="1932"/>
      <c r="AI211" s="1932"/>
      <c r="AJ211" s="1932"/>
      <c r="AK211" s="1932"/>
      <c r="AL211" s="1932"/>
      <c r="AM211" s="1932"/>
      <c r="AN211" s="1932"/>
      <c r="AO211" s="1932"/>
      <c r="AP211" s="1932"/>
      <c r="AQ211" s="1932"/>
    </row>
    <row r="212" spans="3:43" ht="27" customHeight="1" x14ac:dyDescent="0.2">
      <c r="C212" s="1932"/>
      <c r="D212" s="1932"/>
      <c r="E212" s="1932"/>
      <c r="F212" s="1932"/>
      <c r="G212" s="1932"/>
      <c r="H212" s="1932"/>
      <c r="I212" s="1932"/>
      <c r="J212" s="1805"/>
      <c r="K212" s="1932"/>
      <c r="L212" s="1932"/>
      <c r="M212" s="1932"/>
      <c r="N212" s="1932"/>
      <c r="O212" s="1805"/>
      <c r="P212" s="1932"/>
      <c r="Q212" s="1932"/>
      <c r="S212" s="1932"/>
      <c r="T212" s="1932"/>
      <c r="U212" s="1932"/>
      <c r="W212" s="1932"/>
      <c r="X212" s="1936"/>
      <c r="Y212" s="1932"/>
      <c r="Z212" s="1932"/>
      <c r="AA212" s="1932"/>
      <c r="AB212" s="1932"/>
      <c r="AC212" s="1932"/>
      <c r="AD212" s="1932"/>
      <c r="AE212" s="1932"/>
      <c r="AF212" s="1932"/>
      <c r="AG212" s="1932"/>
      <c r="AH212" s="1932"/>
      <c r="AI212" s="1932"/>
      <c r="AJ212" s="1932"/>
      <c r="AK212" s="1932"/>
      <c r="AL212" s="1932"/>
      <c r="AM212" s="1932"/>
      <c r="AN212" s="1932"/>
      <c r="AO212" s="1932"/>
      <c r="AP212" s="1932"/>
      <c r="AQ212" s="1932"/>
    </row>
    <row r="213" spans="3:43" ht="27" customHeight="1" x14ac:dyDescent="0.2">
      <c r="C213" s="1932"/>
      <c r="D213" s="1932"/>
      <c r="E213" s="1932"/>
      <c r="F213" s="1932"/>
      <c r="G213" s="1932"/>
      <c r="H213" s="1932"/>
      <c r="I213" s="1932"/>
      <c r="J213" s="1805"/>
      <c r="K213" s="1932"/>
      <c r="L213" s="1932"/>
      <c r="M213" s="1932"/>
      <c r="N213" s="1932"/>
      <c r="O213" s="1805"/>
      <c r="P213" s="1932"/>
      <c r="Q213" s="1932"/>
      <c r="S213" s="1932"/>
      <c r="T213" s="1932"/>
      <c r="U213" s="1932"/>
      <c r="W213" s="1932"/>
      <c r="X213" s="1936"/>
      <c r="Y213" s="1932"/>
      <c r="Z213" s="1932"/>
      <c r="AA213" s="1932"/>
      <c r="AB213" s="1932"/>
      <c r="AC213" s="1932"/>
      <c r="AD213" s="1932"/>
      <c r="AE213" s="1932"/>
      <c r="AF213" s="1932"/>
      <c r="AG213" s="1932"/>
      <c r="AH213" s="1932"/>
      <c r="AI213" s="1932"/>
      <c r="AJ213" s="1932"/>
      <c r="AK213" s="1932"/>
      <c r="AL213" s="1932"/>
      <c r="AM213" s="1932"/>
      <c r="AN213" s="1932"/>
      <c r="AO213" s="1932"/>
      <c r="AP213" s="1932"/>
      <c r="AQ213" s="1932"/>
    </row>
    <row r="214" spans="3:43" ht="27" customHeight="1" x14ac:dyDescent="0.2">
      <c r="C214" s="1932"/>
      <c r="D214" s="1932"/>
      <c r="E214" s="1932"/>
      <c r="F214" s="1932"/>
      <c r="G214" s="1932"/>
      <c r="H214" s="1932"/>
      <c r="I214" s="1932"/>
      <c r="J214" s="1805"/>
      <c r="K214" s="1932"/>
      <c r="L214" s="1932"/>
      <c r="M214" s="1932"/>
      <c r="N214" s="1932"/>
      <c r="O214" s="1805"/>
      <c r="P214" s="1932"/>
      <c r="Q214" s="1932"/>
      <c r="S214" s="1932"/>
      <c r="T214" s="1932"/>
      <c r="U214" s="1932"/>
      <c r="W214" s="1932"/>
      <c r="X214" s="1936"/>
      <c r="Y214" s="1932"/>
      <c r="Z214" s="1932"/>
      <c r="AA214" s="1932"/>
      <c r="AB214" s="1932"/>
      <c r="AC214" s="1932"/>
      <c r="AD214" s="1932"/>
      <c r="AE214" s="1932"/>
      <c r="AF214" s="1932"/>
      <c r="AG214" s="1932"/>
      <c r="AH214" s="1932"/>
      <c r="AI214" s="1932"/>
      <c r="AJ214" s="1932"/>
      <c r="AK214" s="1932"/>
      <c r="AL214" s="1932"/>
      <c r="AM214" s="1932"/>
      <c r="AN214" s="1932"/>
      <c r="AO214" s="1932"/>
      <c r="AP214" s="1932"/>
      <c r="AQ214" s="1932"/>
    </row>
    <row r="215" spans="3:43" ht="27" customHeight="1" x14ac:dyDescent="0.2">
      <c r="C215" s="1932"/>
      <c r="D215" s="1932"/>
      <c r="E215" s="1932"/>
      <c r="F215" s="1932"/>
      <c r="G215" s="1932"/>
      <c r="H215" s="1932"/>
      <c r="I215" s="1932"/>
      <c r="J215" s="1805"/>
      <c r="K215" s="1932"/>
      <c r="L215" s="1932"/>
      <c r="M215" s="1932"/>
      <c r="N215" s="1932"/>
      <c r="O215" s="1805"/>
      <c r="P215" s="1932"/>
      <c r="Q215" s="1932"/>
      <c r="S215" s="1932"/>
      <c r="T215" s="1932"/>
      <c r="U215" s="1932"/>
      <c r="W215" s="1932"/>
      <c r="X215" s="1936"/>
      <c r="Y215" s="1932"/>
      <c r="Z215" s="1932"/>
      <c r="AA215" s="1932"/>
      <c r="AB215" s="1932"/>
      <c r="AC215" s="1932"/>
      <c r="AD215" s="1932"/>
      <c r="AE215" s="1932"/>
      <c r="AF215" s="1932"/>
      <c r="AG215" s="1932"/>
      <c r="AH215" s="1932"/>
      <c r="AI215" s="1932"/>
      <c r="AJ215" s="1932"/>
      <c r="AK215" s="1932"/>
      <c r="AL215" s="1932"/>
      <c r="AM215" s="1932"/>
      <c r="AN215" s="1932"/>
      <c r="AO215" s="1932"/>
      <c r="AP215" s="1932"/>
      <c r="AQ215" s="1932"/>
    </row>
    <row r="216" spans="3:43" ht="27" customHeight="1" x14ac:dyDescent="0.2">
      <c r="C216" s="1932"/>
      <c r="D216" s="1932"/>
      <c r="E216" s="1932"/>
      <c r="F216" s="1932"/>
      <c r="G216" s="1932"/>
      <c r="H216" s="1932"/>
      <c r="I216" s="1932"/>
      <c r="J216" s="1805"/>
      <c r="K216" s="1932"/>
      <c r="L216" s="1932"/>
      <c r="M216" s="1932"/>
      <c r="N216" s="1932"/>
      <c r="O216" s="1805"/>
      <c r="P216" s="1932"/>
      <c r="Q216" s="1932"/>
      <c r="S216" s="1932"/>
      <c r="T216" s="1932"/>
      <c r="U216" s="1932"/>
      <c r="W216" s="1932"/>
      <c r="X216" s="1936"/>
      <c r="Y216" s="1932"/>
      <c r="Z216" s="1932"/>
      <c r="AA216" s="1932"/>
      <c r="AB216" s="1932"/>
      <c r="AC216" s="1932"/>
      <c r="AD216" s="1932"/>
      <c r="AE216" s="1932"/>
      <c r="AF216" s="1932"/>
      <c r="AG216" s="1932"/>
      <c r="AH216" s="1932"/>
      <c r="AI216" s="1932"/>
      <c r="AJ216" s="1932"/>
      <c r="AK216" s="1932"/>
      <c r="AL216" s="1932"/>
      <c r="AM216" s="1932"/>
      <c r="AN216" s="1932"/>
      <c r="AO216" s="1932"/>
      <c r="AP216" s="1932"/>
      <c r="AQ216" s="1932"/>
    </row>
    <row r="217" spans="3:43" ht="27" customHeight="1" x14ac:dyDescent="0.2">
      <c r="C217" s="1932"/>
      <c r="D217" s="1932"/>
      <c r="E217" s="1932"/>
      <c r="F217" s="1932"/>
      <c r="G217" s="1932"/>
      <c r="H217" s="1932"/>
      <c r="I217" s="1932"/>
      <c r="J217" s="1805"/>
      <c r="K217" s="1932"/>
      <c r="L217" s="1932"/>
      <c r="M217" s="1932"/>
      <c r="N217" s="1932"/>
      <c r="O217" s="1805"/>
      <c r="P217" s="1932"/>
      <c r="Q217" s="1932"/>
      <c r="S217" s="1932"/>
      <c r="T217" s="1932"/>
      <c r="U217" s="1932"/>
      <c r="W217" s="1932"/>
      <c r="X217" s="1936"/>
      <c r="Y217" s="1932"/>
      <c r="Z217" s="1932"/>
      <c r="AA217" s="1932"/>
      <c r="AB217" s="1932"/>
      <c r="AC217" s="1932"/>
      <c r="AD217" s="1932"/>
      <c r="AE217" s="1932"/>
      <c r="AF217" s="1932"/>
      <c r="AG217" s="1932"/>
      <c r="AH217" s="1932"/>
      <c r="AI217" s="1932"/>
      <c r="AJ217" s="1932"/>
      <c r="AK217" s="1932"/>
      <c r="AL217" s="1932"/>
      <c r="AM217" s="1932"/>
      <c r="AN217" s="1932"/>
      <c r="AO217" s="1932"/>
      <c r="AP217" s="1932"/>
      <c r="AQ217" s="1932"/>
    </row>
    <row r="218" spans="3:43" ht="27" customHeight="1" x14ac:dyDescent="0.2">
      <c r="C218" s="1932"/>
      <c r="D218" s="1932"/>
      <c r="E218" s="1932"/>
      <c r="F218" s="1932"/>
      <c r="G218" s="1932"/>
      <c r="H218" s="1932"/>
      <c r="I218" s="1932"/>
      <c r="J218" s="1805"/>
      <c r="K218" s="1932"/>
      <c r="L218" s="1932"/>
      <c r="M218" s="1932"/>
      <c r="N218" s="1932"/>
      <c r="O218" s="1805"/>
      <c r="P218" s="1932"/>
      <c r="Q218" s="1932"/>
      <c r="S218" s="1932"/>
      <c r="T218" s="1932"/>
      <c r="U218" s="1932"/>
      <c r="W218" s="1932"/>
      <c r="X218" s="1936"/>
      <c r="Y218" s="1932"/>
      <c r="Z218" s="1932"/>
      <c r="AA218" s="1932"/>
      <c r="AB218" s="1932"/>
      <c r="AC218" s="1932"/>
      <c r="AD218" s="1932"/>
      <c r="AE218" s="1932"/>
      <c r="AF218" s="1932"/>
      <c r="AG218" s="1932"/>
      <c r="AH218" s="1932"/>
      <c r="AI218" s="1932"/>
      <c r="AJ218" s="1932"/>
      <c r="AK218" s="1932"/>
      <c r="AL218" s="1932"/>
      <c r="AM218" s="1932"/>
      <c r="AN218" s="1932"/>
      <c r="AO218" s="1932"/>
      <c r="AP218" s="1932"/>
      <c r="AQ218" s="1932"/>
    </row>
    <row r="219" spans="3:43" ht="27" customHeight="1" x14ac:dyDescent="0.2">
      <c r="C219" s="1932"/>
      <c r="D219" s="1932"/>
      <c r="E219" s="1932"/>
      <c r="F219" s="1932"/>
      <c r="G219" s="1932"/>
      <c r="H219" s="1932"/>
      <c r="I219" s="1932"/>
      <c r="J219" s="1805"/>
      <c r="K219" s="1932"/>
      <c r="L219" s="1932"/>
      <c r="M219" s="1932"/>
      <c r="N219" s="1932"/>
      <c r="O219" s="1805"/>
      <c r="P219" s="1932"/>
      <c r="Q219" s="1932"/>
      <c r="S219" s="1932"/>
      <c r="T219" s="1932"/>
      <c r="U219" s="1932"/>
      <c r="W219" s="1932"/>
      <c r="X219" s="1936"/>
      <c r="Y219" s="1932"/>
      <c r="Z219" s="1932"/>
      <c r="AA219" s="1932"/>
      <c r="AB219" s="1932"/>
      <c r="AC219" s="1932"/>
      <c r="AD219" s="1932"/>
      <c r="AE219" s="1932"/>
      <c r="AF219" s="1932"/>
      <c r="AG219" s="1932"/>
      <c r="AH219" s="1932"/>
      <c r="AI219" s="1932"/>
      <c r="AJ219" s="1932"/>
      <c r="AK219" s="1932"/>
      <c r="AL219" s="1932"/>
      <c r="AM219" s="1932"/>
      <c r="AN219" s="1932"/>
      <c r="AO219" s="1932"/>
      <c r="AP219" s="1932"/>
      <c r="AQ219" s="1932"/>
    </row>
    <row r="220" spans="3:43" ht="27" customHeight="1" x14ac:dyDescent="0.2">
      <c r="C220" s="1932"/>
      <c r="D220" s="1932"/>
      <c r="E220" s="1932"/>
      <c r="F220" s="1932"/>
      <c r="G220" s="1932"/>
      <c r="H220" s="1932"/>
      <c r="I220" s="1932"/>
      <c r="J220" s="1805"/>
      <c r="K220" s="1932"/>
      <c r="L220" s="1932"/>
      <c r="M220" s="1932"/>
      <c r="N220" s="1932"/>
      <c r="O220" s="1805"/>
      <c r="P220" s="1932"/>
      <c r="Q220" s="1932"/>
      <c r="S220" s="1932"/>
      <c r="T220" s="1932"/>
      <c r="U220" s="1932"/>
      <c r="W220" s="1932"/>
      <c r="X220" s="1936"/>
      <c r="Y220" s="1932"/>
      <c r="Z220" s="1932"/>
      <c r="AA220" s="1932"/>
      <c r="AB220" s="1932"/>
      <c r="AC220" s="1932"/>
      <c r="AD220" s="1932"/>
      <c r="AE220" s="1932"/>
      <c r="AF220" s="1932"/>
      <c r="AG220" s="1932"/>
      <c r="AH220" s="1932"/>
      <c r="AI220" s="1932"/>
      <c r="AJ220" s="1932"/>
      <c r="AK220" s="1932"/>
      <c r="AL220" s="1932"/>
      <c r="AM220" s="1932"/>
      <c r="AN220" s="1932"/>
      <c r="AO220" s="1932"/>
      <c r="AP220" s="1932"/>
      <c r="AQ220" s="1932"/>
    </row>
    <row r="221" spans="3:43" ht="27" customHeight="1" x14ac:dyDescent="0.2">
      <c r="C221" s="1932"/>
      <c r="D221" s="1932"/>
      <c r="E221" s="1932"/>
      <c r="F221" s="1932"/>
      <c r="G221" s="1932"/>
      <c r="H221" s="1932"/>
      <c r="I221" s="1932"/>
      <c r="J221" s="1805"/>
      <c r="K221" s="1932"/>
      <c r="L221" s="1932"/>
      <c r="M221" s="1932"/>
      <c r="N221" s="1932"/>
      <c r="O221" s="1805"/>
      <c r="P221" s="1932"/>
      <c r="Q221" s="1932"/>
      <c r="S221" s="1932"/>
      <c r="T221" s="1932"/>
      <c r="U221" s="1932"/>
      <c r="W221" s="1932"/>
      <c r="X221" s="1936"/>
      <c r="Y221" s="1932"/>
      <c r="Z221" s="1932"/>
      <c r="AA221" s="1932"/>
      <c r="AB221" s="1932"/>
      <c r="AC221" s="1932"/>
      <c r="AD221" s="1932"/>
      <c r="AE221" s="1932"/>
      <c r="AF221" s="1932"/>
      <c r="AG221" s="1932"/>
      <c r="AH221" s="1932"/>
      <c r="AI221" s="1932"/>
      <c r="AJ221" s="1932"/>
      <c r="AK221" s="1932"/>
      <c r="AL221" s="1932"/>
      <c r="AM221" s="1932"/>
      <c r="AN221" s="1932"/>
      <c r="AO221" s="1932"/>
      <c r="AP221" s="1932"/>
      <c r="AQ221" s="1932"/>
    </row>
    <row r="222" spans="3:43" ht="27" customHeight="1" x14ac:dyDescent="0.2">
      <c r="C222" s="1932"/>
      <c r="D222" s="1932"/>
      <c r="E222" s="1932"/>
      <c r="F222" s="1932"/>
      <c r="G222" s="1932"/>
      <c r="H222" s="1932"/>
      <c r="I222" s="1932"/>
      <c r="J222" s="1805"/>
      <c r="K222" s="1932"/>
      <c r="L222" s="1932"/>
      <c r="M222" s="1932"/>
      <c r="N222" s="1932"/>
      <c r="O222" s="1805"/>
      <c r="P222" s="1932"/>
      <c r="Q222" s="1932"/>
      <c r="S222" s="1932"/>
      <c r="T222" s="1932"/>
      <c r="U222" s="1932"/>
      <c r="W222" s="1932"/>
      <c r="X222" s="1936"/>
      <c r="Y222" s="1932"/>
      <c r="Z222" s="1932"/>
      <c r="AA222" s="1932"/>
      <c r="AB222" s="1932"/>
      <c r="AC222" s="1932"/>
      <c r="AD222" s="1932"/>
      <c r="AE222" s="1932"/>
      <c r="AF222" s="1932"/>
      <c r="AG222" s="1932"/>
      <c r="AH222" s="1932"/>
      <c r="AI222" s="1932"/>
      <c r="AJ222" s="1932"/>
      <c r="AK222" s="1932"/>
      <c r="AL222" s="1932"/>
      <c r="AM222" s="1932"/>
      <c r="AN222" s="1932"/>
      <c r="AO222" s="1932"/>
      <c r="AP222" s="1932"/>
      <c r="AQ222" s="1932"/>
    </row>
    <row r="223" spans="3:43" ht="27" customHeight="1" x14ac:dyDescent="0.2">
      <c r="C223" s="1932"/>
      <c r="D223" s="1932"/>
      <c r="E223" s="1932"/>
      <c r="F223" s="1932"/>
      <c r="G223" s="1932"/>
      <c r="H223" s="1932"/>
      <c r="I223" s="1932"/>
      <c r="J223" s="1805"/>
      <c r="K223" s="1932"/>
      <c r="L223" s="1932"/>
      <c r="M223" s="1932"/>
      <c r="N223" s="1932"/>
      <c r="O223" s="1805"/>
      <c r="P223" s="1932"/>
      <c r="Q223" s="1932"/>
      <c r="S223" s="1932"/>
      <c r="T223" s="1932"/>
      <c r="U223" s="1932"/>
      <c r="W223" s="1932"/>
      <c r="X223" s="1936"/>
      <c r="Y223" s="1932"/>
      <c r="Z223" s="1932"/>
      <c r="AA223" s="1932"/>
      <c r="AB223" s="1932"/>
      <c r="AC223" s="1932"/>
      <c r="AD223" s="1932"/>
      <c r="AE223" s="1932"/>
      <c r="AF223" s="1932"/>
      <c r="AG223" s="1932"/>
      <c r="AH223" s="1932"/>
      <c r="AI223" s="1932"/>
      <c r="AJ223" s="1932"/>
      <c r="AK223" s="1932"/>
      <c r="AL223" s="1932"/>
      <c r="AM223" s="1932"/>
      <c r="AN223" s="1932"/>
      <c r="AO223" s="1932"/>
      <c r="AP223" s="1932"/>
      <c r="AQ223" s="1932"/>
    </row>
    <row r="224" spans="3:43" ht="27" customHeight="1" x14ac:dyDescent="0.2">
      <c r="C224" s="1932"/>
      <c r="D224" s="1932"/>
      <c r="E224" s="1932"/>
      <c r="F224" s="1932"/>
      <c r="G224" s="1932"/>
      <c r="H224" s="1932"/>
      <c r="I224" s="1932"/>
      <c r="J224" s="1805"/>
      <c r="K224" s="1932"/>
      <c r="L224" s="1932"/>
      <c r="M224" s="1932"/>
      <c r="N224" s="1932"/>
      <c r="O224" s="1805"/>
      <c r="P224" s="1932"/>
      <c r="Q224" s="1932"/>
      <c r="S224" s="1932"/>
      <c r="T224" s="1932"/>
      <c r="U224" s="1932"/>
      <c r="W224" s="1932"/>
      <c r="X224" s="1936"/>
      <c r="Y224" s="1932"/>
      <c r="Z224" s="1932"/>
      <c r="AA224" s="1932"/>
      <c r="AB224" s="1932"/>
      <c r="AC224" s="1932"/>
      <c r="AD224" s="1932"/>
      <c r="AE224" s="1932"/>
      <c r="AF224" s="1932"/>
      <c r="AG224" s="1932"/>
      <c r="AH224" s="1932"/>
      <c r="AI224" s="1932"/>
      <c r="AJ224" s="1932"/>
      <c r="AK224" s="1932"/>
      <c r="AL224" s="1932"/>
      <c r="AM224" s="1932"/>
      <c r="AN224" s="1932"/>
      <c r="AO224" s="1932"/>
      <c r="AP224" s="1932"/>
      <c r="AQ224" s="1932"/>
    </row>
    <row r="225" spans="3:43" ht="27" customHeight="1" x14ac:dyDescent="0.2">
      <c r="C225" s="1932"/>
      <c r="D225" s="1932"/>
      <c r="E225" s="1932"/>
      <c r="F225" s="1932"/>
      <c r="G225" s="1932"/>
      <c r="H225" s="1932"/>
      <c r="I225" s="1932"/>
      <c r="J225" s="1805"/>
      <c r="K225" s="1932"/>
      <c r="L225" s="1932"/>
      <c r="M225" s="1932"/>
      <c r="N225" s="1932"/>
      <c r="O225" s="1805"/>
      <c r="P225" s="1932"/>
      <c r="Q225" s="1932"/>
      <c r="S225" s="1932"/>
      <c r="T225" s="1932"/>
      <c r="U225" s="1932"/>
      <c r="W225" s="1932"/>
      <c r="X225" s="1936"/>
      <c r="Y225" s="1932"/>
      <c r="Z225" s="1932"/>
      <c r="AA225" s="1932"/>
      <c r="AB225" s="1932"/>
      <c r="AC225" s="1932"/>
      <c r="AD225" s="1932"/>
      <c r="AE225" s="1932"/>
      <c r="AF225" s="1932"/>
      <c r="AG225" s="1932"/>
      <c r="AH225" s="1932"/>
      <c r="AI225" s="1932"/>
      <c r="AJ225" s="1932"/>
      <c r="AK225" s="1932"/>
      <c r="AL225" s="1932"/>
      <c r="AM225" s="1932"/>
      <c r="AN225" s="1932"/>
      <c r="AO225" s="1932"/>
      <c r="AP225" s="1932"/>
      <c r="AQ225" s="1932"/>
    </row>
    <row r="226" spans="3:43" ht="27" customHeight="1" x14ac:dyDescent="0.2">
      <c r="C226" s="1932"/>
      <c r="D226" s="1932"/>
      <c r="E226" s="1932"/>
      <c r="F226" s="1932"/>
      <c r="G226" s="1932"/>
      <c r="H226" s="1932"/>
      <c r="I226" s="1932"/>
      <c r="J226" s="1805"/>
      <c r="K226" s="1932"/>
      <c r="L226" s="1932"/>
      <c r="M226" s="1932"/>
      <c r="N226" s="1932"/>
      <c r="O226" s="1805"/>
      <c r="P226" s="1932"/>
      <c r="Q226" s="1932"/>
      <c r="S226" s="1932"/>
      <c r="T226" s="1932"/>
      <c r="U226" s="1932"/>
      <c r="W226" s="1932"/>
      <c r="X226" s="1936"/>
      <c r="Y226" s="1932"/>
      <c r="Z226" s="1932"/>
      <c r="AA226" s="1932"/>
      <c r="AB226" s="1932"/>
      <c r="AC226" s="1932"/>
      <c r="AD226" s="1932"/>
      <c r="AE226" s="1932"/>
      <c r="AF226" s="1932"/>
      <c r="AG226" s="1932"/>
      <c r="AH226" s="1932"/>
      <c r="AI226" s="1932"/>
      <c r="AJ226" s="1932"/>
      <c r="AK226" s="1932"/>
      <c r="AL226" s="1932"/>
      <c r="AM226" s="1932"/>
      <c r="AN226" s="1932"/>
      <c r="AO226" s="1932"/>
      <c r="AP226" s="1932"/>
      <c r="AQ226" s="1932"/>
    </row>
    <row r="227" spans="3:43" ht="27" customHeight="1" x14ac:dyDescent="0.2">
      <c r="C227" s="1932"/>
      <c r="D227" s="1932"/>
      <c r="E227" s="1932"/>
      <c r="F227" s="1932"/>
      <c r="G227" s="1932"/>
      <c r="H227" s="1932"/>
      <c r="I227" s="1932"/>
      <c r="J227" s="1805"/>
      <c r="K227" s="1932"/>
      <c r="L227" s="1932"/>
      <c r="M227" s="1932"/>
      <c r="N227" s="1932"/>
      <c r="O227" s="1805"/>
      <c r="P227" s="1932"/>
      <c r="Q227" s="1932"/>
      <c r="S227" s="1932"/>
      <c r="T227" s="1932"/>
      <c r="U227" s="1932"/>
      <c r="W227" s="1932"/>
      <c r="X227" s="1936"/>
      <c r="Y227" s="1932"/>
      <c r="Z227" s="1932"/>
      <c r="AA227" s="1932"/>
      <c r="AB227" s="1932"/>
      <c r="AC227" s="1932"/>
      <c r="AD227" s="1932"/>
      <c r="AE227" s="1932"/>
      <c r="AF227" s="1932"/>
      <c r="AG227" s="1932"/>
      <c r="AH227" s="1932"/>
      <c r="AI227" s="1932"/>
      <c r="AJ227" s="1932"/>
      <c r="AK227" s="1932"/>
      <c r="AL227" s="1932"/>
      <c r="AM227" s="1932"/>
      <c r="AN227" s="1932"/>
      <c r="AO227" s="1932"/>
      <c r="AP227" s="1932"/>
      <c r="AQ227" s="1932"/>
    </row>
    <row r="228" spans="3:43" ht="27" customHeight="1" x14ac:dyDescent="0.2">
      <c r="C228" s="1932"/>
      <c r="D228" s="1932"/>
      <c r="E228" s="1932"/>
      <c r="F228" s="1932"/>
      <c r="G228" s="1932"/>
      <c r="H228" s="1932"/>
      <c r="I228" s="1932"/>
      <c r="J228" s="1805"/>
      <c r="K228" s="1932"/>
      <c r="L228" s="1932"/>
      <c r="M228" s="1932"/>
      <c r="N228" s="1932"/>
      <c r="O228" s="1805"/>
      <c r="P228" s="1932"/>
      <c r="Q228" s="1932"/>
      <c r="S228" s="1932"/>
      <c r="T228" s="1932"/>
      <c r="U228" s="1932"/>
      <c r="W228" s="1932"/>
      <c r="X228" s="1936"/>
      <c r="Y228" s="1932"/>
      <c r="Z228" s="1932"/>
      <c r="AA228" s="1932"/>
      <c r="AB228" s="1932"/>
      <c r="AC228" s="1932"/>
      <c r="AD228" s="1932"/>
      <c r="AE228" s="1932"/>
      <c r="AF228" s="1932"/>
      <c r="AG228" s="1932"/>
      <c r="AH228" s="1932"/>
      <c r="AI228" s="1932"/>
      <c r="AJ228" s="1932"/>
      <c r="AK228" s="1932"/>
      <c r="AL228" s="1932"/>
      <c r="AM228" s="1932"/>
      <c r="AN228" s="1932"/>
      <c r="AO228" s="1932"/>
      <c r="AP228" s="1932"/>
      <c r="AQ228" s="1932"/>
    </row>
    <row r="229" spans="3:43" ht="27" customHeight="1" x14ac:dyDescent="0.2">
      <c r="C229" s="1932"/>
      <c r="D229" s="1932"/>
      <c r="E229" s="1932"/>
      <c r="F229" s="1932"/>
      <c r="G229" s="1932"/>
      <c r="H229" s="1932"/>
      <c r="I229" s="1932"/>
      <c r="J229" s="1805"/>
      <c r="K229" s="1932"/>
      <c r="L229" s="1932"/>
      <c r="M229" s="1932"/>
      <c r="N229" s="1932"/>
      <c r="O229" s="1805"/>
      <c r="P229" s="1932"/>
      <c r="Q229" s="1932"/>
      <c r="S229" s="1932"/>
      <c r="T229" s="1932"/>
      <c r="U229" s="1932"/>
      <c r="W229" s="1932"/>
      <c r="X229" s="1936"/>
      <c r="Y229" s="1932"/>
      <c r="Z229" s="1932"/>
      <c r="AA229" s="1932"/>
      <c r="AB229" s="1932"/>
      <c r="AC229" s="1932"/>
      <c r="AD229" s="1932"/>
      <c r="AE229" s="1932"/>
      <c r="AF229" s="1932"/>
      <c r="AG229" s="1932"/>
      <c r="AH229" s="1932"/>
      <c r="AI229" s="1932"/>
      <c r="AJ229" s="1932"/>
      <c r="AK229" s="1932"/>
      <c r="AL229" s="1932"/>
      <c r="AM229" s="1932"/>
      <c r="AN229" s="1932"/>
      <c r="AO229" s="1932"/>
      <c r="AP229" s="1932"/>
      <c r="AQ229" s="1932"/>
    </row>
    <row r="230" spans="3:43" ht="27" customHeight="1" x14ac:dyDescent="0.2">
      <c r="C230" s="1932"/>
      <c r="D230" s="1932"/>
      <c r="E230" s="1932"/>
      <c r="F230" s="1932"/>
      <c r="G230" s="1932"/>
      <c r="H230" s="1932"/>
      <c r="I230" s="1932"/>
      <c r="J230" s="1805"/>
      <c r="K230" s="1932"/>
      <c r="L230" s="1932"/>
      <c r="M230" s="1932"/>
      <c r="N230" s="1932"/>
      <c r="O230" s="1805"/>
      <c r="P230" s="1932"/>
      <c r="Q230" s="1932"/>
      <c r="S230" s="1932"/>
      <c r="T230" s="1932"/>
      <c r="U230" s="1932"/>
      <c r="W230" s="1932"/>
      <c r="X230" s="1936"/>
      <c r="Y230" s="1932"/>
      <c r="Z230" s="1932"/>
      <c r="AA230" s="1932"/>
      <c r="AB230" s="1932"/>
      <c r="AC230" s="1932"/>
      <c r="AD230" s="1932"/>
      <c r="AE230" s="1932"/>
      <c r="AF230" s="1932"/>
      <c r="AG230" s="1932"/>
      <c r="AH230" s="1932"/>
      <c r="AI230" s="1932"/>
      <c r="AJ230" s="1932"/>
      <c r="AK230" s="1932"/>
      <c r="AL230" s="1932"/>
      <c r="AM230" s="1932"/>
      <c r="AN230" s="1932"/>
      <c r="AO230" s="1932"/>
      <c r="AP230" s="1932"/>
      <c r="AQ230" s="1932"/>
    </row>
    <row r="231" spans="3:43" ht="27" customHeight="1" x14ac:dyDescent="0.2">
      <c r="C231" s="1932"/>
      <c r="D231" s="1932"/>
      <c r="E231" s="1932"/>
      <c r="F231" s="1932"/>
      <c r="G231" s="1932"/>
      <c r="H231" s="1932"/>
      <c r="I231" s="1932"/>
      <c r="J231" s="1805"/>
      <c r="K231" s="1932"/>
      <c r="L231" s="1932"/>
      <c r="M231" s="1932"/>
      <c r="N231" s="1932"/>
      <c r="O231" s="1805"/>
      <c r="P231" s="1932"/>
      <c r="Q231" s="1932"/>
      <c r="S231" s="1932"/>
      <c r="T231" s="1932"/>
      <c r="U231" s="1932"/>
      <c r="W231" s="1932"/>
      <c r="X231" s="1936"/>
      <c r="Y231" s="1932"/>
      <c r="Z231" s="1932"/>
      <c r="AA231" s="1932"/>
      <c r="AB231" s="1932"/>
      <c r="AC231" s="1932"/>
      <c r="AD231" s="1932"/>
      <c r="AE231" s="1932"/>
      <c r="AF231" s="1932"/>
      <c r="AG231" s="1932"/>
      <c r="AH231" s="1932"/>
      <c r="AI231" s="1932"/>
      <c r="AJ231" s="1932"/>
      <c r="AK231" s="1932"/>
      <c r="AL231" s="1932"/>
      <c r="AM231" s="1932"/>
      <c r="AN231" s="1932"/>
      <c r="AO231" s="1932"/>
      <c r="AP231" s="1932"/>
      <c r="AQ231" s="1932"/>
    </row>
  </sheetData>
  <sheetProtection password="CBEB" sheet="1" objects="1" scenarios="1"/>
  <mergeCells count="509">
    <mergeCell ref="J7:J8"/>
    <mergeCell ref="K7:K8"/>
    <mergeCell ref="L7:L8"/>
    <mergeCell ref="M7:M8"/>
    <mergeCell ref="N7:N8"/>
    <mergeCell ref="O7:O8"/>
    <mergeCell ref="A1:AO4"/>
    <mergeCell ref="A5:M6"/>
    <mergeCell ref="N5:AQ5"/>
    <mergeCell ref="Y6:AN6"/>
    <mergeCell ref="A7:A8"/>
    <mergeCell ref="B7:C8"/>
    <mergeCell ref="D7:D8"/>
    <mergeCell ref="E7:F8"/>
    <mergeCell ref="G7:G8"/>
    <mergeCell ref="H7:I8"/>
    <mergeCell ref="AN7:AN8"/>
    <mergeCell ref="AO7:AO8"/>
    <mergeCell ref="AP7:AP8"/>
    <mergeCell ref="AQ7:AQ8"/>
    <mergeCell ref="AA7:AD7"/>
    <mergeCell ref="AE7:AJ7"/>
    <mergeCell ref="AK7:AM7"/>
    <mergeCell ref="V7:V8"/>
    <mergeCell ref="X7:X8"/>
    <mergeCell ref="Y7:Z7"/>
    <mergeCell ref="P7:P8"/>
    <mergeCell ref="Q7:Q8"/>
    <mergeCell ref="R7:R8"/>
    <mergeCell ref="S7:S8"/>
    <mergeCell ref="T7:T8"/>
    <mergeCell ref="U7:U8"/>
    <mergeCell ref="AQ12:AQ19"/>
    <mergeCell ref="AK12:AK19"/>
    <mergeCell ref="AL12:AL19"/>
    <mergeCell ref="AM12:AM19"/>
    <mergeCell ref="AN12:AN19"/>
    <mergeCell ref="B13:C13"/>
    <mergeCell ref="E13:F13"/>
    <mergeCell ref="H13:I13"/>
    <mergeCell ref="N13:N14"/>
    <mergeCell ref="X14:X15"/>
    <mergeCell ref="N15:N16"/>
    <mergeCell ref="T16:T19"/>
    <mergeCell ref="AI12:AI19"/>
    <mergeCell ref="AJ12:AJ19"/>
    <mergeCell ref="AC12:AC19"/>
    <mergeCell ref="AD12:AD19"/>
    <mergeCell ref="AE12:AE19"/>
    <mergeCell ref="AF12:AF19"/>
    <mergeCell ref="AG12:AG19"/>
    <mergeCell ref="AH12:AH19"/>
    <mergeCell ref="V12:V19"/>
    <mergeCell ref="X12:X13"/>
    <mergeCell ref="Y12:Y19"/>
    <mergeCell ref="Z12:Z19"/>
    <mergeCell ref="B18:C18"/>
    <mergeCell ref="E18:F18"/>
    <mergeCell ref="H18:I18"/>
    <mergeCell ref="X18:X19"/>
    <mergeCell ref="B19:C19"/>
    <mergeCell ref="E19:F19"/>
    <mergeCell ref="H19:I19"/>
    <mergeCell ref="AO12:AO19"/>
    <mergeCell ref="AP12:AP19"/>
    <mergeCell ref="AA12:AA19"/>
    <mergeCell ref="AB12:AB19"/>
    <mergeCell ref="X16:X17"/>
    <mergeCell ref="P12:P19"/>
    <mergeCell ref="Q12:Q19"/>
    <mergeCell ref="R12:R19"/>
    <mergeCell ref="S12:S19"/>
    <mergeCell ref="T12:T15"/>
    <mergeCell ref="U12:U19"/>
    <mergeCell ref="H12:I12"/>
    <mergeCell ref="J12:J19"/>
    <mergeCell ref="K12:K19"/>
    <mergeCell ref="L12:L19"/>
    <mergeCell ref="M12:M19"/>
    <mergeCell ref="O12:O19"/>
    <mergeCell ref="H20:I20"/>
    <mergeCell ref="J20:J27"/>
    <mergeCell ref="K20:K27"/>
    <mergeCell ref="L20:L27"/>
    <mergeCell ref="M20:M27"/>
    <mergeCell ref="O20:O27"/>
    <mergeCell ref="AQ20:AQ27"/>
    <mergeCell ref="B21:C21"/>
    <mergeCell ref="E21:F21"/>
    <mergeCell ref="H21:I21"/>
    <mergeCell ref="N22:N23"/>
    <mergeCell ref="N24:N25"/>
    <mergeCell ref="T24:T27"/>
    <mergeCell ref="AH20:AH27"/>
    <mergeCell ref="AI20:AI27"/>
    <mergeCell ref="AJ20:AJ27"/>
    <mergeCell ref="AK20:AK27"/>
    <mergeCell ref="AL20:AL27"/>
    <mergeCell ref="AM20:AM27"/>
    <mergeCell ref="AB20:AB27"/>
    <mergeCell ref="AC20:AC27"/>
    <mergeCell ref="AD20:AD27"/>
    <mergeCell ref="AE20:AE27"/>
    <mergeCell ref="AF20:AF27"/>
    <mergeCell ref="AN20:AN27"/>
    <mergeCell ref="AO20:AO27"/>
    <mergeCell ref="AP20:AP27"/>
    <mergeCell ref="AA20:AA27"/>
    <mergeCell ref="W24:W27"/>
    <mergeCell ref="X24:X27"/>
    <mergeCell ref="P20:P27"/>
    <mergeCell ref="Q20:Q27"/>
    <mergeCell ref="R20:R27"/>
    <mergeCell ref="S20:S27"/>
    <mergeCell ref="T20:T23"/>
    <mergeCell ref="U20:U27"/>
    <mergeCell ref="AG20:AG27"/>
    <mergeCell ref="V20:V27"/>
    <mergeCell ref="W20:W23"/>
    <mergeCell ref="X20:X23"/>
    <mergeCell ref="Y20:Y27"/>
    <mergeCell ref="Z20:Z27"/>
    <mergeCell ref="V28:V35"/>
    <mergeCell ref="W28:W35"/>
    <mergeCell ref="X28:X35"/>
    <mergeCell ref="Y28:Y35"/>
    <mergeCell ref="K28:K35"/>
    <mergeCell ref="B26:C26"/>
    <mergeCell ref="E26:F26"/>
    <mergeCell ref="H26:I26"/>
    <mergeCell ref="B27:C27"/>
    <mergeCell ref="E27:F27"/>
    <mergeCell ref="H27:I27"/>
    <mergeCell ref="E34:F34"/>
    <mergeCell ref="H34:I34"/>
    <mergeCell ref="AP28:AP35"/>
    <mergeCell ref="R36:R43"/>
    <mergeCell ref="S36:S43"/>
    <mergeCell ref="T36:T43"/>
    <mergeCell ref="U36:U43"/>
    <mergeCell ref="AN36:AN43"/>
    <mergeCell ref="AP36:AP43"/>
    <mergeCell ref="AQ28:AQ35"/>
    <mergeCell ref="B29:C29"/>
    <mergeCell ref="E29:F29"/>
    <mergeCell ref="H29:I29"/>
    <mergeCell ref="T32:T35"/>
    <mergeCell ref="B34:C34"/>
    <mergeCell ref="AG28:AG35"/>
    <mergeCell ref="AH28:AH35"/>
    <mergeCell ref="AI28:AI35"/>
    <mergeCell ref="AJ28:AJ35"/>
    <mergeCell ref="AK28:AK35"/>
    <mergeCell ref="AL28:AL35"/>
    <mergeCell ref="AA28:AA35"/>
    <mergeCell ref="AB28:AB35"/>
    <mergeCell ref="AC28:AC35"/>
    <mergeCell ref="AD28:AD35"/>
    <mergeCell ref="AE28:AE35"/>
    <mergeCell ref="AO36:AO43"/>
    <mergeCell ref="B35:C35"/>
    <mergeCell ref="E35:F35"/>
    <mergeCell ref="H35:I35"/>
    <mergeCell ref="H36:I36"/>
    <mergeCell ref="AM28:AM35"/>
    <mergeCell ref="AN28:AN35"/>
    <mergeCell ref="AO28:AO35"/>
    <mergeCell ref="Z28:Z35"/>
    <mergeCell ref="O28:O35"/>
    <mergeCell ref="P28:P35"/>
    <mergeCell ref="Q28:Q35"/>
    <mergeCell ref="R28:R35"/>
    <mergeCell ref="S28:S35"/>
    <mergeCell ref="T28:T31"/>
    <mergeCell ref="H28:I28"/>
    <mergeCell ref="J28:J35"/>
    <mergeCell ref="L28:L35"/>
    <mergeCell ref="M28:M35"/>
    <mergeCell ref="N28:N35"/>
    <mergeCell ref="X36:X43"/>
    <mergeCell ref="Y36:Y43"/>
    <mergeCell ref="AF28:AF35"/>
    <mergeCell ref="U28:U35"/>
    <mergeCell ref="AQ36:AQ43"/>
    <mergeCell ref="B37:C37"/>
    <mergeCell ref="E37:F37"/>
    <mergeCell ref="H37:I37"/>
    <mergeCell ref="B42:C42"/>
    <mergeCell ref="E42:F42"/>
    <mergeCell ref="H42:I42"/>
    <mergeCell ref="AH36:AH43"/>
    <mergeCell ref="AI36:AI43"/>
    <mergeCell ref="AJ36:AJ43"/>
    <mergeCell ref="AK36:AK43"/>
    <mergeCell ref="AL36:AL43"/>
    <mergeCell ref="AM36:AM43"/>
    <mergeCell ref="AB36:AB43"/>
    <mergeCell ref="AC36:AC43"/>
    <mergeCell ref="AD36:AD43"/>
    <mergeCell ref="AE36:AE43"/>
    <mergeCell ref="AF36:AF43"/>
    <mergeCell ref="AG36:AG43"/>
    <mergeCell ref="V36:V43"/>
    <mergeCell ref="W36:W43"/>
    <mergeCell ref="Z36:Z43"/>
    <mergeCell ref="Q36:Q43"/>
    <mergeCell ref="AA36:AA43"/>
    <mergeCell ref="L44:L51"/>
    <mergeCell ref="M44:M51"/>
    <mergeCell ref="N44:N51"/>
    <mergeCell ref="O44:O51"/>
    <mergeCell ref="P44:P51"/>
    <mergeCell ref="Q44:Q51"/>
    <mergeCell ref="B43:C43"/>
    <mergeCell ref="E43:F43"/>
    <mergeCell ref="H43:I43"/>
    <mergeCell ref="H44:I44"/>
    <mergeCell ref="J44:J51"/>
    <mergeCell ref="K44:K51"/>
    <mergeCell ref="H50:I50"/>
    <mergeCell ref="B51:C51"/>
    <mergeCell ref="E51:F51"/>
    <mergeCell ref="H51:I51"/>
    <mergeCell ref="J36:J43"/>
    <mergeCell ref="K36:K43"/>
    <mergeCell ref="L36:L43"/>
    <mergeCell ref="M36:M43"/>
    <mergeCell ref="N36:N43"/>
    <mergeCell ref="O36:O43"/>
    <mergeCell ref="P36:P43"/>
    <mergeCell ref="Y44:Y51"/>
    <mergeCell ref="Z44:Z51"/>
    <mergeCell ref="AA44:AA51"/>
    <mergeCell ref="AB44:AB51"/>
    <mergeCell ref="AC44:AC51"/>
    <mergeCell ref="R44:R51"/>
    <mergeCell ref="S44:S51"/>
    <mergeCell ref="T44:T47"/>
    <mergeCell ref="U44:U47"/>
    <mergeCell ref="V44:V47"/>
    <mergeCell ref="W44:W51"/>
    <mergeCell ref="N52:N59"/>
    <mergeCell ref="AP44:AP51"/>
    <mergeCell ref="AQ44:AQ51"/>
    <mergeCell ref="B45:C45"/>
    <mergeCell ref="E45:F45"/>
    <mergeCell ref="H45:I45"/>
    <mergeCell ref="T48:T51"/>
    <mergeCell ref="U48:U51"/>
    <mergeCell ref="V48:V51"/>
    <mergeCell ref="B50:C50"/>
    <mergeCell ref="E50:F50"/>
    <mergeCell ref="AJ44:AJ51"/>
    <mergeCell ref="AK44:AK51"/>
    <mergeCell ref="AL44:AL51"/>
    <mergeCell ref="AM44:AM51"/>
    <mergeCell ref="AN44:AN51"/>
    <mergeCell ref="AO44:AO51"/>
    <mergeCell ref="AD44:AD51"/>
    <mergeCell ref="AE44:AE51"/>
    <mergeCell ref="AF44:AF51"/>
    <mergeCell ref="AG44:AG51"/>
    <mergeCell ref="AH44:AH51"/>
    <mergeCell ref="AI44:AI51"/>
    <mergeCell ref="X44:X51"/>
    <mergeCell ref="AP52:AP59"/>
    <mergeCell ref="AQ52:AQ59"/>
    <mergeCell ref="B53:C53"/>
    <mergeCell ref="E53:F53"/>
    <mergeCell ref="H53:I53"/>
    <mergeCell ref="U55:U56"/>
    <mergeCell ref="V55:V56"/>
    <mergeCell ref="AG52:AG59"/>
    <mergeCell ref="AH52:AH59"/>
    <mergeCell ref="AI52:AI59"/>
    <mergeCell ref="AJ52:AJ59"/>
    <mergeCell ref="AK52:AK59"/>
    <mergeCell ref="AL52:AL59"/>
    <mergeCell ref="AA52:AA59"/>
    <mergeCell ref="AB52:AB59"/>
    <mergeCell ref="AC52:AC59"/>
    <mergeCell ref="AD52:AD59"/>
    <mergeCell ref="AE52:AE59"/>
    <mergeCell ref="AF52:AF59"/>
    <mergeCell ref="U52:U54"/>
    <mergeCell ref="V52:V54"/>
    <mergeCell ref="W52:W59"/>
    <mergeCell ref="X52:X59"/>
    <mergeCell ref="Y52:Y59"/>
    <mergeCell ref="B58:C58"/>
    <mergeCell ref="E58:F58"/>
    <mergeCell ref="H58:I58"/>
    <mergeCell ref="B59:C59"/>
    <mergeCell ref="E59:F59"/>
    <mergeCell ref="H59:I59"/>
    <mergeCell ref="AM52:AM59"/>
    <mergeCell ref="AN52:AN59"/>
    <mergeCell ref="AO52:AO59"/>
    <mergeCell ref="Z52:Z59"/>
    <mergeCell ref="U57:U59"/>
    <mergeCell ref="V57:V59"/>
    <mergeCell ref="O52:O59"/>
    <mergeCell ref="P52:P59"/>
    <mergeCell ref="Q52:Q59"/>
    <mergeCell ref="R52:R59"/>
    <mergeCell ref="S52:S59"/>
    <mergeCell ref="T52:T56"/>
    <mergeCell ref="T57:T59"/>
    <mergeCell ref="H52:I52"/>
    <mergeCell ref="J52:J59"/>
    <mergeCell ref="K52:K59"/>
    <mergeCell ref="L52:L59"/>
    <mergeCell ref="M52:M59"/>
    <mergeCell ref="R63:R73"/>
    <mergeCell ref="S63:S73"/>
    <mergeCell ref="T63:T67"/>
    <mergeCell ref="A61:C73"/>
    <mergeCell ref="E61:L61"/>
    <mergeCell ref="D62:F73"/>
    <mergeCell ref="H62:N62"/>
    <mergeCell ref="G63:I73"/>
    <mergeCell ref="J63:J67"/>
    <mergeCell ref="K63:K67"/>
    <mergeCell ref="L63:L67"/>
    <mergeCell ref="M63:M67"/>
    <mergeCell ref="J72:J73"/>
    <mergeCell ref="T72:T73"/>
    <mergeCell ref="Y63:Y73"/>
    <mergeCell ref="Z63:Z73"/>
    <mergeCell ref="AA63:AA73"/>
    <mergeCell ref="AB63:AB73"/>
    <mergeCell ref="X68:X69"/>
    <mergeCell ref="W70:W71"/>
    <mergeCell ref="X70:X71"/>
    <mergeCell ref="X72:X73"/>
    <mergeCell ref="W72:W73"/>
    <mergeCell ref="AO63:AO73"/>
    <mergeCell ref="AP63:AP73"/>
    <mergeCell ref="AQ63:AQ73"/>
    <mergeCell ref="J68:J71"/>
    <mergeCell ref="K68:K71"/>
    <mergeCell ref="L68:L71"/>
    <mergeCell ref="M68:M71"/>
    <mergeCell ref="Q68:Q71"/>
    <mergeCell ref="T68:T71"/>
    <mergeCell ref="W68:W69"/>
    <mergeCell ref="AI63:AI73"/>
    <mergeCell ref="AJ63:AJ73"/>
    <mergeCell ref="AK63:AK73"/>
    <mergeCell ref="AL63:AL73"/>
    <mergeCell ref="AM63:AM73"/>
    <mergeCell ref="AN63:AN73"/>
    <mergeCell ref="AC63:AC73"/>
    <mergeCell ref="AD63:AD73"/>
    <mergeCell ref="AE63:AE73"/>
    <mergeCell ref="AF63:AF73"/>
    <mergeCell ref="AG63:AG73"/>
    <mergeCell ref="AH63:AH73"/>
    <mergeCell ref="W63:W67"/>
    <mergeCell ref="X63:X67"/>
    <mergeCell ref="M75:M80"/>
    <mergeCell ref="J91:J94"/>
    <mergeCell ref="K91:K94"/>
    <mergeCell ref="L91:L94"/>
    <mergeCell ref="M91:M94"/>
    <mergeCell ref="K72:K73"/>
    <mergeCell ref="L72:L73"/>
    <mergeCell ref="M72:M73"/>
    <mergeCell ref="Q72:Q73"/>
    <mergeCell ref="O63:O73"/>
    <mergeCell ref="P63:P73"/>
    <mergeCell ref="Q63:Q67"/>
    <mergeCell ref="AF75:AF103"/>
    <mergeCell ref="AG75:AG103"/>
    <mergeCell ref="AH75:AH103"/>
    <mergeCell ref="AI75:AI103"/>
    <mergeCell ref="AJ75:AJ103"/>
    <mergeCell ref="Y75:Y103"/>
    <mergeCell ref="Z75:Z103"/>
    <mergeCell ref="AA75:AA103"/>
    <mergeCell ref="AB75:AB103"/>
    <mergeCell ref="AC75:AC103"/>
    <mergeCell ref="AD75:AD103"/>
    <mergeCell ref="U91:U92"/>
    <mergeCell ref="V91:V92"/>
    <mergeCell ref="J95:J96"/>
    <mergeCell ref="K95:K96"/>
    <mergeCell ref="L95:L96"/>
    <mergeCell ref="M95:M96"/>
    <mergeCell ref="Q95:Q96"/>
    <mergeCell ref="AQ75:AQ103"/>
    <mergeCell ref="J81:J84"/>
    <mergeCell ref="K81:K84"/>
    <mergeCell ref="L81:L84"/>
    <mergeCell ref="M81:M84"/>
    <mergeCell ref="Q81:Q84"/>
    <mergeCell ref="J85:J90"/>
    <mergeCell ref="K85:K90"/>
    <mergeCell ref="M85:M90"/>
    <mergeCell ref="Q85:Q90"/>
    <mergeCell ref="AK75:AK103"/>
    <mergeCell ref="AL75:AL103"/>
    <mergeCell ref="AM75:AM103"/>
    <mergeCell ref="AN75:AN103"/>
    <mergeCell ref="AO75:AO103"/>
    <mergeCell ref="AP75:AP103"/>
    <mergeCell ref="AE75:AE103"/>
    <mergeCell ref="M100:M101"/>
    <mergeCell ref="Q100:Q101"/>
    <mergeCell ref="J102:J103"/>
    <mergeCell ref="K102:K103"/>
    <mergeCell ref="L102:L103"/>
    <mergeCell ref="M102:M103"/>
    <mergeCell ref="Q102:Q103"/>
    <mergeCell ref="W95:W96"/>
    <mergeCell ref="X95:X96"/>
    <mergeCell ref="J97:J99"/>
    <mergeCell ref="K97:K99"/>
    <mergeCell ref="L97:L99"/>
    <mergeCell ref="M97:M99"/>
    <mergeCell ref="Q97:Q99"/>
    <mergeCell ref="O75:O103"/>
    <mergeCell ref="P75:P103"/>
    <mergeCell ref="Q75:Q80"/>
    <mergeCell ref="R75:R103"/>
    <mergeCell ref="S75:S103"/>
    <mergeCell ref="T75:T103"/>
    <mergeCell ref="Q91:Q94"/>
    <mergeCell ref="J75:J80"/>
    <mergeCell ref="K75:K80"/>
    <mergeCell ref="L75:L80"/>
    <mergeCell ref="A104:C107"/>
    <mergeCell ref="D104:F107"/>
    <mergeCell ref="G104:I107"/>
    <mergeCell ref="J104:J107"/>
    <mergeCell ref="K104:K107"/>
    <mergeCell ref="L104:L107"/>
    <mergeCell ref="J100:J101"/>
    <mergeCell ref="K100:K101"/>
    <mergeCell ref="L100:L101"/>
    <mergeCell ref="D74:F103"/>
    <mergeCell ref="G75:I103"/>
    <mergeCell ref="S104:S107"/>
    <mergeCell ref="T104:T107"/>
    <mergeCell ref="U104:U107"/>
    <mergeCell ref="V104:V107"/>
    <mergeCell ref="W104:W107"/>
    <mergeCell ref="X104:X107"/>
    <mergeCell ref="M104:M107"/>
    <mergeCell ref="N104:N107"/>
    <mergeCell ref="O104:O107"/>
    <mergeCell ref="P104:P107"/>
    <mergeCell ref="Q104:Q107"/>
    <mergeCell ref="R104:R107"/>
    <mergeCell ref="AG104:AG107"/>
    <mergeCell ref="AH104:AH107"/>
    <mergeCell ref="AI104:AI107"/>
    <mergeCell ref="AJ104:AJ107"/>
    <mergeCell ref="Y104:Y107"/>
    <mergeCell ref="Z104:Z107"/>
    <mergeCell ref="AA104:AA107"/>
    <mergeCell ref="AB104:AB107"/>
    <mergeCell ref="AC104:AC107"/>
    <mergeCell ref="AD104:AD107"/>
    <mergeCell ref="O111:O113"/>
    <mergeCell ref="P111:P113"/>
    <mergeCell ref="Q111:Q113"/>
    <mergeCell ref="R111:R113"/>
    <mergeCell ref="S111:S113"/>
    <mergeCell ref="T111:T113"/>
    <mergeCell ref="AQ104:AQ107"/>
    <mergeCell ref="A109:C113"/>
    <mergeCell ref="E109:L109"/>
    <mergeCell ref="D110:F113"/>
    <mergeCell ref="G111:I113"/>
    <mergeCell ref="J111:J113"/>
    <mergeCell ref="K111:K113"/>
    <mergeCell ref="L111:L113"/>
    <mergeCell ref="M111:M113"/>
    <mergeCell ref="N111:N113"/>
    <mergeCell ref="AK104:AK107"/>
    <mergeCell ref="AL104:AL107"/>
    <mergeCell ref="AM104:AM107"/>
    <mergeCell ref="AN104:AN107"/>
    <mergeCell ref="AO104:AO107"/>
    <mergeCell ref="AP104:AP107"/>
    <mergeCell ref="AE104:AE107"/>
    <mergeCell ref="AF104:AF107"/>
    <mergeCell ref="AC111:AC113"/>
    <mergeCell ref="AD111:AD113"/>
    <mergeCell ref="AE111:AE113"/>
    <mergeCell ref="AF111:AF113"/>
    <mergeCell ref="AG111:AG113"/>
    <mergeCell ref="AH111:AH113"/>
    <mergeCell ref="W111:W113"/>
    <mergeCell ref="X111:X113"/>
    <mergeCell ref="Y111:Y113"/>
    <mergeCell ref="Z111:Z113"/>
    <mergeCell ref="AA111:AA113"/>
    <mergeCell ref="AB111:AB113"/>
    <mergeCell ref="AO111:AO113"/>
    <mergeCell ref="AP111:AP113"/>
    <mergeCell ref="AQ111:AQ113"/>
    <mergeCell ref="AI111:AI113"/>
    <mergeCell ref="AJ111:AJ113"/>
    <mergeCell ref="AK111:AK113"/>
    <mergeCell ref="AL111:AL113"/>
    <mergeCell ref="AM111:AM113"/>
    <mergeCell ref="AN111:AN1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K192"/>
  <sheetViews>
    <sheetView showGridLines="0" zoomScale="50" zoomScaleNormal="50" workbookViewId="0">
      <selection activeCell="A5" sqref="A5:M6"/>
    </sheetView>
  </sheetViews>
  <sheetFormatPr baseColWidth="10" defaultColWidth="11.42578125" defaultRowHeight="27" customHeight="1" x14ac:dyDescent="0.2"/>
  <cols>
    <col min="1" max="1" width="13.140625" style="202" customWidth="1"/>
    <col min="2" max="2" width="4" style="110" customWidth="1"/>
    <col min="3" max="3" width="15.140625" style="110" customWidth="1"/>
    <col min="4" max="4" width="14.7109375" style="110" customWidth="1"/>
    <col min="5" max="5" width="10" style="110" customWidth="1"/>
    <col min="6" max="6" width="8.85546875" style="110" customWidth="1"/>
    <col min="7" max="7" width="14.28515625" style="110" customWidth="1"/>
    <col min="8" max="8" width="8.5703125" style="110" customWidth="1"/>
    <col min="9" max="9" width="16.85546875" style="110" customWidth="1"/>
    <col min="10" max="10" width="14" style="110" customWidth="1"/>
    <col min="11" max="11" width="28" style="1340" customWidth="1"/>
    <col min="12" max="12" width="23.7109375" style="199" customWidth="1"/>
    <col min="13" max="13" width="22" style="109" customWidth="1"/>
    <col min="14" max="14" width="34.140625" style="199" customWidth="1"/>
    <col min="15" max="15" width="19.42578125" style="1185" customWidth="1"/>
    <col min="16" max="16" width="17" style="210" customWidth="1"/>
    <col min="17" max="17" width="16.7109375" style="214" customWidth="1"/>
    <col min="18" max="18" width="26.85546875" style="1342" customWidth="1"/>
    <col min="19" max="20" width="28" style="210" customWidth="1"/>
    <col min="21" max="21" width="30" style="1340" customWidth="1"/>
    <col min="22" max="22" width="27.140625" style="1343" customWidth="1"/>
    <col min="23" max="23" width="11.7109375" style="209" customWidth="1"/>
    <col min="24" max="24" width="21.85546875" style="691" customWidth="1"/>
    <col min="25" max="25" width="10.28515625" style="110" customWidth="1"/>
    <col min="26" max="26" width="9.5703125" style="110" bestFit="1" customWidth="1"/>
    <col min="27" max="27" width="9.28515625" style="110" bestFit="1" customWidth="1"/>
    <col min="28" max="28" width="8.28515625" style="110" bestFit="1" customWidth="1"/>
    <col min="29" max="29" width="9.7109375" style="110" customWidth="1"/>
    <col min="30" max="30" width="10.140625" style="110" customWidth="1"/>
    <col min="31" max="31" width="6.85546875" style="110" bestFit="1" customWidth="1"/>
    <col min="32" max="32" width="8.140625" style="110" bestFit="1" customWidth="1"/>
    <col min="33" max="33" width="3.85546875" style="110" customWidth="1"/>
    <col min="34" max="34" width="5" style="110" customWidth="1"/>
    <col min="35" max="35" width="4.42578125" style="110" customWidth="1"/>
    <col min="36" max="36" width="5.5703125" style="110" customWidth="1"/>
    <col min="37" max="37" width="8.7109375" style="110" customWidth="1"/>
    <col min="38" max="38" width="9.5703125" style="110" customWidth="1"/>
    <col min="39" max="39" width="9" style="110" customWidth="1"/>
    <col min="40" max="40" width="9.85546875" style="110" customWidth="1"/>
    <col min="41" max="41" width="19.140625" style="211" customWidth="1"/>
    <col min="42" max="42" width="24.7109375" style="212" customWidth="1"/>
    <col min="43" max="43" width="25.140625" style="1181" customWidth="1"/>
    <col min="44" max="16384" width="11.42578125" style="110"/>
  </cols>
  <sheetData>
    <row r="1" spans="1:63" ht="16.5" customHeight="1" x14ac:dyDescent="0.2">
      <c r="A1" s="2323" t="s">
        <v>1379</v>
      </c>
      <c r="B1" s="2324"/>
      <c r="C1" s="2324"/>
      <c r="D1" s="2324"/>
      <c r="E1" s="2324"/>
      <c r="F1" s="2324"/>
      <c r="G1" s="2324"/>
      <c r="H1" s="2324"/>
      <c r="I1" s="2324"/>
      <c r="J1" s="2324"/>
      <c r="K1" s="2324"/>
      <c r="L1" s="2324"/>
      <c r="M1" s="2324"/>
      <c r="N1" s="2324"/>
      <c r="O1" s="2324"/>
      <c r="P1" s="2324"/>
      <c r="Q1" s="2324"/>
      <c r="R1" s="2324"/>
      <c r="S1" s="2324"/>
      <c r="T1" s="2324"/>
      <c r="U1" s="2324"/>
      <c r="V1" s="2324"/>
      <c r="W1" s="2324"/>
      <c r="X1" s="2324"/>
      <c r="Y1" s="2324"/>
      <c r="Z1" s="2324"/>
      <c r="AA1" s="2324"/>
      <c r="AB1" s="2324"/>
      <c r="AC1" s="2324"/>
      <c r="AD1" s="2324"/>
      <c r="AE1" s="2324"/>
      <c r="AF1" s="2324"/>
      <c r="AG1" s="2324"/>
      <c r="AH1" s="2324"/>
      <c r="AI1" s="2324"/>
      <c r="AJ1" s="2324"/>
      <c r="AK1" s="2324"/>
      <c r="AL1" s="2324"/>
      <c r="AM1" s="2324"/>
      <c r="AN1" s="2324"/>
      <c r="AO1" s="2324"/>
      <c r="AP1" s="2325"/>
      <c r="AQ1" s="1192" t="s">
        <v>131</v>
      </c>
      <c r="AR1" s="109"/>
      <c r="AS1" s="109"/>
      <c r="AT1" s="109"/>
      <c r="AU1" s="109"/>
      <c r="AV1" s="109"/>
      <c r="AW1" s="109"/>
      <c r="AX1" s="109"/>
      <c r="AY1" s="109"/>
      <c r="AZ1" s="109"/>
      <c r="BA1" s="109"/>
      <c r="BB1" s="109"/>
      <c r="BC1" s="109"/>
      <c r="BD1" s="109"/>
      <c r="BE1" s="109"/>
      <c r="BF1" s="109"/>
      <c r="BG1" s="109"/>
      <c r="BH1" s="109"/>
      <c r="BI1" s="109"/>
      <c r="BJ1" s="109"/>
      <c r="BK1" s="109"/>
    </row>
    <row r="2" spans="1:63" ht="16.5" customHeight="1" x14ac:dyDescent="0.2">
      <c r="A2" s="2326"/>
      <c r="B2" s="2252"/>
      <c r="C2" s="2252"/>
      <c r="D2" s="2252"/>
      <c r="E2" s="2252"/>
      <c r="F2" s="2252"/>
      <c r="G2" s="2252"/>
      <c r="H2" s="2252"/>
      <c r="I2" s="2252"/>
      <c r="J2" s="2252"/>
      <c r="K2" s="2252"/>
      <c r="L2" s="2252"/>
      <c r="M2" s="2252"/>
      <c r="N2" s="2252"/>
      <c r="O2" s="2252"/>
      <c r="P2" s="2252"/>
      <c r="Q2" s="2252"/>
      <c r="R2" s="2252"/>
      <c r="S2" s="2252"/>
      <c r="T2" s="2252"/>
      <c r="U2" s="2252"/>
      <c r="V2" s="2252"/>
      <c r="W2" s="2252"/>
      <c r="X2" s="2252"/>
      <c r="Y2" s="2252"/>
      <c r="Z2" s="2252"/>
      <c r="AA2" s="2252"/>
      <c r="AB2" s="2252"/>
      <c r="AC2" s="2252"/>
      <c r="AD2" s="2252"/>
      <c r="AE2" s="2252"/>
      <c r="AF2" s="2252"/>
      <c r="AG2" s="2252"/>
      <c r="AH2" s="2252"/>
      <c r="AI2" s="2252"/>
      <c r="AJ2" s="2252"/>
      <c r="AK2" s="2252"/>
      <c r="AL2" s="2252"/>
      <c r="AM2" s="2252"/>
      <c r="AN2" s="2252"/>
      <c r="AO2" s="2252"/>
      <c r="AP2" s="2253"/>
      <c r="AQ2" s="1193" t="s">
        <v>135</v>
      </c>
      <c r="AR2" s="109"/>
      <c r="AS2" s="109"/>
      <c r="AT2" s="109"/>
      <c r="AU2" s="109"/>
      <c r="AV2" s="109"/>
      <c r="AW2" s="109"/>
      <c r="AX2" s="109"/>
      <c r="AY2" s="109"/>
      <c r="AZ2" s="109"/>
      <c r="BA2" s="109"/>
      <c r="BB2" s="109"/>
      <c r="BC2" s="109"/>
      <c r="BD2" s="109"/>
      <c r="BE2" s="109"/>
      <c r="BF2" s="109"/>
      <c r="BG2" s="109"/>
      <c r="BH2" s="109"/>
      <c r="BI2" s="109"/>
      <c r="BJ2" s="109"/>
      <c r="BK2" s="109"/>
    </row>
    <row r="3" spans="1:63" ht="16.5" customHeight="1" x14ac:dyDescent="0.2">
      <c r="A3" s="2326"/>
      <c r="B3" s="2252"/>
      <c r="C3" s="2252"/>
      <c r="D3" s="2252"/>
      <c r="E3" s="2252"/>
      <c r="F3" s="2252"/>
      <c r="G3" s="2252"/>
      <c r="H3" s="2252"/>
      <c r="I3" s="2252"/>
      <c r="J3" s="2252"/>
      <c r="K3" s="2252"/>
      <c r="L3" s="2252"/>
      <c r="M3" s="2252"/>
      <c r="N3" s="2252"/>
      <c r="O3" s="2252"/>
      <c r="P3" s="2252"/>
      <c r="Q3" s="2252"/>
      <c r="R3" s="2252"/>
      <c r="S3" s="2252"/>
      <c r="T3" s="2252"/>
      <c r="U3" s="2252"/>
      <c r="V3" s="2252"/>
      <c r="W3" s="2252"/>
      <c r="X3" s="2252"/>
      <c r="Y3" s="2252"/>
      <c r="Z3" s="2252"/>
      <c r="AA3" s="2252"/>
      <c r="AB3" s="2252"/>
      <c r="AC3" s="2252"/>
      <c r="AD3" s="2252"/>
      <c r="AE3" s="2252"/>
      <c r="AF3" s="2252"/>
      <c r="AG3" s="2252"/>
      <c r="AH3" s="2252"/>
      <c r="AI3" s="2252"/>
      <c r="AJ3" s="2252"/>
      <c r="AK3" s="2252"/>
      <c r="AL3" s="2252"/>
      <c r="AM3" s="2252"/>
      <c r="AN3" s="2252"/>
      <c r="AO3" s="2252"/>
      <c r="AP3" s="2253"/>
      <c r="AQ3" s="1193" t="s">
        <v>136</v>
      </c>
      <c r="AR3" s="109"/>
      <c r="AS3" s="109"/>
      <c r="AT3" s="109"/>
      <c r="AU3" s="109"/>
      <c r="AV3" s="109"/>
      <c r="AW3" s="109"/>
      <c r="AX3" s="109"/>
      <c r="AY3" s="109"/>
      <c r="AZ3" s="109"/>
      <c r="BA3" s="109"/>
      <c r="BB3" s="109"/>
      <c r="BC3" s="109"/>
      <c r="BD3" s="109"/>
      <c r="BE3" s="109"/>
      <c r="BF3" s="109"/>
      <c r="BG3" s="109"/>
      <c r="BH3" s="109"/>
      <c r="BI3" s="109"/>
      <c r="BJ3" s="109"/>
      <c r="BK3" s="109"/>
    </row>
    <row r="4" spans="1:63" ht="16.5" customHeight="1" x14ac:dyDescent="0.2">
      <c r="A4" s="2327"/>
      <c r="B4" s="2254"/>
      <c r="C4" s="2254"/>
      <c r="D4" s="2254"/>
      <c r="E4" s="2254"/>
      <c r="F4" s="2254"/>
      <c r="G4" s="2254"/>
      <c r="H4" s="2254"/>
      <c r="I4" s="2254"/>
      <c r="J4" s="2254"/>
      <c r="K4" s="2254"/>
      <c r="L4" s="2254"/>
      <c r="M4" s="2254"/>
      <c r="N4" s="2254"/>
      <c r="O4" s="2254"/>
      <c r="P4" s="2254"/>
      <c r="Q4" s="2254"/>
      <c r="R4" s="2254"/>
      <c r="S4" s="2254"/>
      <c r="T4" s="2254"/>
      <c r="U4" s="2254"/>
      <c r="V4" s="2254"/>
      <c r="W4" s="2254"/>
      <c r="X4" s="2254"/>
      <c r="Y4" s="2254"/>
      <c r="Z4" s="2254"/>
      <c r="AA4" s="2254"/>
      <c r="AB4" s="2254"/>
      <c r="AC4" s="2254"/>
      <c r="AD4" s="2254"/>
      <c r="AE4" s="2254"/>
      <c r="AF4" s="2254"/>
      <c r="AG4" s="2254"/>
      <c r="AH4" s="2254"/>
      <c r="AI4" s="2254"/>
      <c r="AJ4" s="2254"/>
      <c r="AK4" s="2254"/>
      <c r="AL4" s="2254"/>
      <c r="AM4" s="2254"/>
      <c r="AN4" s="2254"/>
      <c r="AO4" s="2254"/>
      <c r="AP4" s="2255"/>
      <c r="AQ4" s="1194" t="s">
        <v>1</v>
      </c>
      <c r="AR4" s="109"/>
      <c r="AS4" s="109"/>
      <c r="AT4" s="109"/>
      <c r="AU4" s="109"/>
      <c r="AV4" s="109"/>
      <c r="AW4" s="109"/>
      <c r="AX4" s="109"/>
      <c r="AY4" s="109"/>
      <c r="AZ4" s="109"/>
      <c r="BA4" s="109"/>
      <c r="BB4" s="109"/>
      <c r="BC4" s="109"/>
      <c r="BD4" s="109"/>
      <c r="BE4" s="109"/>
      <c r="BF4" s="109"/>
      <c r="BG4" s="109"/>
      <c r="BH4" s="109"/>
      <c r="BI4" s="109"/>
      <c r="BJ4" s="109"/>
      <c r="BK4" s="109"/>
    </row>
    <row r="5" spans="1:63" ht="18" customHeight="1" x14ac:dyDescent="0.2">
      <c r="A5" s="2328" t="s">
        <v>2</v>
      </c>
      <c r="B5" s="2329"/>
      <c r="C5" s="2329"/>
      <c r="D5" s="2329"/>
      <c r="E5" s="2329"/>
      <c r="F5" s="2329"/>
      <c r="G5" s="2329"/>
      <c r="H5" s="2329"/>
      <c r="I5" s="2329"/>
      <c r="J5" s="2329"/>
      <c r="K5" s="2329"/>
      <c r="L5" s="2329"/>
      <c r="M5" s="2329"/>
      <c r="N5" s="2258" t="s">
        <v>3</v>
      </c>
      <c r="O5" s="2258"/>
      <c r="P5" s="2258"/>
      <c r="Q5" s="2258"/>
      <c r="R5" s="2258"/>
      <c r="S5" s="2258"/>
      <c r="T5" s="2258"/>
      <c r="U5" s="2258"/>
      <c r="V5" s="2258"/>
      <c r="W5" s="2258"/>
      <c r="X5" s="2258"/>
      <c r="Y5" s="2258"/>
      <c r="Z5" s="2258"/>
      <c r="AA5" s="2258"/>
      <c r="AB5" s="2258"/>
      <c r="AC5" s="2258"/>
      <c r="AD5" s="2258"/>
      <c r="AE5" s="2258"/>
      <c r="AF5" s="2258"/>
      <c r="AG5" s="2258"/>
      <c r="AH5" s="2258"/>
      <c r="AI5" s="2258"/>
      <c r="AJ5" s="2258"/>
      <c r="AK5" s="2258"/>
      <c r="AL5" s="2258"/>
      <c r="AM5" s="2258"/>
      <c r="AN5" s="2258"/>
      <c r="AO5" s="2258"/>
      <c r="AP5" s="2258"/>
      <c r="AQ5" s="2332"/>
      <c r="AR5" s="109"/>
      <c r="AS5" s="109"/>
      <c r="AT5" s="109"/>
      <c r="AU5" s="109"/>
      <c r="AV5" s="109"/>
      <c r="AW5" s="109"/>
      <c r="AX5" s="109"/>
      <c r="AY5" s="109"/>
      <c r="AZ5" s="109"/>
      <c r="BA5" s="109"/>
      <c r="BB5" s="109"/>
      <c r="BC5" s="109"/>
      <c r="BD5" s="109"/>
      <c r="BE5" s="109"/>
      <c r="BF5" s="109"/>
      <c r="BG5" s="109"/>
      <c r="BH5" s="109"/>
      <c r="BI5" s="109"/>
      <c r="BJ5" s="109"/>
      <c r="BK5" s="109"/>
    </row>
    <row r="6" spans="1:63" ht="18.75" customHeight="1" x14ac:dyDescent="0.2">
      <c r="A6" s="2330"/>
      <c r="B6" s="2331"/>
      <c r="C6" s="2331"/>
      <c r="D6" s="2331"/>
      <c r="E6" s="2331"/>
      <c r="F6" s="2331"/>
      <c r="G6" s="2331"/>
      <c r="H6" s="2331"/>
      <c r="I6" s="2331"/>
      <c r="J6" s="2331"/>
      <c r="K6" s="2331"/>
      <c r="L6" s="2331"/>
      <c r="M6" s="2331"/>
      <c r="N6" s="1195"/>
      <c r="O6" s="1118"/>
      <c r="P6" s="1179"/>
      <c r="Q6" s="120"/>
      <c r="R6" s="120"/>
      <c r="S6" s="1179"/>
      <c r="T6" s="1179"/>
      <c r="U6" s="1196"/>
      <c r="V6" s="1197"/>
      <c r="W6" s="120"/>
      <c r="X6" s="1182"/>
      <c r="Y6" s="2333" t="s">
        <v>4</v>
      </c>
      <c r="Z6" s="2331"/>
      <c r="AA6" s="2331"/>
      <c r="AB6" s="2331"/>
      <c r="AC6" s="2331"/>
      <c r="AD6" s="2331"/>
      <c r="AE6" s="2331"/>
      <c r="AF6" s="2331"/>
      <c r="AG6" s="2331"/>
      <c r="AH6" s="2331"/>
      <c r="AI6" s="2331"/>
      <c r="AJ6" s="2331"/>
      <c r="AK6" s="2331"/>
      <c r="AL6" s="2331"/>
      <c r="AM6" s="2334"/>
      <c r="AN6" s="1182"/>
      <c r="AO6" s="120"/>
      <c r="AP6" s="120"/>
      <c r="AQ6" s="1198"/>
      <c r="AR6" s="109"/>
      <c r="AS6" s="109"/>
      <c r="AT6" s="109"/>
      <c r="AU6" s="109"/>
      <c r="AV6" s="109"/>
      <c r="AW6" s="109"/>
      <c r="AX6" s="109"/>
      <c r="AY6" s="109"/>
      <c r="AZ6" s="109"/>
      <c r="BA6" s="109"/>
      <c r="BB6" s="109"/>
      <c r="BC6" s="109"/>
      <c r="BD6" s="109"/>
      <c r="BE6" s="109"/>
      <c r="BF6" s="109"/>
      <c r="BG6" s="109"/>
      <c r="BH6" s="109"/>
      <c r="BI6" s="109"/>
      <c r="BJ6" s="109"/>
      <c r="BK6" s="109"/>
    </row>
    <row r="7" spans="1:63" s="308" customFormat="1" ht="57" customHeight="1" x14ac:dyDescent="0.25">
      <c r="A7" s="2546" t="s">
        <v>5</v>
      </c>
      <c r="B7" s="2545" t="s">
        <v>6</v>
      </c>
      <c r="C7" s="2545"/>
      <c r="D7" s="2545" t="s">
        <v>5</v>
      </c>
      <c r="E7" s="2545" t="s">
        <v>7</v>
      </c>
      <c r="F7" s="2545"/>
      <c r="G7" s="2545" t="s">
        <v>5</v>
      </c>
      <c r="H7" s="2545" t="s">
        <v>8</v>
      </c>
      <c r="I7" s="2545"/>
      <c r="J7" s="2545" t="s">
        <v>5</v>
      </c>
      <c r="K7" s="2545" t="s">
        <v>9</v>
      </c>
      <c r="L7" s="2545" t="s">
        <v>10</v>
      </c>
      <c r="M7" s="2238" t="s">
        <v>11</v>
      </c>
      <c r="N7" s="2545" t="s">
        <v>12</v>
      </c>
      <c r="O7" s="2545" t="s">
        <v>13</v>
      </c>
      <c r="P7" s="2545" t="s">
        <v>3</v>
      </c>
      <c r="Q7" s="2576" t="s">
        <v>14</v>
      </c>
      <c r="R7" s="2577" t="s">
        <v>15</v>
      </c>
      <c r="S7" s="2545" t="s">
        <v>16</v>
      </c>
      <c r="T7" s="2545" t="s">
        <v>17</v>
      </c>
      <c r="U7" s="2545" t="s">
        <v>18</v>
      </c>
      <c r="V7" s="2250" t="s">
        <v>15</v>
      </c>
      <c r="W7" s="2575" t="s">
        <v>5</v>
      </c>
      <c r="X7" s="2545" t="s">
        <v>19</v>
      </c>
      <c r="Y7" s="2507" t="s">
        <v>20</v>
      </c>
      <c r="Z7" s="2507"/>
      <c r="AA7" s="2539" t="s">
        <v>21</v>
      </c>
      <c r="AB7" s="2539"/>
      <c r="AC7" s="2539"/>
      <c r="AD7" s="2539"/>
      <c r="AE7" s="2549" t="s">
        <v>22</v>
      </c>
      <c r="AF7" s="2549"/>
      <c r="AG7" s="2549"/>
      <c r="AH7" s="2549"/>
      <c r="AI7" s="2549"/>
      <c r="AJ7" s="2549"/>
      <c r="AK7" s="2539" t="s">
        <v>23</v>
      </c>
      <c r="AL7" s="2539"/>
      <c r="AM7" s="2539"/>
      <c r="AN7" s="2550" t="s">
        <v>24</v>
      </c>
      <c r="AO7" s="2272" t="s">
        <v>25</v>
      </c>
      <c r="AP7" s="2272" t="s">
        <v>26</v>
      </c>
      <c r="AQ7" s="2548" t="s">
        <v>27</v>
      </c>
      <c r="AR7" s="1199"/>
      <c r="AS7" s="1199"/>
      <c r="AT7" s="1199"/>
      <c r="AU7" s="1199"/>
      <c r="AV7" s="1199"/>
      <c r="AW7" s="1199"/>
      <c r="AX7" s="1199"/>
      <c r="AY7" s="1199"/>
      <c r="AZ7" s="1199"/>
      <c r="BA7" s="1199"/>
      <c r="BB7" s="1199"/>
      <c r="BC7" s="1199"/>
      <c r="BD7" s="1199"/>
      <c r="BE7" s="1199"/>
      <c r="BF7" s="1199"/>
      <c r="BG7" s="1199"/>
      <c r="BH7" s="1199"/>
      <c r="BI7" s="1199"/>
      <c r="BJ7" s="1199"/>
      <c r="BK7" s="1199"/>
    </row>
    <row r="8" spans="1:63" s="308" customFormat="1" ht="124.5" customHeight="1" x14ac:dyDescent="0.25">
      <c r="A8" s="2546"/>
      <c r="B8" s="2545"/>
      <c r="C8" s="2545"/>
      <c r="D8" s="2545"/>
      <c r="E8" s="2545"/>
      <c r="F8" s="2545"/>
      <c r="G8" s="2545"/>
      <c r="H8" s="2545"/>
      <c r="I8" s="2545"/>
      <c r="J8" s="2545"/>
      <c r="K8" s="2545"/>
      <c r="L8" s="2545"/>
      <c r="M8" s="2239"/>
      <c r="N8" s="2545"/>
      <c r="O8" s="2545"/>
      <c r="P8" s="2545"/>
      <c r="Q8" s="2576"/>
      <c r="R8" s="2577"/>
      <c r="S8" s="2545"/>
      <c r="T8" s="2545"/>
      <c r="U8" s="2545"/>
      <c r="V8" s="2251"/>
      <c r="W8" s="2575"/>
      <c r="X8" s="2545"/>
      <c r="Y8" s="227" t="s">
        <v>28</v>
      </c>
      <c r="Z8" s="227" t="s">
        <v>29</v>
      </c>
      <c r="AA8" s="227" t="s">
        <v>30</v>
      </c>
      <c r="AB8" s="227" t="s">
        <v>31</v>
      </c>
      <c r="AC8" s="227" t="s">
        <v>138</v>
      </c>
      <c r="AD8" s="227" t="s">
        <v>32</v>
      </c>
      <c r="AE8" s="227" t="s">
        <v>33</v>
      </c>
      <c r="AF8" s="227" t="s">
        <v>34</v>
      </c>
      <c r="AG8" s="227" t="s">
        <v>35</v>
      </c>
      <c r="AH8" s="227" t="s">
        <v>36</v>
      </c>
      <c r="AI8" s="227" t="s">
        <v>37</v>
      </c>
      <c r="AJ8" s="227" t="s">
        <v>38</v>
      </c>
      <c r="AK8" s="227" t="s">
        <v>39</v>
      </c>
      <c r="AL8" s="227" t="s">
        <v>40</v>
      </c>
      <c r="AM8" s="227" t="s">
        <v>41</v>
      </c>
      <c r="AN8" s="2551"/>
      <c r="AO8" s="2547"/>
      <c r="AP8" s="2547"/>
      <c r="AQ8" s="2548"/>
      <c r="AR8" s="1199"/>
      <c r="AS8" s="1199"/>
      <c r="AT8" s="1199"/>
      <c r="AU8" s="1199"/>
      <c r="AV8" s="1199"/>
      <c r="AW8" s="1199"/>
      <c r="AX8" s="1199"/>
      <c r="AY8" s="1199"/>
      <c r="AZ8" s="1199"/>
      <c r="BA8" s="1199"/>
      <c r="BB8" s="1199"/>
      <c r="BC8" s="1199"/>
      <c r="BD8" s="1199"/>
      <c r="BE8" s="1199"/>
      <c r="BF8" s="1199"/>
      <c r="BG8" s="1199"/>
      <c r="BH8" s="1199"/>
      <c r="BI8" s="1199"/>
      <c r="BJ8" s="1199"/>
      <c r="BK8" s="1199"/>
    </row>
    <row r="9" spans="1:63" ht="15.75" x14ac:dyDescent="0.2">
      <c r="A9" s="126">
        <v>4</v>
      </c>
      <c r="B9" s="127" t="s">
        <v>1380</v>
      </c>
      <c r="C9" s="127"/>
      <c r="D9" s="230"/>
      <c r="E9" s="230"/>
      <c r="F9" s="230"/>
      <c r="G9" s="230"/>
      <c r="H9" s="230"/>
      <c r="I9" s="230"/>
      <c r="J9" s="1200"/>
      <c r="K9" s="1201"/>
      <c r="L9" s="231"/>
      <c r="M9" s="230"/>
      <c r="N9" s="1202"/>
      <c r="O9" s="1200"/>
      <c r="P9" s="231"/>
      <c r="Q9" s="1203"/>
      <c r="R9" s="1204"/>
      <c r="S9" s="231"/>
      <c r="T9" s="1201"/>
      <c r="U9" s="1205"/>
      <c r="V9" s="1206"/>
      <c r="W9" s="1207"/>
      <c r="X9" s="232"/>
      <c r="Y9" s="230"/>
      <c r="Z9" s="230"/>
      <c r="AA9" s="230"/>
      <c r="AB9" s="230"/>
      <c r="AC9" s="230"/>
      <c r="AD9" s="230"/>
      <c r="AE9" s="230"/>
      <c r="AF9" s="230"/>
      <c r="AG9" s="230"/>
      <c r="AH9" s="230"/>
      <c r="AI9" s="230"/>
      <c r="AJ9" s="230"/>
      <c r="AK9" s="1208"/>
      <c r="AL9" s="1208"/>
      <c r="AM9" s="231"/>
      <c r="AN9" s="231"/>
      <c r="AO9" s="231"/>
      <c r="AP9" s="231"/>
      <c r="AQ9" s="1209"/>
    </row>
    <row r="10" spans="1:63" s="109" customFormat="1" ht="15.75" x14ac:dyDescent="0.2">
      <c r="A10" s="2552"/>
      <c r="B10" s="2555"/>
      <c r="C10" s="2556"/>
      <c r="D10" s="885">
        <v>23</v>
      </c>
      <c r="E10" s="276" t="s">
        <v>1381</v>
      </c>
      <c r="F10" s="276"/>
      <c r="G10" s="242"/>
      <c r="H10" s="242"/>
      <c r="I10" s="242"/>
      <c r="J10" s="1210"/>
      <c r="K10" s="1211"/>
      <c r="L10" s="243"/>
      <c r="M10" s="242"/>
      <c r="N10" s="1212"/>
      <c r="O10" s="1210"/>
      <c r="P10" s="243"/>
      <c r="Q10" s="1213"/>
      <c r="R10" s="1214"/>
      <c r="S10" s="243"/>
      <c r="T10" s="1211"/>
      <c r="U10" s="1211"/>
      <c r="V10" s="1215"/>
      <c r="W10" s="1216"/>
      <c r="X10" s="244"/>
      <c r="Y10" s="242"/>
      <c r="Z10" s="242"/>
      <c r="AA10" s="242"/>
      <c r="AB10" s="242"/>
      <c r="AC10" s="242"/>
      <c r="AD10" s="242"/>
      <c r="AE10" s="242"/>
      <c r="AF10" s="242"/>
      <c r="AG10" s="242"/>
      <c r="AH10" s="242"/>
      <c r="AI10" s="242"/>
      <c r="AJ10" s="242"/>
      <c r="AK10" s="1217"/>
      <c r="AL10" s="1217"/>
      <c r="AM10" s="243"/>
      <c r="AN10" s="243"/>
      <c r="AO10" s="243"/>
      <c r="AP10" s="243"/>
      <c r="AQ10" s="1218"/>
    </row>
    <row r="11" spans="1:63" s="109" customFormat="1" ht="15.75" x14ac:dyDescent="0.2">
      <c r="A11" s="2553"/>
      <c r="B11" s="2557"/>
      <c r="C11" s="2558"/>
      <c r="D11" s="2561"/>
      <c r="E11" s="2562"/>
      <c r="F11" s="2563"/>
      <c r="G11" s="1219">
        <v>75</v>
      </c>
      <c r="H11" s="152" t="s">
        <v>1382</v>
      </c>
      <c r="I11" s="152"/>
      <c r="J11" s="1220"/>
      <c r="K11" s="1221"/>
      <c r="L11" s="153"/>
      <c r="M11" s="160"/>
      <c r="N11" s="713"/>
      <c r="O11" s="1222"/>
      <c r="P11" s="598"/>
      <c r="Q11" s="1223"/>
      <c r="R11" s="1224"/>
      <c r="S11" s="153"/>
      <c r="T11" s="1221"/>
      <c r="U11" s="1221"/>
      <c r="V11" s="1225"/>
      <c r="W11" s="1226"/>
      <c r="X11" s="154"/>
      <c r="Y11" s="160"/>
      <c r="Z11" s="160"/>
      <c r="AA11" s="160"/>
      <c r="AB11" s="160"/>
      <c r="AC11" s="160"/>
      <c r="AD11" s="160"/>
      <c r="AE11" s="160"/>
      <c r="AF11" s="160"/>
      <c r="AG11" s="160"/>
      <c r="AH11" s="160"/>
      <c r="AI11" s="160"/>
      <c r="AJ11" s="160"/>
      <c r="AK11" s="161"/>
      <c r="AL11" s="161"/>
      <c r="AM11" s="153"/>
      <c r="AN11" s="153"/>
      <c r="AO11" s="153"/>
      <c r="AP11" s="153"/>
      <c r="AQ11" s="1227"/>
    </row>
    <row r="12" spans="1:63" ht="148.5" customHeight="1" x14ac:dyDescent="0.2">
      <c r="A12" s="2553"/>
      <c r="B12" s="2557"/>
      <c r="C12" s="2558"/>
      <c r="D12" s="2564"/>
      <c r="E12" s="2565"/>
      <c r="F12" s="2566"/>
      <c r="G12" s="109"/>
      <c r="H12" s="651"/>
      <c r="I12" s="653"/>
      <c r="J12" s="1228">
        <v>214</v>
      </c>
      <c r="K12" s="1229" t="s">
        <v>1383</v>
      </c>
      <c r="L12" s="1230" t="s">
        <v>1384</v>
      </c>
      <c r="M12" s="1231">
        <v>3</v>
      </c>
      <c r="N12" s="1232"/>
      <c r="O12" s="2570" t="s">
        <v>1385</v>
      </c>
      <c r="P12" s="2572" t="s">
        <v>1386</v>
      </c>
      <c r="Q12" s="1233">
        <f>R12/SUM(R12:R32)</f>
        <v>8.465401319470536E-3</v>
      </c>
      <c r="R12" s="1234">
        <f>SUM(V12:V12)</f>
        <v>50000000</v>
      </c>
      <c r="S12" s="2574" t="s">
        <v>1387</v>
      </c>
      <c r="T12" s="2574" t="s">
        <v>1388</v>
      </c>
      <c r="U12" s="1229" t="s">
        <v>1389</v>
      </c>
      <c r="V12" s="1235">
        <v>50000000</v>
      </c>
      <c r="W12" s="2599" t="s">
        <v>1390</v>
      </c>
      <c r="X12" s="2578" t="s">
        <v>1391</v>
      </c>
      <c r="Y12" s="2596">
        <v>292684</v>
      </c>
      <c r="Z12" s="2596">
        <v>282326</v>
      </c>
      <c r="AA12" s="2596">
        <v>135912</v>
      </c>
      <c r="AB12" s="2596">
        <v>45122</v>
      </c>
      <c r="AC12" s="2596">
        <v>307101</v>
      </c>
      <c r="AD12" s="2596">
        <v>86875</v>
      </c>
      <c r="AE12" s="2596">
        <v>2145</v>
      </c>
      <c r="AF12" s="2596">
        <v>12718</v>
      </c>
      <c r="AG12" s="2596">
        <v>26</v>
      </c>
      <c r="AH12" s="2596">
        <v>37</v>
      </c>
      <c r="AI12" s="2596"/>
      <c r="AJ12" s="2596"/>
      <c r="AK12" s="2596">
        <v>53164</v>
      </c>
      <c r="AL12" s="2596">
        <v>16982</v>
      </c>
      <c r="AM12" s="2596">
        <v>60013</v>
      </c>
      <c r="AN12" s="2596">
        <f>Y12+Z12</f>
        <v>575010</v>
      </c>
      <c r="AO12" s="2602">
        <v>43174</v>
      </c>
      <c r="AP12" s="2602">
        <v>43454</v>
      </c>
      <c r="AQ12" s="2591" t="s">
        <v>1392</v>
      </c>
    </row>
    <row r="13" spans="1:63" ht="115.5" customHeight="1" x14ac:dyDescent="0.2">
      <c r="A13" s="2553"/>
      <c r="B13" s="2557"/>
      <c r="C13" s="2558"/>
      <c r="D13" s="2564"/>
      <c r="E13" s="2565"/>
      <c r="F13" s="2566"/>
      <c r="G13" s="109"/>
      <c r="H13" s="649"/>
      <c r="I13" s="650"/>
      <c r="J13" s="1228">
        <v>215</v>
      </c>
      <c r="K13" s="1229" t="s">
        <v>1393</v>
      </c>
      <c r="L13" s="1230" t="s">
        <v>1394</v>
      </c>
      <c r="M13" s="1236">
        <v>3</v>
      </c>
      <c r="N13" s="1237"/>
      <c r="O13" s="2571"/>
      <c r="P13" s="2573"/>
      <c r="Q13" s="1233">
        <f>R13/SUM(R12:R32)</f>
        <v>1.1851561847258749E-2</v>
      </c>
      <c r="R13" s="1186">
        <f>+V13</f>
        <v>70000000</v>
      </c>
      <c r="S13" s="2574"/>
      <c r="T13" s="2574"/>
      <c r="U13" s="1229" t="s">
        <v>1395</v>
      </c>
      <c r="V13" s="1235">
        <v>70000000</v>
      </c>
      <c r="W13" s="2600"/>
      <c r="X13" s="2579"/>
      <c r="Y13" s="2597"/>
      <c r="Z13" s="2597"/>
      <c r="AA13" s="2597"/>
      <c r="AB13" s="2597"/>
      <c r="AC13" s="2597"/>
      <c r="AD13" s="2597"/>
      <c r="AE13" s="2597"/>
      <c r="AF13" s="2597"/>
      <c r="AG13" s="2597"/>
      <c r="AH13" s="2597"/>
      <c r="AI13" s="2597"/>
      <c r="AJ13" s="2597"/>
      <c r="AK13" s="2597"/>
      <c r="AL13" s="2597"/>
      <c r="AM13" s="2597"/>
      <c r="AN13" s="2597"/>
      <c r="AO13" s="2603"/>
      <c r="AP13" s="2603"/>
      <c r="AQ13" s="2592"/>
    </row>
    <row r="14" spans="1:63" ht="95.25" customHeight="1" x14ac:dyDescent="0.2">
      <c r="A14" s="2553"/>
      <c r="B14" s="2557"/>
      <c r="C14" s="2558"/>
      <c r="D14" s="2564"/>
      <c r="E14" s="2565"/>
      <c r="F14" s="2566"/>
      <c r="G14" s="109"/>
      <c r="H14" s="649"/>
      <c r="I14" s="650"/>
      <c r="J14" s="2590">
        <v>216</v>
      </c>
      <c r="K14" s="2574" t="s">
        <v>1396</v>
      </c>
      <c r="L14" s="2593" t="s">
        <v>1397</v>
      </c>
      <c r="M14" s="2594">
        <v>2</v>
      </c>
      <c r="N14" s="1237"/>
      <c r="O14" s="2571"/>
      <c r="P14" s="2573"/>
      <c r="Q14" s="2494">
        <f>R14/SUM(R12:R32)</f>
        <v>0.13290680071568742</v>
      </c>
      <c r="R14" s="2595">
        <f>SUM(V14:V16)</f>
        <v>785000000</v>
      </c>
      <c r="S14" s="2574"/>
      <c r="T14" s="2574"/>
      <c r="U14" s="1238" t="s">
        <v>1398</v>
      </c>
      <c r="V14" s="1235">
        <v>20000000</v>
      </c>
      <c r="W14" s="2600"/>
      <c r="X14" s="2579"/>
      <c r="Y14" s="2597"/>
      <c r="Z14" s="2597"/>
      <c r="AA14" s="2597"/>
      <c r="AB14" s="2597"/>
      <c r="AC14" s="2597"/>
      <c r="AD14" s="2597"/>
      <c r="AE14" s="2597"/>
      <c r="AF14" s="2597"/>
      <c r="AG14" s="2597"/>
      <c r="AH14" s="2597"/>
      <c r="AI14" s="2597"/>
      <c r="AJ14" s="2597"/>
      <c r="AK14" s="2597"/>
      <c r="AL14" s="2597"/>
      <c r="AM14" s="2597"/>
      <c r="AN14" s="2597"/>
      <c r="AO14" s="2603"/>
      <c r="AP14" s="2603"/>
      <c r="AQ14" s="2592"/>
    </row>
    <row r="15" spans="1:63" ht="65.25" customHeight="1" x14ac:dyDescent="0.2">
      <c r="A15" s="2553"/>
      <c r="B15" s="2557"/>
      <c r="C15" s="2558"/>
      <c r="D15" s="2564"/>
      <c r="E15" s="2565"/>
      <c r="F15" s="2566"/>
      <c r="G15" s="109"/>
      <c r="H15" s="649"/>
      <c r="I15" s="650"/>
      <c r="J15" s="2590"/>
      <c r="K15" s="2574"/>
      <c r="L15" s="2593"/>
      <c r="M15" s="2594"/>
      <c r="N15" s="1237"/>
      <c r="O15" s="2571"/>
      <c r="P15" s="2573"/>
      <c r="Q15" s="2494"/>
      <c r="R15" s="2595"/>
      <c r="S15" s="2574"/>
      <c r="T15" s="2574"/>
      <c r="U15" s="1238" t="s">
        <v>1399</v>
      </c>
      <c r="V15" s="1235">
        <f>80000000+635000000</f>
        <v>715000000</v>
      </c>
      <c r="W15" s="2600"/>
      <c r="X15" s="2579"/>
      <c r="Y15" s="2597"/>
      <c r="Z15" s="2597"/>
      <c r="AA15" s="2597"/>
      <c r="AB15" s="2597"/>
      <c r="AC15" s="2597"/>
      <c r="AD15" s="2597"/>
      <c r="AE15" s="2597"/>
      <c r="AF15" s="2597"/>
      <c r="AG15" s="2597"/>
      <c r="AH15" s="2597"/>
      <c r="AI15" s="2597"/>
      <c r="AJ15" s="2597"/>
      <c r="AK15" s="2597"/>
      <c r="AL15" s="2597"/>
      <c r="AM15" s="2597"/>
      <c r="AN15" s="2597"/>
      <c r="AO15" s="2603"/>
      <c r="AP15" s="2603"/>
      <c r="AQ15" s="2592"/>
    </row>
    <row r="16" spans="1:63" ht="55.5" customHeight="1" x14ac:dyDescent="0.2">
      <c r="A16" s="2553"/>
      <c r="B16" s="2557"/>
      <c r="C16" s="2558"/>
      <c r="D16" s="2564"/>
      <c r="E16" s="2565"/>
      <c r="F16" s="2566"/>
      <c r="G16" s="109"/>
      <c r="H16" s="649"/>
      <c r="I16" s="650"/>
      <c r="J16" s="2590"/>
      <c r="K16" s="2574"/>
      <c r="L16" s="2593"/>
      <c r="M16" s="2594"/>
      <c r="N16" s="1237"/>
      <c r="O16" s="2571"/>
      <c r="P16" s="2573"/>
      <c r="Q16" s="2494"/>
      <c r="R16" s="2595"/>
      <c r="S16" s="2574"/>
      <c r="T16" s="2574"/>
      <c r="U16" s="1238" t="s">
        <v>1400</v>
      </c>
      <c r="V16" s="1235">
        <v>50000000</v>
      </c>
      <c r="W16" s="2600"/>
      <c r="X16" s="2579"/>
      <c r="Y16" s="2597"/>
      <c r="Z16" s="2597"/>
      <c r="AA16" s="2597"/>
      <c r="AB16" s="2597"/>
      <c r="AC16" s="2597"/>
      <c r="AD16" s="2597"/>
      <c r="AE16" s="2597"/>
      <c r="AF16" s="2597"/>
      <c r="AG16" s="2597"/>
      <c r="AH16" s="2597"/>
      <c r="AI16" s="2597"/>
      <c r="AJ16" s="2597"/>
      <c r="AK16" s="2597"/>
      <c r="AL16" s="2597"/>
      <c r="AM16" s="2597"/>
      <c r="AN16" s="2597"/>
      <c r="AO16" s="2603"/>
      <c r="AP16" s="2603"/>
      <c r="AQ16" s="2592"/>
    </row>
    <row r="17" spans="1:44" ht="48.75" customHeight="1" x14ac:dyDescent="0.2">
      <c r="A17" s="2553"/>
      <c r="B17" s="2557"/>
      <c r="C17" s="2558"/>
      <c r="D17" s="2564"/>
      <c r="E17" s="2565"/>
      <c r="F17" s="2566"/>
      <c r="G17" s="109"/>
      <c r="H17" s="649"/>
      <c r="I17" s="650"/>
      <c r="J17" s="2578">
        <v>217</v>
      </c>
      <c r="K17" s="2581" t="s">
        <v>1401</v>
      </c>
      <c r="L17" s="2584" t="s">
        <v>1402</v>
      </c>
      <c r="M17" s="2587">
        <v>5</v>
      </c>
      <c r="N17" s="1239"/>
      <c r="O17" s="2571"/>
      <c r="P17" s="2573"/>
      <c r="Q17" s="2445">
        <f>R17/SUM(R12:R32)</f>
        <v>0.80275614925633654</v>
      </c>
      <c r="R17" s="2215">
        <f>SUM(V17:V30)</f>
        <v>4741394524.3800001</v>
      </c>
      <c r="S17" s="2574"/>
      <c r="T17" s="2574"/>
      <c r="U17" s="1238" t="s">
        <v>1403</v>
      </c>
      <c r="V17" s="1240">
        <f>1130600000+960000000</f>
        <v>2090600000</v>
      </c>
      <c r="W17" s="2600"/>
      <c r="X17" s="2579"/>
      <c r="Y17" s="2597"/>
      <c r="Z17" s="2597"/>
      <c r="AA17" s="2597"/>
      <c r="AB17" s="2597"/>
      <c r="AC17" s="2597"/>
      <c r="AD17" s="2597"/>
      <c r="AE17" s="2597"/>
      <c r="AF17" s="2597"/>
      <c r="AG17" s="2597"/>
      <c r="AH17" s="2597"/>
      <c r="AI17" s="2597"/>
      <c r="AJ17" s="2597"/>
      <c r="AK17" s="2597"/>
      <c r="AL17" s="2597"/>
      <c r="AM17" s="2597"/>
      <c r="AN17" s="2597"/>
      <c r="AO17" s="2603"/>
      <c r="AP17" s="2603"/>
      <c r="AQ17" s="2592"/>
    </row>
    <row r="18" spans="1:44" ht="57.75" customHeight="1" x14ac:dyDescent="0.2">
      <c r="A18" s="2553"/>
      <c r="B18" s="2557"/>
      <c r="C18" s="2558"/>
      <c r="D18" s="2564"/>
      <c r="E18" s="2565"/>
      <c r="F18" s="2566"/>
      <c r="G18" s="109"/>
      <c r="H18" s="649"/>
      <c r="I18" s="650"/>
      <c r="J18" s="2579"/>
      <c r="K18" s="2582"/>
      <c r="L18" s="2585"/>
      <c r="M18" s="2588"/>
      <c r="N18" s="1239"/>
      <c r="O18" s="2571"/>
      <c r="P18" s="2573"/>
      <c r="Q18" s="2447"/>
      <c r="R18" s="2216"/>
      <c r="S18" s="2574"/>
      <c r="T18" s="2574"/>
      <c r="U18" s="1238" t="s">
        <v>1404</v>
      </c>
      <c r="V18" s="1240">
        <f>300000000+450000000</f>
        <v>750000000</v>
      </c>
      <c r="W18" s="2600"/>
      <c r="X18" s="2579"/>
      <c r="Y18" s="2597"/>
      <c r="Z18" s="2597"/>
      <c r="AA18" s="2597"/>
      <c r="AB18" s="2597"/>
      <c r="AC18" s="2597"/>
      <c r="AD18" s="2597"/>
      <c r="AE18" s="2597"/>
      <c r="AF18" s="2597"/>
      <c r="AG18" s="2597"/>
      <c r="AH18" s="2597"/>
      <c r="AI18" s="2597"/>
      <c r="AJ18" s="2597"/>
      <c r="AK18" s="2597"/>
      <c r="AL18" s="2597"/>
      <c r="AM18" s="2597"/>
      <c r="AN18" s="2597"/>
      <c r="AO18" s="2603"/>
      <c r="AP18" s="2603"/>
      <c r="AQ18" s="2592"/>
    </row>
    <row r="19" spans="1:44" ht="28.5" customHeight="1" x14ac:dyDescent="0.2">
      <c r="A19" s="2553"/>
      <c r="B19" s="2557"/>
      <c r="C19" s="2558"/>
      <c r="D19" s="2564"/>
      <c r="E19" s="2565"/>
      <c r="F19" s="2566"/>
      <c r="G19" s="109"/>
      <c r="H19" s="649"/>
      <c r="I19" s="650"/>
      <c r="J19" s="2579"/>
      <c r="K19" s="2582"/>
      <c r="L19" s="2585"/>
      <c r="M19" s="2588"/>
      <c r="N19" s="1239"/>
      <c r="O19" s="2571"/>
      <c r="P19" s="2573"/>
      <c r="Q19" s="2447"/>
      <c r="R19" s="2216"/>
      <c r="S19" s="2574"/>
      <c r="T19" s="2574"/>
      <c r="U19" s="1238" t="s">
        <v>1405</v>
      </c>
      <c r="V19" s="1240">
        <f>80000000+45000000</f>
        <v>125000000</v>
      </c>
      <c r="W19" s="2600"/>
      <c r="X19" s="2579"/>
      <c r="Y19" s="2597"/>
      <c r="Z19" s="2597"/>
      <c r="AA19" s="2597"/>
      <c r="AB19" s="2597"/>
      <c r="AC19" s="2597"/>
      <c r="AD19" s="2597"/>
      <c r="AE19" s="2597"/>
      <c r="AF19" s="2597"/>
      <c r="AG19" s="2597"/>
      <c r="AH19" s="2597"/>
      <c r="AI19" s="2597"/>
      <c r="AJ19" s="2597"/>
      <c r="AK19" s="2597"/>
      <c r="AL19" s="2597"/>
      <c r="AM19" s="2597"/>
      <c r="AN19" s="2597"/>
      <c r="AO19" s="2603"/>
      <c r="AP19" s="2603"/>
      <c r="AQ19" s="2592"/>
    </row>
    <row r="20" spans="1:44" ht="54" customHeight="1" x14ac:dyDescent="0.2">
      <c r="A20" s="2553"/>
      <c r="B20" s="2557"/>
      <c r="C20" s="2558"/>
      <c r="D20" s="2564"/>
      <c r="E20" s="2565"/>
      <c r="F20" s="2566"/>
      <c r="G20" s="109"/>
      <c r="H20" s="649"/>
      <c r="I20" s="650"/>
      <c r="J20" s="2579"/>
      <c r="K20" s="2582"/>
      <c r="L20" s="2585"/>
      <c r="M20" s="2588"/>
      <c r="N20" s="1239"/>
      <c r="O20" s="2571"/>
      <c r="P20" s="2573"/>
      <c r="Q20" s="2447"/>
      <c r="R20" s="2216"/>
      <c r="S20" s="2574"/>
      <c r="T20" s="2574"/>
      <c r="U20" s="1238" t="s">
        <v>1406</v>
      </c>
      <c r="V20" s="1240">
        <v>2000000</v>
      </c>
      <c r="W20" s="2600"/>
      <c r="X20" s="2579"/>
      <c r="Y20" s="2597"/>
      <c r="Z20" s="2597"/>
      <c r="AA20" s="2597"/>
      <c r="AB20" s="2597"/>
      <c r="AC20" s="2597"/>
      <c r="AD20" s="2597"/>
      <c r="AE20" s="2597"/>
      <c r="AF20" s="2597"/>
      <c r="AG20" s="2597"/>
      <c r="AH20" s="2597"/>
      <c r="AI20" s="2597"/>
      <c r="AJ20" s="2597"/>
      <c r="AK20" s="2597"/>
      <c r="AL20" s="2597"/>
      <c r="AM20" s="2597"/>
      <c r="AN20" s="2597"/>
      <c r="AO20" s="2603"/>
      <c r="AP20" s="2603"/>
      <c r="AQ20" s="2592"/>
    </row>
    <row r="21" spans="1:44" ht="60.75" customHeight="1" x14ac:dyDescent="0.2">
      <c r="A21" s="2553"/>
      <c r="B21" s="2557"/>
      <c r="C21" s="2558"/>
      <c r="D21" s="2564"/>
      <c r="E21" s="2565"/>
      <c r="F21" s="2566"/>
      <c r="G21" s="109"/>
      <c r="H21" s="649"/>
      <c r="I21" s="650"/>
      <c r="J21" s="2579"/>
      <c r="K21" s="2582"/>
      <c r="L21" s="2585"/>
      <c r="M21" s="2588"/>
      <c r="N21" s="1239" t="s">
        <v>1407</v>
      </c>
      <c r="O21" s="2571"/>
      <c r="P21" s="2573"/>
      <c r="Q21" s="2447"/>
      <c r="R21" s="2216"/>
      <c r="S21" s="2574"/>
      <c r="T21" s="2574"/>
      <c r="U21" s="1238" t="s">
        <v>1408</v>
      </c>
      <c r="V21" s="1240">
        <f>40000000+864000000</f>
        <v>904000000</v>
      </c>
      <c r="W21" s="2600"/>
      <c r="X21" s="2579"/>
      <c r="Y21" s="2597"/>
      <c r="Z21" s="2597"/>
      <c r="AA21" s="2597"/>
      <c r="AB21" s="2597"/>
      <c r="AC21" s="2597"/>
      <c r="AD21" s="2597"/>
      <c r="AE21" s="2597"/>
      <c r="AF21" s="2597"/>
      <c r="AG21" s="2597"/>
      <c r="AH21" s="2597"/>
      <c r="AI21" s="2597"/>
      <c r="AJ21" s="2597"/>
      <c r="AK21" s="2597"/>
      <c r="AL21" s="2597"/>
      <c r="AM21" s="2597"/>
      <c r="AN21" s="2597"/>
      <c r="AO21" s="2603"/>
      <c r="AP21" s="2603"/>
      <c r="AQ21" s="2592"/>
    </row>
    <row r="22" spans="1:44" ht="35.25" customHeight="1" x14ac:dyDescent="0.2">
      <c r="A22" s="2553"/>
      <c r="B22" s="2557"/>
      <c r="C22" s="2558"/>
      <c r="D22" s="2564"/>
      <c r="E22" s="2565"/>
      <c r="F22" s="2566"/>
      <c r="G22" s="109"/>
      <c r="H22" s="649"/>
      <c r="I22" s="650"/>
      <c r="J22" s="2579"/>
      <c r="K22" s="2582"/>
      <c r="L22" s="2585"/>
      <c r="M22" s="2588"/>
      <c r="N22" s="1237"/>
      <c r="O22" s="2571"/>
      <c r="P22" s="2573"/>
      <c r="Q22" s="2447"/>
      <c r="R22" s="2216"/>
      <c r="S22" s="2574"/>
      <c r="T22" s="2574"/>
      <c r="U22" s="1238" t="s">
        <v>1409</v>
      </c>
      <c r="V22" s="1240">
        <f>90000000+10000000</f>
        <v>100000000</v>
      </c>
      <c r="W22" s="2600"/>
      <c r="X22" s="2579"/>
      <c r="Y22" s="2597"/>
      <c r="Z22" s="2597"/>
      <c r="AA22" s="2597"/>
      <c r="AB22" s="2597"/>
      <c r="AC22" s="2597"/>
      <c r="AD22" s="2597"/>
      <c r="AE22" s="2597"/>
      <c r="AF22" s="2597"/>
      <c r="AG22" s="2597"/>
      <c r="AH22" s="2597"/>
      <c r="AI22" s="2597"/>
      <c r="AJ22" s="2597"/>
      <c r="AK22" s="2597"/>
      <c r="AL22" s="2597"/>
      <c r="AM22" s="2597"/>
      <c r="AN22" s="2597"/>
      <c r="AO22" s="2603"/>
      <c r="AP22" s="2603"/>
      <c r="AQ22" s="2592"/>
    </row>
    <row r="23" spans="1:44" ht="36" customHeight="1" x14ac:dyDescent="0.2">
      <c r="A23" s="2553"/>
      <c r="B23" s="2557"/>
      <c r="C23" s="2558"/>
      <c r="D23" s="2564"/>
      <c r="E23" s="2565"/>
      <c r="F23" s="2566"/>
      <c r="G23" s="109"/>
      <c r="H23" s="649"/>
      <c r="I23" s="650"/>
      <c r="J23" s="2579"/>
      <c r="K23" s="2582"/>
      <c r="L23" s="2585"/>
      <c r="M23" s="2588"/>
      <c r="N23" s="1239" t="s">
        <v>1410</v>
      </c>
      <c r="O23" s="2571"/>
      <c r="P23" s="2573"/>
      <c r="Q23" s="2447"/>
      <c r="R23" s="2216"/>
      <c r="S23" s="2574"/>
      <c r="T23" s="2574"/>
      <c r="U23" s="1238" t="s">
        <v>1411</v>
      </c>
      <c r="V23" s="1240">
        <v>80000000</v>
      </c>
      <c r="W23" s="2600"/>
      <c r="X23" s="2579"/>
      <c r="Y23" s="2597"/>
      <c r="Z23" s="2597"/>
      <c r="AA23" s="2597"/>
      <c r="AB23" s="2597"/>
      <c r="AC23" s="2597"/>
      <c r="AD23" s="2597"/>
      <c r="AE23" s="2597"/>
      <c r="AF23" s="2597"/>
      <c r="AG23" s="2597"/>
      <c r="AH23" s="2597"/>
      <c r="AI23" s="2597"/>
      <c r="AJ23" s="2597"/>
      <c r="AK23" s="2597"/>
      <c r="AL23" s="2597"/>
      <c r="AM23" s="2597"/>
      <c r="AN23" s="2597"/>
      <c r="AO23" s="2603"/>
      <c r="AP23" s="2603"/>
      <c r="AQ23" s="2592"/>
    </row>
    <row r="24" spans="1:44" ht="72.75" customHeight="1" x14ac:dyDescent="0.2">
      <c r="A24" s="2553"/>
      <c r="B24" s="2557"/>
      <c r="C24" s="2558"/>
      <c r="D24" s="2564"/>
      <c r="E24" s="2565"/>
      <c r="F24" s="2566"/>
      <c r="G24" s="109"/>
      <c r="H24" s="649"/>
      <c r="I24" s="650"/>
      <c r="J24" s="2579"/>
      <c r="K24" s="2582"/>
      <c r="L24" s="2585"/>
      <c r="M24" s="2588"/>
      <c r="N24" s="1237" t="s">
        <v>1412</v>
      </c>
      <c r="O24" s="2571"/>
      <c r="P24" s="2573"/>
      <c r="Q24" s="2447"/>
      <c r="R24" s="2216"/>
      <c r="S24" s="2574"/>
      <c r="T24" s="2574"/>
      <c r="U24" s="1241" t="s">
        <v>1413</v>
      </c>
      <c r="V24" s="1240">
        <v>191000000</v>
      </c>
      <c r="W24" s="2600"/>
      <c r="X24" s="2579"/>
      <c r="Y24" s="2597"/>
      <c r="Z24" s="2597"/>
      <c r="AA24" s="2597"/>
      <c r="AB24" s="2597"/>
      <c r="AC24" s="2597"/>
      <c r="AD24" s="2597"/>
      <c r="AE24" s="2597"/>
      <c r="AF24" s="2597"/>
      <c r="AG24" s="2597"/>
      <c r="AH24" s="2597"/>
      <c r="AI24" s="2597"/>
      <c r="AJ24" s="2597"/>
      <c r="AK24" s="2597"/>
      <c r="AL24" s="2597"/>
      <c r="AM24" s="2597"/>
      <c r="AN24" s="2597"/>
      <c r="AO24" s="2603"/>
      <c r="AP24" s="2603"/>
      <c r="AQ24" s="2592"/>
    </row>
    <row r="25" spans="1:44" ht="75" customHeight="1" x14ac:dyDescent="0.2">
      <c r="A25" s="2553"/>
      <c r="B25" s="2557"/>
      <c r="C25" s="2558"/>
      <c r="D25" s="2564"/>
      <c r="E25" s="2565"/>
      <c r="F25" s="2566"/>
      <c r="G25" s="109"/>
      <c r="H25" s="649"/>
      <c r="I25" s="650"/>
      <c r="J25" s="2579"/>
      <c r="K25" s="2582"/>
      <c r="L25" s="2585"/>
      <c r="M25" s="2588"/>
      <c r="N25" s="1239"/>
      <c r="O25" s="2571"/>
      <c r="P25" s="2573"/>
      <c r="Q25" s="2447"/>
      <c r="R25" s="2216"/>
      <c r="S25" s="2574"/>
      <c r="T25" s="2574"/>
      <c r="U25" s="1238" t="s">
        <v>1414</v>
      </c>
      <c r="V25" s="1240">
        <v>198000000</v>
      </c>
      <c r="W25" s="2600"/>
      <c r="X25" s="2579"/>
      <c r="Y25" s="2597"/>
      <c r="Z25" s="2597"/>
      <c r="AA25" s="2597"/>
      <c r="AB25" s="2597"/>
      <c r="AC25" s="2597"/>
      <c r="AD25" s="2597"/>
      <c r="AE25" s="2597"/>
      <c r="AF25" s="2597"/>
      <c r="AG25" s="2597"/>
      <c r="AH25" s="2597"/>
      <c r="AI25" s="2597"/>
      <c r="AJ25" s="2597"/>
      <c r="AK25" s="2597"/>
      <c r="AL25" s="2597"/>
      <c r="AM25" s="2597"/>
      <c r="AN25" s="2597"/>
      <c r="AO25" s="2603"/>
      <c r="AP25" s="2603"/>
      <c r="AQ25" s="2592"/>
    </row>
    <row r="26" spans="1:44" ht="67.5" customHeight="1" x14ac:dyDescent="0.2">
      <c r="A26" s="2553"/>
      <c r="B26" s="2557"/>
      <c r="C26" s="2558"/>
      <c r="D26" s="2564"/>
      <c r="E26" s="2565"/>
      <c r="F26" s="2566"/>
      <c r="G26" s="109"/>
      <c r="H26" s="649"/>
      <c r="I26" s="650"/>
      <c r="J26" s="2579"/>
      <c r="K26" s="2582"/>
      <c r="L26" s="2585"/>
      <c r="M26" s="2588"/>
      <c r="N26" s="1239"/>
      <c r="O26" s="2571"/>
      <c r="P26" s="2573"/>
      <c r="Q26" s="2447"/>
      <c r="R26" s="2216"/>
      <c r="S26" s="2574"/>
      <c r="T26" s="2574"/>
      <c r="U26" s="1238" t="s">
        <v>1415</v>
      </c>
      <c r="V26" s="1240">
        <f>188012980-40000000</f>
        <v>148012980</v>
      </c>
      <c r="W26" s="2600"/>
      <c r="X26" s="2579"/>
      <c r="Y26" s="2597"/>
      <c r="Z26" s="2597"/>
      <c r="AA26" s="2597"/>
      <c r="AB26" s="2597"/>
      <c r="AC26" s="2597"/>
      <c r="AD26" s="2597"/>
      <c r="AE26" s="2597"/>
      <c r="AF26" s="2597"/>
      <c r="AG26" s="2597"/>
      <c r="AH26" s="2597"/>
      <c r="AI26" s="2597"/>
      <c r="AJ26" s="2597"/>
      <c r="AK26" s="2597"/>
      <c r="AL26" s="2597"/>
      <c r="AM26" s="2597"/>
      <c r="AN26" s="2597"/>
      <c r="AO26" s="2603"/>
      <c r="AP26" s="2603"/>
      <c r="AQ26" s="2592"/>
    </row>
    <row r="27" spans="1:44" ht="96" customHeight="1" x14ac:dyDescent="0.2">
      <c r="A27" s="2553"/>
      <c r="B27" s="2557"/>
      <c r="C27" s="2558"/>
      <c r="D27" s="2564"/>
      <c r="E27" s="2565"/>
      <c r="F27" s="2566"/>
      <c r="G27" s="109"/>
      <c r="H27" s="649"/>
      <c r="I27" s="650"/>
      <c r="J27" s="2579"/>
      <c r="K27" s="2582"/>
      <c r="L27" s="2585"/>
      <c r="M27" s="2588"/>
      <c r="N27" s="1237"/>
      <c r="O27" s="2571"/>
      <c r="P27" s="2573"/>
      <c r="Q27" s="2447"/>
      <c r="R27" s="2216"/>
      <c r="S27" s="2574"/>
      <c r="T27" s="2574"/>
      <c r="U27" s="1238" t="s">
        <v>1416</v>
      </c>
      <c r="V27" s="1240">
        <f>28800000+17182532.38+17340000</f>
        <v>63322532.379999995</v>
      </c>
      <c r="W27" s="2600"/>
      <c r="X27" s="2579"/>
      <c r="Y27" s="2597"/>
      <c r="Z27" s="2597"/>
      <c r="AA27" s="2597"/>
      <c r="AB27" s="2597"/>
      <c r="AC27" s="2597"/>
      <c r="AD27" s="2597"/>
      <c r="AE27" s="2597"/>
      <c r="AF27" s="2597"/>
      <c r="AG27" s="2597"/>
      <c r="AH27" s="2597"/>
      <c r="AI27" s="2597"/>
      <c r="AJ27" s="2597"/>
      <c r="AK27" s="2597"/>
      <c r="AL27" s="2597"/>
      <c r="AM27" s="2597"/>
      <c r="AN27" s="2597"/>
      <c r="AO27" s="2603"/>
      <c r="AP27" s="2603"/>
      <c r="AQ27" s="2592"/>
    </row>
    <row r="28" spans="1:44" ht="71.25" customHeight="1" x14ac:dyDescent="0.2">
      <c r="A28" s="2553"/>
      <c r="B28" s="2557"/>
      <c r="C28" s="2558"/>
      <c r="D28" s="2564"/>
      <c r="E28" s="2565"/>
      <c r="F28" s="2566"/>
      <c r="G28" s="109"/>
      <c r="H28" s="649"/>
      <c r="I28" s="650"/>
      <c r="J28" s="2579"/>
      <c r="K28" s="2582"/>
      <c r="L28" s="2585"/>
      <c r="M28" s="2588"/>
      <c r="N28" s="1237"/>
      <c r="O28" s="2571"/>
      <c r="P28" s="2573"/>
      <c r="Q28" s="2447"/>
      <c r="R28" s="2216"/>
      <c r="S28" s="2574"/>
      <c r="T28" s="2574"/>
      <c r="U28" s="1238" t="s">
        <v>1417</v>
      </c>
      <c r="V28" s="1240">
        <f>6000000+14300000</f>
        <v>20300000</v>
      </c>
      <c r="W28" s="2600"/>
      <c r="X28" s="2579"/>
      <c r="Y28" s="2597"/>
      <c r="Z28" s="2597"/>
      <c r="AA28" s="2597"/>
      <c r="AB28" s="2597"/>
      <c r="AC28" s="2597"/>
      <c r="AD28" s="2597"/>
      <c r="AE28" s="2597"/>
      <c r="AF28" s="2597"/>
      <c r="AG28" s="2597"/>
      <c r="AH28" s="2597"/>
      <c r="AI28" s="2597"/>
      <c r="AJ28" s="2597"/>
      <c r="AK28" s="2597"/>
      <c r="AL28" s="2597"/>
      <c r="AM28" s="2597"/>
      <c r="AN28" s="2597"/>
      <c r="AO28" s="2603"/>
      <c r="AP28" s="2603"/>
      <c r="AQ28" s="2592"/>
    </row>
    <row r="29" spans="1:44" ht="90.75" customHeight="1" x14ac:dyDescent="0.2">
      <c r="A29" s="2553"/>
      <c r="B29" s="2557"/>
      <c r="C29" s="2558"/>
      <c r="D29" s="2564"/>
      <c r="E29" s="2565"/>
      <c r="F29" s="2566"/>
      <c r="G29" s="109"/>
      <c r="H29" s="649"/>
      <c r="I29" s="650"/>
      <c r="J29" s="2579"/>
      <c r="K29" s="2582"/>
      <c r="L29" s="2585"/>
      <c r="M29" s="2588"/>
      <c r="N29" s="1237"/>
      <c r="O29" s="2571"/>
      <c r="P29" s="2573"/>
      <c r="Q29" s="2447"/>
      <c r="R29" s="2216"/>
      <c r="S29" s="2574"/>
      <c r="T29" s="2574"/>
      <c r="U29" s="1184" t="s">
        <v>1418</v>
      </c>
      <c r="V29" s="1240">
        <f>6000000+32340000-17340000</f>
        <v>21000000</v>
      </c>
      <c r="W29" s="2600"/>
      <c r="X29" s="2579"/>
      <c r="Y29" s="2597"/>
      <c r="Z29" s="2597"/>
      <c r="AA29" s="2597"/>
      <c r="AB29" s="2597"/>
      <c r="AC29" s="2597"/>
      <c r="AD29" s="2597"/>
      <c r="AE29" s="2597"/>
      <c r="AF29" s="2597"/>
      <c r="AG29" s="2597"/>
      <c r="AH29" s="2597"/>
      <c r="AI29" s="2597"/>
      <c r="AJ29" s="2597"/>
      <c r="AK29" s="2597"/>
      <c r="AL29" s="2597"/>
      <c r="AM29" s="2597"/>
      <c r="AN29" s="2597"/>
      <c r="AO29" s="2603"/>
      <c r="AP29" s="2603"/>
      <c r="AQ29" s="2592"/>
    </row>
    <row r="30" spans="1:44" ht="121.5" customHeight="1" x14ac:dyDescent="0.2">
      <c r="A30" s="2553"/>
      <c r="B30" s="2557"/>
      <c r="C30" s="2558"/>
      <c r="D30" s="2564"/>
      <c r="E30" s="2565"/>
      <c r="F30" s="2566"/>
      <c r="G30" s="109"/>
      <c r="H30" s="649"/>
      <c r="I30" s="650"/>
      <c r="J30" s="2580"/>
      <c r="K30" s="2583"/>
      <c r="L30" s="2586"/>
      <c r="M30" s="2589"/>
      <c r="N30" s="1237"/>
      <c r="O30" s="2571"/>
      <c r="P30" s="2573"/>
      <c r="Q30" s="2446"/>
      <c r="R30" s="2217"/>
      <c r="S30" s="2574"/>
      <c r="T30" s="2574"/>
      <c r="U30" s="1184" t="s">
        <v>1419</v>
      </c>
      <c r="V30" s="1242">
        <f>0+8159012+40000000</f>
        <v>48159012</v>
      </c>
      <c r="W30" s="2600"/>
      <c r="X30" s="2579"/>
      <c r="Y30" s="2597"/>
      <c r="Z30" s="2597"/>
      <c r="AA30" s="2597"/>
      <c r="AB30" s="2597"/>
      <c r="AC30" s="2597"/>
      <c r="AD30" s="2597"/>
      <c r="AE30" s="2597"/>
      <c r="AF30" s="2597"/>
      <c r="AG30" s="2597"/>
      <c r="AH30" s="2597"/>
      <c r="AI30" s="2597"/>
      <c r="AJ30" s="2597"/>
      <c r="AK30" s="2597"/>
      <c r="AL30" s="2597"/>
      <c r="AM30" s="2597"/>
      <c r="AN30" s="2597"/>
      <c r="AO30" s="2603"/>
      <c r="AP30" s="2603"/>
      <c r="AQ30" s="2592"/>
    </row>
    <row r="31" spans="1:44" ht="68.25" customHeight="1" x14ac:dyDescent="0.2">
      <c r="A31" s="2553"/>
      <c r="B31" s="2557"/>
      <c r="C31" s="2558"/>
      <c r="D31" s="2564"/>
      <c r="E31" s="2565"/>
      <c r="F31" s="2566"/>
      <c r="G31" s="109"/>
      <c r="H31" s="649"/>
      <c r="I31" s="650"/>
      <c r="J31" s="2590">
        <v>218</v>
      </c>
      <c r="K31" s="2574" t="s">
        <v>1420</v>
      </c>
      <c r="L31" s="2593" t="s">
        <v>1421</v>
      </c>
      <c r="M31" s="2622">
        <v>3</v>
      </c>
      <c r="N31" s="1237"/>
      <c r="O31" s="2571"/>
      <c r="P31" s="2573"/>
      <c r="Q31" s="2494">
        <f>R31/SUM(R12:R32)</f>
        <v>4.4020086861246782E-2</v>
      </c>
      <c r="R31" s="2595">
        <f>SUM(V31:V32)</f>
        <v>260000000</v>
      </c>
      <c r="S31" s="2574"/>
      <c r="T31" s="2574"/>
      <c r="U31" s="1229" t="s">
        <v>1422</v>
      </c>
      <c r="V31" s="1240">
        <v>251000000</v>
      </c>
      <c r="W31" s="2600"/>
      <c r="X31" s="2579"/>
      <c r="Y31" s="2597"/>
      <c r="Z31" s="2597"/>
      <c r="AA31" s="2597"/>
      <c r="AB31" s="2597"/>
      <c r="AC31" s="2597"/>
      <c r="AD31" s="2597"/>
      <c r="AE31" s="2597"/>
      <c r="AF31" s="2597"/>
      <c r="AG31" s="2597"/>
      <c r="AH31" s="2597"/>
      <c r="AI31" s="2597"/>
      <c r="AJ31" s="2597"/>
      <c r="AK31" s="2597"/>
      <c r="AL31" s="2597"/>
      <c r="AM31" s="2597"/>
      <c r="AN31" s="2597"/>
      <c r="AO31" s="2603"/>
      <c r="AP31" s="2603"/>
      <c r="AQ31" s="2592"/>
      <c r="AR31" s="1109"/>
    </row>
    <row r="32" spans="1:44" ht="90" customHeight="1" x14ac:dyDescent="0.2">
      <c r="A32" s="2553"/>
      <c r="B32" s="2557"/>
      <c r="C32" s="2558"/>
      <c r="D32" s="2564"/>
      <c r="E32" s="2565"/>
      <c r="F32" s="2566"/>
      <c r="G32" s="109"/>
      <c r="H32" s="655"/>
      <c r="I32" s="657"/>
      <c r="J32" s="2590"/>
      <c r="K32" s="2574"/>
      <c r="L32" s="2593"/>
      <c r="M32" s="2622"/>
      <c r="N32" s="1237"/>
      <c r="O32" s="2571"/>
      <c r="P32" s="2573"/>
      <c r="Q32" s="2494"/>
      <c r="R32" s="2595"/>
      <c r="S32" s="2574"/>
      <c r="T32" s="2574"/>
      <c r="U32" s="1238" t="s">
        <v>1423</v>
      </c>
      <c r="V32" s="1240">
        <v>9000000</v>
      </c>
      <c r="W32" s="2601"/>
      <c r="X32" s="2580"/>
      <c r="Y32" s="2598"/>
      <c r="Z32" s="2598"/>
      <c r="AA32" s="2598"/>
      <c r="AB32" s="2598"/>
      <c r="AC32" s="2598"/>
      <c r="AD32" s="2598"/>
      <c r="AE32" s="2598"/>
      <c r="AF32" s="2598"/>
      <c r="AG32" s="2598"/>
      <c r="AH32" s="2598"/>
      <c r="AI32" s="2598"/>
      <c r="AJ32" s="2598"/>
      <c r="AK32" s="2598"/>
      <c r="AL32" s="2598"/>
      <c r="AM32" s="2598"/>
      <c r="AN32" s="2598"/>
      <c r="AO32" s="2604"/>
      <c r="AP32" s="2604"/>
      <c r="AQ32" s="2592"/>
    </row>
    <row r="33" spans="1:43" s="109" customFormat="1" ht="15.75" x14ac:dyDescent="0.2">
      <c r="A33" s="2553"/>
      <c r="B33" s="2557"/>
      <c r="C33" s="2558"/>
      <c r="D33" s="2564"/>
      <c r="E33" s="2565"/>
      <c r="F33" s="2566"/>
      <c r="G33" s="1219">
        <v>76</v>
      </c>
      <c r="H33" s="152" t="s">
        <v>1424</v>
      </c>
      <c r="I33" s="152"/>
      <c r="J33" s="1243"/>
      <c r="K33" s="1244"/>
      <c r="L33" s="1245"/>
      <c r="M33" s="1246"/>
      <c r="N33" s="713"/>
      <c r="O33" s="1222"/>
      <c r="P33" s="598"/>
      <c r="Q33" s="1247"/>
      <c r="R33" s="1248"/>
      <c r="S33" s="1245"/>
      <c r="T33" s="1244"/>
      <c r="U33" s="1244"/>
      <c r="V33" s="1249"/>
      <c r="W33" s="1250"/>
      <c r="X33" s="623"/>
      <c r="Y33" s="152"/>
      <c r="Z33" s="152"/>
      <c r="AA33" s="152"/>
      <c r="AB33" s="152"/>
      <c r="AC33" s="152"/>
      <c r="AD33" s="152"/>
      <c r="AE33" s="152"/>
      <c r="AF33" s="152"/>
      <c r="AG33" s="152"/>
      <c r="AH33" s="152"/>
      <c r="AI33" s="152"/>
      <c r="AJ33" s="152"/>
      <c r="AK33" s="603"/>
      <c r="AL33" s="603"/>
      <c r="AM33" s="603"/>
      <c r="AN33" s="603"/>
      <c r="AO33" s="624"/>
      <c r="AP33" s="624"/>
      <c r="AQ33" s="1251"/>
    </row>
    <row r="34" spans="1:43" s="170" customFormat="1" ht="161.25" customHeight="1" x14ac:dyDescent="0.2">
      <c r="A34" s="2553"/>
      <c r="B34" s="2557"/>
      <c r="C34" s="2558"/>
      <c r="D34" s="2564"/>
      <c r="E34" s="2565"/>
      <c r="F34" s="2566"/>
      <c r="H34" s="1252"/>
      <c r="I34" s="1253"/>
      <c r="J34" s="1254">
        <v>219</v>
      </c>
      <c r="K34" s="1255" t="s">
        <v>1425</v>
      </c>
      <c r="L34" s="1255" t="s">
        <v>1426</v>
      </c>
      <c r="M34" s="1256">
        <v>11</v>
      </c>
      <c r="N34" s="1257"/>
      <c r="O34" s="2605" t="s">
        <v>1427</v>
      </c>
      <c r="P34" s="2608" t="s">
        <v>1428</v>
      </c>
      <c r="Q34" s="1258">
        <f>R34/SUM(R34:R44)</f>
        <v>0.37690336197798885</v>
      </c>
      <c r="R34" s="497">
        <f>SUM(V34:V34)</f>
        <v>500000000</v>
      </c>
      <c r="S34" s="2610" t="s">
        <v>1429</v>
      </c>
      <c r="T34" s="2610" t="s">
        <v>1430</v>
      </c>
      <c r="U34" s="1259" t="s">
        <v>1431</v>
      </c>
      <c r="V34" s="1260">
        <f>250000000+250000000</f>
        <v>500000000</v>
      </c>
      <c r="W34" s="2611" t="s">
        <v>1432</v>
      </c>
      <c r="X34" s="2614" t="s">
        <v>1433</v>
      </c>
      <c r="Y34" s="2619">
        <v>5173</v>
      </c>
      <c r="Z34" s="2619">
        <v>5075</v>
      </c>
      <c r="AA34" s="2619">
        <v>2519</v>
      </c>
      <c r="AB34" s="2619">
        <v>507</v>
      </c>
      <c r="AC34" s="2619">
        <v>5801</v>
      </c>
      <c r="AD34" s="2619">
        <v>1421</v>
      </c>
      <c r="AE34" s="2619"/>
      <c r="AF34" s="2619"/>
      <c r="AG34" s="2619"/>
      <c r="AH34" s="2619"/>
      <c r="AI34" s="2619"/>
      <c r="AJ34" s="2619"/>
      <c r="AK34" s="2619"/>
      <c r="AL34" s="2619"/>
      <c r="AM34" s="2619"/>
      <c r="AN34" s="2619">
        <v>10248</v>
      </c>
      <c r="AO34" s="2635">
        <v>43110</v>
      </c>
      <c r="AP34" s="2638">
        <v>43454</v>
      </c>
      <c r="AQ34" s="2630" t="s">
        <v>1392</v>
      </c>
    </row>
    <row r="35" spans="1:43" s="170" customFormat="1" ht="54" customHeight="1" x14ac:dyDescent="0.2">
      <c r="A35" s="2553"/>
      <c r="B35" s="2557"/>
      <c r="C35" s="2558"/>
      <c r="D35" s="2564"/>
      <c r="E35" s="2565"/>
      <c r="F35" s="2566"/>
      <c r="H35" s="1261"/>
      <c r="I35" s="1262"/>
      <c r="J35" s="2633">
        <v>220</v>
      </c>
      <c r="K35" s="2610" t="s">
        <v>1434</v>
      </c>
      <c r="L35" s="2610" t="s">
        <v>1435</v>
      </c>
      <c r="M35" s="2623">
        <v>12</v>
      </c>
      <c r="N35" s="1263"/>
      <c r="O35" s="2606"/>
      <c r="P35" s="2609"/>
      <c r="Q35" s="2624">
        <f>R35/SUM(R34:R44)</f>
        <v>0.57289311020654299</v>
      </c>
      <c r="R35" s="2625">
        <f>SUM(V35:V39)</f>
        <v>760000000</v>
      </c>
      <c r="S35" s="2610"/>
      <c r="T35" s="2610"/>
      <c r="U35" s="2626" t="s">
        <v>1436</v>
      </c>
      <c r="V35" s="2634">
        <f>157000000+120000000</f>
        <v>277000000</v>
      </c>
      <c r="W35" s="2612"/>
      <c r="X35" s="2615"/>
      <c r="Y35" s="2620"/>
      <c r="Z35" s="2620"/>
      <c r="AA35" s="2620"/>
      <c r="AB35" s="2620"/>
      <c r="AC35" s="2620"/>
      <c r="AD35" s="2620"/>
      <c r="AE35" s="2620"/>
      <c r="AF35" s="2620"/>
      <c r="AG35" s="2620"/>
      <c r="AH35" s="2620"/>
      <c r="AI35" s="2620"/>
      <c r="AJ35" s="2620"/>
      <c r="AK35" s="2620"/>
      <c r="AL35" s="2620"/>
      <c r="AM35" s="2620"/>
      <c r="AN35" s="2620"/>
      <c r="AO35" s="2636"/>
      <c r="AP35" s="2639"/>
      <c r="AQ35" s="2631"/>
    </row>
    <row r="36" spans="1:43" s="170" customFormat="1" ht="35.25" customHeight="1" x14ac:dyDescent="0.2">
      <c r="A36" s="2553"/>
      <c r="B36" s="2557"/>
      <c r="C36" s="2558"/>
      <c r="D36" s="2564"/>
      <c r="E36" s="2565"/>
      <c r="F36" s="2566"/>
      <c r="H36" s="1261"/>
      <c r="I36" s="1262"/>
      <c r="J36" s="2633"/>
      <c r="K36" s="2610"/>
      <c r="L36" s="2610"/>
      <c r="M36" s="2623"/>
      <c r="N36" s="1263"/>
      <c r="O36" s="2606"/>
      <c r="P36" s="2609"/>
      <c r="Q36" s="2624"/>
      <c r="R36" s="2625"/>
      <c r="S36" s="2610"/>
      <c r="T36" s="2610"/>
      <c r="U36" s="2626"/>
      <c r="V36" s="2634"/>
      <c r="W36" s="2612"/>
      <c r="X36" s="2615"/>
      <c r="Y36" s="2620"/>
      <c r="Z36" s="2620"/>
      <c r="AA36" s="2620"/>
      <c r="AB36" s="2620"/>
      <c r="AC36" s="2620"/>
      <c r="AD36" s="2620"/>
      <c r="AE36" s="2620"/>
      <c r="AF36" s="2620"/>
      <c r="AG36" s="2620"/>
      <c r="AH36" s="2620"/>
      <c r="AI36" s="2620"/>
      <c r="AJ36" s="2620"/>
      <c r="AK36" s="2620"/>
      <c r="AL36" s="2620"/>
      <c r="AM36" s="2620"/>
      <c r="AN36" s="2620"/>
      <c r="AO36" s="2636"/>
      <c r="AP36" s="2639"/>
      <c r="AQ36" s="2631"/>
    </row>
    <row r="37" spans="1:43" s="170" customFormat="1" ht="81.75" customHeight="1" x14ac:dyDescent="0.2">
      <c r="A37" s="2553"/>
      <c r="B37" s="2557"/>
      <c r="C37" s="2558"/>
      <c r="D37" s="2564"/>
      <c r="E37" s="2565"/>
      <c r="F37" s="2566"/>
      <c r="H37" s="1261"/>
      <c r="I37" s="1262"/>
      <c r="J37" s="2633"/>
      <c r="K37" s="2610"/>
      <c r="L37" s="2610"/>
      <c r="M37" s="2623"/>
      <c r="N37" s="1257" t="s">
        <v>1437</v>
      </c>
      <c r="O37" s="2606"/>
      <c r="P37" s="2609"/>
      <c r="Q37" s="2624"/>
      <c r="R37" s="2625"/>
      <c r="S37" s="2610"/>
      <c r="T37" s="2610"/>
      <c r="U37" s="1259" t="s">
        <v>1438</v>
      </c>
      <c r="V37" s="1260">
        <f>138000000+125000000</f>
        <v>263000000</v>
      </c>
      <c r="W37" s="2612"/>
      <c r="X37" s="2615"/>
      <c r="Y37" s="2620"/>
      <c r="Z37" s="2620"/>
      <c r="AA37" s="2620"/>
      <c r="AB37" s="2620"/>
      <c r="AC37" s="2620"/>
      <c r="AD37" s="2620"/>
      <c r="AE37" s="2620"/>
      <c r="AF37" s="2620"/>
      <c r="AG37" s="2620"/>
      <c r="AH37" s="2620"/>
      <c r="AI37" s="2620"/>
      <c r="AJ37" s="2620"/>
      <c r="AK37" s="2620"/>
      <c r="AL37" s="2620"/>
      <c r="AM37" s="2620"/>
      <c r="AN37" s="2620"/>
      <c r="AO37" s="2636"/>
      <c r="AP37" s="2639"/>
      <c r="AQ37" s="2631"/>
    </row>
    <row r="38" spans="1:43" s="170" customFormat="1" ht="59.25" customHeight="1" x14ac:dyDescent="0.2">
      <c r="A38" s="2553"/>
      <c r="B38" s="2557"/>
      <c r="C38" s="2558"/>
      <c r="D38" s="2564"/>
      <c r="E38" s="2565"/>
      <c r="F38" s="2566"/>
      <c r="H38" s="1261"/>
      <c r="I38" s="1262"/>
      <c r="J38" s="2633"/>
      <c r="K38" s="2610"/>
      <c r="L38" s="2610"/>
      <c r="M38" s="2623"/>
      <c r="N38" s="1263" t="s">
        <v>1439</v>
      </c>
      <c r="O38" s="2606"/>
      <c r="P38" s="2609"/>
      <c r="Q38" s="2624"/>
      <c r="R38" s="2625"/>
      <c r="S38" s="2610"/>
      <c r="T38" s="2610"/>
      <c r="U38" s="1259" t="s">
        <v>1440</v>
      </c>
      <c r="V38" s="1260">
        <f>120000000+85000000</f>
        <v>205000000</v>
      </c>
      <c r="W38" s="2612"/>
      <c r="X38" s="2615"/>
      <c r="Y38" s="2620"/>
      <c r="Z38" s="2620"/>
      <c r="AA38" s="2620"/>
      <c r="AB38" s="2620"/>
      <c r="AC38" s="2620"/>
      <c r="AD38" s="2620"/>
      <c r="AE38" s="2620"/>
      <c r="AF38" s="2620"/>
      <c r="AG38" s="2620"/>
      <c r="AH38" s="2620"/>
      <c r="AI38" s="2620"/>
      <c r="AJ38" s="2620"/>
      <c r="AK38" s="2620"/>
      <c r="AL38" s="2620"/>
      <c r="AM38" s="2620"/>
      <c r="AN38" s="2620"/>
      <c r="AO38" s="2636"/>
      <c r="AP38" s="2639"/>
      <c r="AQ38" s="2631"/>
    </row>
    <row r="39" spans="1:43" s="170" customFormat="1" ht="58.5" customHeight="1" x14ac:dyDescent="0.2">
      <c r="A39" s="2553"/>
      <c r="B39" s="2557"/>
      <c r="C39" s="2558"/>
      <c r="D39" s="2564"/>
      <c r="E39" s="2565"/>
      <c r="F39" s="2566"/>
      <c r="H39" s="1261"/>
      <c r="I39" s="1262"/>
      <c r="J39" s="2633"/>
      <c r="K39" s="2610"/>
      <c r="L39" s="2610"/>
      <c r="M39" s="2623"/>
      <c r="N39" s="1263" t="s">
        <v>1441</v>
      </c>
      <c r="O39" s="2606"/>
      <c r="P39" s="2609"/>
      <c r="Q39" s="2624"/>
      <c r="R39" s="2625"/>
      <c r="S39" s="2610"/>
      <c r="T39" s="2610"/>
      <c r="U39" s="1259" t="s">
        <v>1442</v>
      </c>
      <c r="V39" s="1260">
        <v>15000000</v>
      </c>
      <c r="W39" s="2612"/>
      <c r="X39" s="2615"/>
      <c r="Y39" s="2620"/>
      <c r="Z39" s="2620"/>
      <c r="AA39" s="2620"/>
      <c r="AB39" s="2620"/>
      <c r="AC39" s="2620"/>
      <c r="AD39" s="2620"/>
      <c r="AE39" s="2620"/>
      <c r="AF39" s="2620"/>
      <c r="AG39" s="2620"/>
      <c r="AH39" s="2620"/>
      <c r="AI39" s="2620"/>
      <c r="AJ39" s="2620"/>
      <c r="AK39" s="2620"/>
      <c r="AL39" s="2620"/>
      <c r="AM39" s="2620"/>
      <c r="AN39" s="2620"/>
      <c r="AO39" s="2636"/>
      <c r="AP39" s="2639"/>
      <c r="AQ39" s="2631"/>
    </row>
    <row r="40" spans="1:43" s="170" customFormat="1" ht="33" customHeight="1" x14ac:dyDescent="0.2">
      <c r="A40" s="2553"/>
      <c r="B40" s="2557"/>
      <c r="C40" s="2558"/>
      <c r="D40" s="2564"/>
      <c r="E40" s="2565"/>
      <c r="F40" s="2566"/>
      <c r="H40" s="1261"/>
      <c r="I40" s="1262"/>
      <c r="J40" s="2633">
        <v>221</v>
      </c>
      <c r="K40" s="2610" t="s">
        <v>1443</v>
      </c>
      <c r="L40" s="2610" t="s">
        <v>1444</v>
      </c>
      <c r="M40" s="2623">
        <v>1</v>
      </c>
      <c r="N40" s="1257"/>
      <c r="O40" s="2606"/>
      <c r="P40" s="2609"/>
      <c r="Q40" s="2624">
        <f>R40/SUM(R34:R44)</f>
        <v>2.3594150459822102E-2</v>
      </c>
      <c r="R40" s="2625">
        <f>SUM(V40:V43)</f>
        <v>31300000</v>
      </c>
      <c r="S40" s="2610"/>
      <c r="T40" s="2610"/>
      <c r="U40" s="2626" t="s">
        <v>1445</v>
      </c>
      <c r="V40" s="2617">
        <v>24300000</v>
      </c>
      <c r="W40" s="2612"/>
      <c r="X40" s="2615"/>
      <c r="Y40" s="2620"/>
      <c r="Z40" s="2620"/>
      <c r="AA40" s="2620"/>
      <c r="AB40" s="2620"/>
      <c r="AC40" s="2620"/>
      <c r="AD40" s="2620"/>
      <c r="AE40" s="2620"/>
      <c r="AF40" s="2620"/>
      <c r="AG40" s="2620"/>
      <c r="AH40" s="2620"/>
      <c r="AI40" s="2620"/>
      <c r="AJ40" s="2620"/>
      <c r="AK40" s="2620"/>
      <c r="AL40" s="2620"/>
      <c r="AM40" s="2620"/>
      <c r="AN40" s="2620"/>
      <c r="AO40" s="2636"/>
      <c r="AP40" s="2639"/>
      <c r="AQ40" s="2631"/>
    </row>
    <row r="41" spans="1:43" s="170" customFormat="1" ht="48" customHeight="1" x14ac:dyDescent="0.2">
      <c r="A41" s="2553"/>
      <c r="B41" s="2557"/>
      <c r="C41" s="2558"/>
      <c r="D41" s="2564"/>
      <c r="E41" s="2565"/>
      <c r="F41" s="2566"/>
      <c r="H41" s="1261"/>
      <c r="I41" s="1262"/>
      <c r="J41" s="2633"/>
      <c r="K41" s="2610"/>
      <c r="L41" s="2610"/>
      <c r="M41" s="2623"/>
      <c r="N41" s="1257"/>
      <c r="O41" s="2606"/>
      <c r="P41" s="2609"/>
      <c r="Q41" s="2624"/>
      <c r="R41" s="2625"/>
      <c r="S41" s="2610"/>
      <c r="T41" s="2610"/>
      <c r="U41" s="2626"/>
      <c r="V41" s="2618"/>
      <c r="W41" s="2612"/>
      <c r="X41" s="2615"/>
      <c r="Y41" s="2620"/>
      <c r="Z41" s="2620"/>
      <c r="AA41" s="2620"/>
      <c r="AB41" s="2620"/>
      <c r="AC41" s="2620"/>
      <c r="AD41" s="2620"/>
      <c r="AE41" s="2620"/>
      <c r="AF41" s="2620"/>
      <c r="AG41" s="2620"/>
      <c r="AH41" s="2620"/>
      <c r="AI41" s="2620"/>
      <c r="AJ41" s="2620"/>
      <c r="AK41" s="2620"/>
      <c r="AL41" s="2620"/>
      <c r="AM41" s="2620"/>
      <c r="AN41" s="2620"/>
      <c r="AO41" s="2636"/>
      <c r="AP41" s="2639"/>
      <c r="AQ41" s="2631"/>
    </row>
    <row r="42" spans="1:43" s="170" customFormat="1" ht="54.75" customHeight="1" x14ac:dyDescent="0.2">
      <c r="A42" s="2553"/>
      <c r="B42" s="2557"/>
      <c r="C42" s="2558"/>
      <c r="D42" s="2564"/>
      <c r="E42" s="2565"/>
      <c r="F42" s="2566"/>
      <c r="H42" s="1261"/>
      <c r="I42" s="1262"/>
      <c r="J42" s="2633"/>
      <c r="K42" s="2610"/>
      <c r="L42" s="2610"/>
      <c r="M42" s="2623"/>
      <c r="N42" s="1257"/>
      <c r="O42" s="2606"/>
      <c r="P42" s="2609"/>
      <c r="Q42" s="2624"/>
      <c r="R42" s="2625"/>
      <c r="S42" s="2610"/>
      <c r="T42" s="2610"/>
      <c r="U42" s="2626" t="s">
        <v>1446</v>
      </c>
      <c r="V42" s="2617">
        <v>7000000</v>
      </c>
      <c r="W42" s="2612"/>
      <c r="X42" s="2615"/>
      <c r="Y42" s="2620"/>
      <c r="Z42" s="2620"/>
      <c r="AA42" s="2620"/>
      <c r="AB42" s="2620"/>
      <c r="AC42" s="2620"/>
      <c r="AD42" s="2620"/>
      <c r="AE42" s="2620"/>
      <c r="AF42" s="2620"/>
      <c r="AG42" s="2620"/>
      <c r="AH42" s="2620"/>
      <c r="AI42" s="2620"/>
      <c r="AJ42" s="2620"/>
      <c r="AK42" s="2620"/>
      <c r="AL42" s="2620"/>
      <c r="AM42" s="2620"/>
      <c r="AN42" s="2620"/>
      <c r="AO42" s="2636"/>
      <c r="AP42" s="2639"/>
      <c r="AQ42" s="2631"/>
    </row>
    <row r="43" spans="1:43" s="170" customFormat="1" ht="26.25" customHeight="1" x14ac:dyDescent="0.2">
      <c r="A43" s="2553"/>
      <c r="B43" s="2557"/>
      <c r="C43" s="2558"/>
      <c r="D43" s="2564"/>
      <c r="E43" s="2565"/>
      <c r="F43" s="2566"/>
      <c r="H43" s="1261"/>
      <c r="I43" s="1262"/>
      <c r="J43" s="2633"/>
      <c r="K43" s="2610"/>
      <c r="L43" s="2610"/>
      <c r="M43" s="2623"/>
      <c r="N43" s="1257"/>
      <c r="O43" s="2607"/>
      <c r="P43" s="2609"/>
      <c r="Q43" s="2624"/>
      <c r="R43" s="2625"/>
      <c r="S43" s="2610"/>
      <c r="T43" s="2610"/>
      <c r="U43" s="2626"/>
      <c r="V43" s="2618"/>
      <c r="W43" s="2612"/>
      <c r="X43" s="2615"/>
      <c r="Y43" s="2620"/>
      <c r="Z43" s="2620"/>
      <c r="AA43" s="2620"/>
      <c r="AB43" s="2620"/>
      <c r="AC43" s="2620"/>
      <c r="AD43" s="2620"/>
      <c r="AE43" s="2620"/>
      <c r="AF43" s="2620"/>
      <c r="AG43" s="2620"/>
      <c r="AH43" s="2620"/>
      <c r="AI43" s="2620"/>
      <c r="AJ43" s="2620"/>
      <c r="AK43" s="2620"/>
      <c r="AL43" s="2620"/>
      <c r="AM43" s="2620"/>
      <c r="AN43" s="2620"/>
      <c r="AO43" s="2636"/>
      <c r="AP43" s="2639"/>
      <c r="AQ43" s="2631"/>
    </row>
    <row r="44" spans="1:43" s="170" customFormat="1" ht="102.75" customHeight="1" x14ac:dyDescent="0.2">
      <c r="A44" s="2553"/>
      <c r="B44" s="2557"/>
      <c r="C44" s="2558"/>
      <c r="D44" s="2567"/>
      <c r="E44" s="2568"/>
      <c r="F44" s="2569"/>
      <c r="H44" s="1264"/>
      <c r="I44" s="1265"/>
      <c r="J44" s="1254">
        <v>222</v>
      </c>
      <c r="K44" s="1255" t="s">
        <v>1447</v>
      </c>
      <c r="L44" s="1255" t="s">
        <v>1448</v>
      </c>
      <c r="M44" s="1256">
        <v>1</v>
      </c>
      <c r="N44" s="1257"/>
      <c r="O44" s="2607"/>
      <c r="P44" s="2609"/>
      <c r="Q44" s="1258">
        <f>R44/SUM(R34:R44)</f>
        <v>2.6609377355646013E-2</v>
      </c>
      <c r="R44" s="497">
        <f>+V44</f>
        <v>35300000</v>
      </c>
      <c r="S44" s="2610"/>
      <c r="T44" s="2610"/>
      <c r="U44" s="1255" t="s">
        <v>1449</v>
      </c>
      <c r="V44" s="1266">
        <v>35300000</v>
      </c>
      <c r="W44" s="2613"/>
      <c r="X44" s="2616"/>
      <c r="Y44" s="2621"/>
      <c r="Z44" s="2621"/>
      <c r="AA44" s="2621"/>
      <c r="AB44" s="2621"/>
      <c r="AC44" s="2621"/>
      <c r="AD44" s="2621"/>
      <c r="AE44" s="2621"/>
      <c r="AF44" s="2621"/>
      <c r="AG44" s="2621"/>
      <c r="AH44" s="2621"/>
      <c r="AI44" s="2621"/>
      <c r="AJ44" s="2621"/>
      <c r="AK44" s="2621"/>
      <c r="AL44" s="2621"/>
      <c r="AM44" s="2621"/>
      <c r="AN44" s="2621"/>
      <c r="AO44" s="2637"/>
      <c r="AP44" s="2640"/>
      <c r="AQ44" s="2632"/>
    </row>
    <row r="45" spans="1:43" s="109" customFormat="1" ht="15.75" x14ac:dyDescent="0.2">
      <c r="A45" s="2553"/>
      <c r="B45" s="2557"/>
      <c r="C45" s="2558"/>
      <c r="D45" s="885">
        <v>24</v>
      </c>
      <c r="E45" s="276" t="s">
        <v>1450</v>
      </c>
      <c r="F45" s="276"/>
      <c r="G45" s="242"/>
      <c r="H45" s="242"/>
      <c r="I45" s="242"/>
      <c r="J45" s="1267"/>
      <c r="K45" s="1268"/>
      <c r="L45" s="143"/>
      <c r="M45" s="249"/>
      <c r="N45" s="1212"/>
      <c r="O45" s="1210"/>
      <c r="P45" s="243"/>
      <c r="Q45" s="1269"/>
      <c r="R45" s="1055"/>
      <c r="S45" s="143"/>
      <c r="T45" s="1268"/>
      <c r="U45" s="1268"/>
      <c r="V45" s="1270"/>
      <c r="W45" s="1271"/>
      <c r="X45" s="1271"/>
      <c r="Y45" s="1216"/>
      <c r="Z45" s="1216"/>
      <c r="AA45" s="1216"/>
      <c r="AB45" s="1216"/>
      <c r="AC45" s="1216"/>
      <c r="AD45" s="1216"/>
      <c r="AE45" s="1216"/>
      <c r="AF45" s="1216"/>
      <c r="AG45" s="1216"/>
      <c r="AH45" s="1216"/>
      <c r="AI45" s="1216"/>
      <c r="AJ45" s="1216"/>
      <c r="AK45" s="1216"/>
      <c r="AL45" s="1217"/>
      <c r="AM45" s="243"/>
      <c r="AN45" s="243"/>
      <c r="AO45" s="244"/>
      <c r="AP45" s="244"/>
      <c r="AQ45" s="1218"/>
    </row>
    <row r="46" spans="1:43" s="109" customFormat="1" ht="15.75" x14ac:dyDescent="0.2">
      <c r="A46" s="2553"/>
      <c r="B46" s="2557"/>
      <c r="C46" s="2558"/>
      <c r="D46" s="2555"/>
      <c r="E46" s="2654"/>
      <c r="F46" s="2556"/>
      <c r="G46" s="1219">
        <v>78</v>
      </c>
      <c r="H46" s="152" t="s">
        <v>1451</v>
      </c>
      <c r="I46" s="152"/>
      <c r="J46" s="1220"/>
      <c r="K46" s="1221"/>
      <c r="L46" s="153"/>
      <c r="M46" s="160"/>
      <c r="N46" s="713"/>
      <c r="O46" s="1222"/>
      <c r="P46" s="598"/>
      <c r="Q46" s="1223"/>
      <c r="R46" s="1272"/>
      <c r="S46" s="153"/>
      <c r="T46" s="1221"/>
      <c r="U46" s="1221"/>
      <c r="V46" s="1273"/>
      <c r="W46" s="1226"/>
      <c r="X46" s="1226"/>
      <c r="Y46" s="1142"/>
      <c r="Z46" s="1142"/>
      <c r="AA46" s="1142"/>
      <c r="AB46" s="1142"/>
      <c r="AC46" s="1142"/>
      <c r="AD46" s="1142"/>
      <c r="AE46" s="1142"/>
      <c r="AF46" s="1142"/>
      <c r="AG46" s="1142"/>
      <c r="AH46" s="1142"/>
      <c r="AI46" s="1142"/>
      <c r="AJ46" s="1142"/>
      <c r="AK46" s="1142"/>
      <c r="AL46" s="1142"/>
      <c r="AM46" s="1142"/>
      <c r="AN46" s="1142"/>
      <c r="AO46" s="1142"/>
      <c r="AP46" s="1142"/>
      <c r="AQ46" s="1274"/>
    </row>
    <row r="47" spans="1:43" s="170" customFormat="1" ht="98.25" customHeight="1" x14ac:dyDescent="0.25">
      <c r="A47" s="2553"/>
      <c r="B47" s="2557"/>
      <c r="C47" s="2558"/>
      <c r="D47" s="2557"/>
      <c r="E47" s="2655"/>
      <c r="F47" s="2558"/>
      <c r="G47" s="1252"/>
      <c r="H47" s="1275"/>
      <c r="I47" s="1276"/>
      <c r="J47" s="2633">
        <v>226</v>
      </c>
      <c r="K47" s="2610" t="s">
        <v>1452</v>
      </c>
      <c r="L47" s="2610" t="s">
        <v>1453</v>
      </c>
      <c r="M47" s="2623">
        <v>12</v>
      </c>
      <c r="N47" s="2628" t="s">
        <v>1454</v>
      </c>
      <c r="O47" s="2606" t="s">
        <v>1455</v>
      </c>
      <c r="P47" s="2609" t="s">
        <v>1456</v>
      </c>
      <c r="Q47" s="2281">
        <f>R47/SUM(R47:R78)</f>
        <v>0.42084168336673344</v>
      </c>
      <c r="R47" s="2625">
        <f>SUM(V47:V61)</f>
        <v>210000000</v>
      </c>
      <c r="S47" s="2610" t="s">
        <v>1457</v>
      </c>
      <c r="T47" s="2610" t="s">
        <v>1458</v>
      </c>
      <c r="U47" s="2645" t="s">
        <v>1459</v>
      </c>
      <c r="V47" s="1260">
        <v>17000000</v>
      </c>
      <c r="W47" s="2647" t="s">
        <v>271</v>
      </c>
      <c r="X47" s="2648" t="s">
        <v>1460</v>
      </c>
      <c r="Y47" s="2650">
        <v>2386</v>
      </c>
      <c r="Z47" s="2641">
        <v>2323</v>
      </c>
      <c r="AA47" s="2641">
        <v>363</v>
      </c>
      <c r="AB47" s="2641">
        <v>1153</v>
      </c>
      <c r="AC47" s="2641">
        <v>1388</v>
      </c>
      <c r="AD47" s="2641">
        <v>1552</v>
      </c>
      <c r="AE47" s="2641">
        <v>112</v>
      </c>
      <c r="AF47" s="2641">
        <v>141</v>
      </c>
      <c r="AG47" s="2641"/>
      <c r="AH47" s="2641"/>
      <c r="AI47" s="2641"/>
      <c r="AJ47" s="2641"/>
      <c r="AK47" s="2641">
        <v>4709</v>
      </c>
      <c r="AL47" s="2641"/>
      <c r="AM47" s="2641"/>
      <c r="AN47" s="2641">
        <v>4709</v>
      </c>
      <c r="AO47" s="2635">
        <v>43110</v>
      </c>
      <c r="AP47" s="2635">
        <v>43454</v>
      </c>
      <c r="AQ47" s="2664" t="s">
        <v>1392</v>
      </c>
    </row>
    <row r="48" spans="1:43" s="170" customFormat="1" ht="34.5" customHeight="1" x14ac:dyDescent="0.25">
      <c r="A48" s="2553"/>
      <c r="B48" s="2557"/>
      <c r="C48" s="2558"/>
      <c r="D48" s="2557"/>
      <c r="E48" s="2655"/>
      <c r="F48" s="2558"/>
      <c r="G48" s="1261"/>
      <c r="H48" s="1277"/>
      <c r="I48" s="1278"/>
      <c r="J48" s="2633"/>
      <c r="K48" s="2610"/>
      <c r="L48" s="2610"/>
      <c r="M48" s="2623"/>
      <c r="N48" s="2628"/>
      <c r="O48" s="2606"/>
      <c r="P48" s="2609"/>
      <c r="Q48" s="2281"/>
      <c r="R48" s="2625"/>
      <c r="S48" s="2610"/>
      <c r="T48" s="2610"/>
      <c r="U48" s="2646"/>
      <c r="V48" s="1260">
        <v>10000000</v>
      </c>
      <c r="W48" s="2647"/>
      <c r="X48" s="2649"/>
      <c r="Y48" s="2651"/>
      <c r="Z48" s="2642"/>
      <c r="AA48" s="2642"/>
      <c r="AB48" s="2642"/>
      <c r="AC48" s="2642"/>
      <c r="AD48" s="2642"/>
      <c r="AE48" s="2642"/>
      <c r="AF48" s="2642"/>
      <c r="AG48" s="2642"/>
      <c r="AH48" s="2642"/>
      <c r="AI48" s="2642"/>
      <c r="AJ48" s="2642"/>
      <c r="AK48" s="2642"/>
      <c r="AL48" s="2642"/>
      <c r="AM48" s="2642"/>
      <c r="AN48" s="2642"/>
      <c r="AO48" s="2636"/>
      <c r="AP48" s="2636"/>
      <c r="AQ48" s="2664"/>
    </row>
    <row r="49" spans="1:43" s="170" customFormat="1" ht="45.75" customHeight="1" x14ac:dyDescent="0.25">
      <c r="A49" s="2553"/>
      <c r="B49" s="2557"/>
      <c r="C49" s="2558"/>
      <c r="D49" s="2557"/>
      <c r="E49" s="2655"/>
      <c r="F49" s="2558"/>
      <c r="G49" s="1277"/>
      <c r="H49" s="1277"/>
      <c r="I49" s="1278"/>
      <c r="J49" s="2633"/>
      <c r="K49" s="2610"/>
      <c r="L49" s="2610"/>
      <c r="M49" s="2623"/>
      <c r="N49" s="2628"/>
      <c r="O49" s="2606"/>
      <c r="P49" s="2609"/>
      <c r="Q49" s="2281"/>
      <c r="R49" s="2625"/>
      <c r="S49" s="2610"/>
      <c r="T49" s="2610"/>
      <c r="U49" s="2645" t="s">
        <v>1461</v>
      </c>
      <c r="V49" s="1260">
        <v>10000000</v>
      </c>
      <c r="W49" s="2647"/>
      <c r="X49" s="2649"/>
      <c r="Y49" s="2652"/>
      <c r="Z49" s="2643"/>
      <c r="AA49" s="2643"/>
      <c r="AB49" s="2643"/>
      <c r="AC49" s="2643"/>
      <c r="AD49" s="2643"/>
      <c r="AE49" s="2643"/>
      <c r="AF49" s="2643"/>
      <c r="AG49" s="2643"/>
      <c r="AH49" s="2643"/>
      <c r="AI49" s="2643"/>
      <c r="AJ49" s="2643"/>
      <c r="AK49" s="2643"/>
      <c r="AL49" s="2643"/>
      <c r="AM49" s="2643"/>
      <c r="AN49" s="2643"/>
      <c r="AO49" s="2636"/>
      <c r="AP49" s="2636"/>
      <c r="AQ49" s="2665"/>
    </row>
    <row r="50" spans="1:43" s="170" customFormat="1" ht="37.5" customHeight="1" x14ac:dyDescent="0.25">
      <c r="A50" s="2553"/>
      <c r="B50" s="2557"/>
      <c r="C50" s="2558"/>
      <c r="D50" s="2557"/>
      <c r="E50" s="2655"/>
      <c r="F50" s="2558"/>
      <c r="G50" s="1277"/>
      <c r="H50" s="1277"/>
      <c r="I50" s="1278"/>
      <c r="J50" s="2633"/>
      <c r="K50" s="2610"/>
      <c r="L50" s="2610"/>
      <c r="M50" s="2623"/>
      <c r="N50" s="2628"/>
      <c r="O50" s="2606"/>
      <c r="P50" s="2609"/>
      <c r="Q50" s="2281"/>
      <c r="R50" s="2625"/>
      <c r="S50" s="2610"/>
      <c r="T50" s="2610"/>
      <c r="U50" s="2663"/>
      <c r="V50" s="1260">
        <v>2500000</v>
      </c>
      <c r="W50" s="2647"/>
      <c r="X50" s="2649"/>
      <c r="Y50" s="2652"/>
      <c r="Z50" s="2643"/>
      <c r="AA50" s="2643"/>
      <c r="AB50" s="2643"/>
      <c r="AC50" s="2643"/>
      <c r="AD50" s="2643"/>
      <c r="AE50" s="2643"/>
      <c r="AF50" s="2643"/>
      <c r="AG50" s="2643"/>
      <c r="AH50" s="2643"/>
      <c r="AI50" s="2643"/>
      <c r="AJ50" s="2643"/>
      <c r="AK50" s="2643"/>
      <c r="AL50" s="2643"/>
      <c r="AM50" s="2643"/>
      <c r="AN50" s="2643"/>
      <c r="AO50" s="2636"/>
      <c r="AP50" s="2636"/>
      <c r="AQ50" s="2665"/>
    </row>
    <row r="51" spans="1:43" s="170" customFormat="1" ht="50.25" customHeight="1" x14ac:dyDescent="0.25">
      <c r="A51" s="2553"/>
      <c r="B51" s="2557"/>
      <c r="C51" s="2558"/>
      <c r="D51" s="2557"/>
      <c r="E51" s="2655"/>
      <c r="F51" s="2558"/>
      <c r="G51" s="1277"/>
      <c r="H51" s="1277"/>
      <c r="I51" s="1278"/>
      <c r="J51" s="2633"/>
      <c r="K51" s="2610"/>
      <c r="L51" s="2610"/>
      <c r="M51" s="2623"/>
      <c r="N51" s="2628"/>
      <c r="O51" s="2606"/>
      <c r="P51" s="2609"/>
      <c r="Q51" s="2281"/>
      <c r="R51" s="2625"/>
      <c r="S51" s="2610"/>
      <c r="T51" s="2610"/>
      <c r="U51" s="2645" t="s">
        <v>1462</v>
      </c>
      <c r="V51" s="1260">
        <v>15000000</v>
      </c>
      <c r="W51" s="2647"/>
      <c r="X51" s="2649"/>
      <c r="Y51" s="2652"/>
      <c r="Z51" s="2643"/>
      <c r="AA51" s="2643"/>
      <c r="AB51" s="2643"/>
      <c r="AC51" s="2643"/>
      <c r="AD51" s="2643"/>
      <c r="AE51" s="2643"/>
      <c r="AF51" s="2643"/>
      <c r="AG51" s="2643"/>
      <c r="AH51" s="2643"/>
      <c r="AI51" s="2643"/>
      <c r="AJ51" s="2643"/>
      <c r="AK51" s="2643"/>
      <c r="AL51" s="2643"/>
      <c r="AM51" s="2643"/>
      <c r="AN51" s="2643"/>
      <c r="AO51" s="2636"/>
      <c r="AP51" s="2636"/>
      <c r="AQ51" s="2665"/>
    </row>
    <row r="52" spans="1:43" s="170" customFormat="1" ht="41.25" customHeight="1" x14ac:dyDescent="0.25">
      <c r="A52" s="2553"/>
      <c r="B52" s="2557"/>
      <c r="C52" s="2558"/>
      <c r="D52" s="2557"/>
      <c r="E52" s="2655"/>
      <c r="F52" s="2558"/>
      <c r="G52" s="1277"/>
      <c r="H52" s="1277"/>
      <c r="I52" s="1278"/>
      <c r="J52" s="2633"/>
      <c r="K52" s="2610"/>
      <c r="L52" s="2610"/>
      <c r="M52" s="2623"/>
      <c r="N52" s="2628"/>
      <c r="O52" s="2606"/>
      <c r="P52" s="2609"/>
      <c r="Q52" s="2281"/>
      <c r="R52" s="2625"/>
      <c r="S52" s="2610"/>
      <c r="T52" s="2610"/>
      <c r="U52" s="2663"/>
      <c r="V52" s="1260">
        <v>2500000</v>
      </c>
      <c r="W52" s="2647"/>
      <c r="X52" s="2649"/>
      <c r="Y52" s="2652"/>
      <c r="Z52" s="2643"/>
      <c r="AA52" s="2643"/>
      <c r="AB52" s="2643"/>
      <c r="AC52" s="2643"/>
      <c r="AD52" s="2643"/>
      <c r="AE52" s="2643"/>
      <c r="AF52" s="2643"/>
      <c r="AG52" s="2643"/>
      <c r="AH52" s="2643"/>
      <c r="AI52" s="2643"/>
      <c r="AJ52" s="2643"/>
      <c r="AK52" s="2643"/>
      <c r="AL52" s="2643"/>
      <c r="AM52" s="2643"/>
      <c r="AN52" s="2643"/>
      <c r="AO52" s="2636"/>
      <c r="AP52" s="2636"/>
      <c r="AQ52" s="2665"/>
    </row>
    <row r="53" spans="1:43" s="170" customFormat="1" ht="90.75" customHeight="1" x14ac:dyDescent="0.25">
      <c r="A53" s="2553"/>
      <c r="B53" s="2557"/>
      <c r="C53" s="2558"/>
      <c r="D53" s="2557"/>
      <c r="E53" s="2655"/>
      <c r="F53" s="2558"/>
      <c r="G53" s="1277"/>
      <c r="H53" s="1277"/>
      <c r="I53" s="1278"/>
      <c r="J53" s="2633"/>
      <c r="K53" s="2610"/>
      <c r="L53" s="2610"/>
      <c r="M53" s="2623"/>
      <c r="N53" s="2628"/>
      <c r="O53" s="2606"/>
      <c r="P53" s="2609"/>
      <c r="Q53" s="2281"/>
      <c r="R53" s="2625"/>
      <c r="S53" s="2610"/>
      <c r="T53" s="2610"/>
      <c r="U53" s="2645" t="s">
        <v>1463</v>
      </c>
      <c r="V53" s="1260">
        <v>16000000</v>
      </c>
      <c r="W53" s="2647"/>
      <c r="X53" s="2649"/>
      <c r="Y53" s="2652"/>
      <c r="Z53" s="2643"/>
      <c r="AA53" s="2643"/>
      <c r="AB53" s="2643"/>
      <c r="AC53" s="2643"/>
      <c r="AD53" s="2643"/>
      <c r="AE53" s="2643"/>
      <c r="AF53" s="2643"/>
      <c r="AG53" s="2643"/>
      <c r="AH53" s="2643"/>
      <c r="AI53" s="2643"/>
      <c r="AJ53" s="2643"/>
      <c r="AK53" s="2643"/>
      <c r="AL53" s="2643"/>
      <c r="AM53" s="2643"/>
      <c r="AN53" s="2643"/>
      <c r="AO53" s="2636"/>
      <c r="AP53" s="2636"/>
      <c r="AQ53" s="2665"/>
    </row>
    <row r="54" spans="1:43" s="170" customFormat="1" ht="69.75" customHeight="1" x14ac:dyDescent="0.25">
      <c r="A54" s="2553"/>
      <c r="B54" s="2557"/>
      <c r="C54" s="2558"/>
      <c r="D54" s="2557"/>
      <c r="E54" s="2655"/>
      <c r="F54" s="2558"/>
      <c r="G54" s="1277"/>
      <c r="H54" s="1277"/>
      <c r="I54" s="1278"/>
      <c r="J54" s="2633"/>
      <c r="K54" s="2610"/>
      <c r="L54" s="2610"/>
      <c r="M54" s="2623"/>
      <c r="N54" s="2628"/>
      <c r="O54" s="2606"/>
      <c r="P54" s="2609"/>
      <c r="Q54" s="2281"/>
      <c r="R54" s="2625"/>
      <c r="S54" s="2610"/>
      <c r="T54" s="2610"/>
      <c r="U54" s="2663"/>
      <c r="V54" s="1260">
        <v>2500000</v>
      </c>
      <c r="W54" s="2647"/>
      <c r="X54" s="2649"/>
      <c r="Y54" s="2652"/>
      <c r="Z54" s="2643"/>
      <c r="AA54" s="2643"/>
      <c r="AB54" s="2643"/>
      <c r="AC54" s="2643"/>
      <c r="AD54" s="2643"/>
      <c r="AE54" s="2643"/>
      <c r="AF54" s="2643"/>
      <c r="AG54" s="2643"/>
      <c r="AH54" s="2643"/>
      <c r="AI54" s="2643"/>
      <c r="AJ54" s="2643"/>
      <c r="AK54" s="2643"/>
      <c r="AL54" s="2643"/>
      <c r="AM54" s="2643"/>
      <c r="AN54" s="2643"/>
      <c r="AO54" s="2636"/>
      <c r="AP54" s="2636"/>
      <c r="AQ54" s="2665"/>
    </row>
    <row r="55" spans="1:43" s="170" customFormat="1" ht="50.25" customHeight="1" x14ac:dyDescent="0.25">
      <c r="A55" s="2553"/>
      <c r="B55" s="2557"/>
      <c r="C55" s="2558"/>
      <c r="D55" s="2557"/>
      <c r="E55" s="2655"/>
      <c r="F55" s="2558"/>
      <c r="G55" s="1277"/>
      <c r="H55" s="1277"/>
      <c r="I55" s="1278"/>
      <c r="J55" s="2633"/>
      <c r="K55" s="2610"/>
      <c r="L55" s="2610"/>
      <c r="M55" s="2623"/>
      <c r="N55" s="2628"/>
      <c r="O55" s="2606"/>
      <c r="P55" s="2609"/>
      <c r="Q55" s="2281"/>
      <c r="R55" s="2625"/>
      <c r="S55" s="2610"/>
      <c r="T55" s="2610"/>
      <c r="U55" s="2645" t="s">
        <v>1464</v>
      </c>
      <c r="V55" s="1260">
        <v>20000000</v>
      </c>
      <c r="W55" s="2647"/>
      <c r="X55" s="2649"/>
      <c r="Y55" s="2652"/>
      <c r="Z55" s="2643"/>
      <c r="AA55" s="2643"/>
      <c r="AB55" s="2643"/>
      <c r="AC55" s="2643"/>
      <c r="AD55" s="2643"/>
      <c r="AE55" s="2643"/>
      <c r="AF55" s="2643"/>
      <c r="AG55" s="2643"/>
      <c r="AH55" s="2643"/>
      <c r="AI55" s="2643"/>
      <c r="AJ55" s="2643"/>
      <c r="AK55" s="2643"/>
      <c r="AL55" s="2643"/>
      <c r="AM55" s="2643"/>
      <c r="AN55" s="2643"/>
      <c r="AO55" s="2636"/>
      <c r="AP55" s="2636"/>
      <c r="AQ55" s="2665"/>
    </row>
    <row r="56" spans="1:43" s="170" customFormat="1" ht="47.25" customHeight="1" x14ac:dyDescent="0.25">
      <c r="A56" s="2553"/>
      <c r="B56" s="2557"/>
      <c r="C56" s="2558"/>
      <c r="D56" s="2557"/>
      <c r="E56" s="2655"/>
      <c r="F56" s="2558"/>
      <c r="G56" s="1277"/>
      <c r="H56" s="1277"/>
      <c r="I56" s="1278"/>
      <c r="J56" s="2633"/>
      <c r="K56" s="2610"/>
      <c r="L56" s="2610"/>
      <c r="M56" s="2623"/>
      <c r="N56" s="2628"/>
      <c r="O56" s="2606"/>
      <c r="P56" s="2609"/>
      <c r="Q56" s="2281"/>
      <c r="R56" s="2625"/>
      <c r="S56" s="2610"/>
      <c r="T56" s="2610"/>
      <c r="U56" s="2663"/>
      <c r="V56" s="1260">
        <v>1250000</v>
      </c>
      <c r="W56" s="2647"/>
      <c r="X56" s="2649"/>
      <c r="Y56" s="2652"/>
      <c r="Z56" s="2643"/>
      <c r="AA56" s="2643"/>
      <c r="AB56" s="2643"/>
      <c r="AC56" s="2643"/>
      <c r="AD56" s="2643"/>
      <c r="AE56" s="2643"/>
      <c r="AF56" s="2643"/>
      <c r="AG56" s="2643"/>
      <c r="AH56" s="2643"/>
      <c r="AI56" s="2643"/>
      <c r="AJ56" s="2643"/>
      <c r="AK56" s="2643"/>
      <c r="AL56" s="2643"/>
      <c r="AM56" s="2643"/>
      <c r="AN56" s="2643"/>
      <c r="AO56" s="2636"/>
      <c r="AP56" s="2636"/>
      <c r="AQ56" s="2665"/>
    </row>
    <row r="57" spans="1:43" s="170" customFormat="1" ht="60.75" customHeight="1" x14ac:dyDescent="0.25">
      <c r="A57" s="2553"/>
      <c r="B57" s="2557"/>
      <c r="C57" s="2558"/>
      <c r="D57" s="2557"/>
      <c r="E57" s="2655"/>
      <c r="F57" s="2558"/>
      <c r="G57" s="1277"/>
      <c r="H57" s="1277"/>
      <c r="I57" s="1278"/>
      <c r="J57" s="2633"/>
      <c r="K57" s="2610"/>
      <c r="L57" s="2610"/>
      <c r="M57" s="2623"/>
      <c r="N57" s="2628"/>
      <c r="O57" s="2606"/>
      <c r="P57" s="2609"/>
      <c r="Q57" s="2281"/>
      <c r="R57" s="2625"/>
      <c r="S57" s="2610"/>
      <c r="T57" s="2610"/>
      <c r="U57" s="2645" t="s">
        <v>1465</v>
      </c>
      <c r="V57" s="1260">
        <v>15000000</v>
      </c>
      <c r="W57" s="2647"/>
      <c r="X57" s="2649"/>
      <c r="Y57" s="2652"/>
      <c r="Z57" s="2643"/>
      <c r="AA57" s="2643"/>
      <c r="AB57" s="2643"/>
      <c r="AC57" s="2643"/>
      <c r="AD57" s="2643"/>
      <c r="AE57" s="2643"/>
      <c r="AF57" s="2643"/>
      <c r="AG57" s="2643"/>
      <c r="AH57" s="2643"/>
      <c r="AI57" s="2643"/>
      <c r="AJ57" s="2643"/>
      <c r="AK57" s="2643"/>
      <c r="AL57" s="2643"/>
      <c r="AM57" s="2643"/>
      <c r="AN57" s="2643"/>
      <c r="AO57" s="2636"/>
      <c r="AP57" s="2636"/>
      <c r="AQ57" s="2665"/>
    </row>
    <row r="58" spans="1:43" s="170" customFormat="1" ht="69" customHeight="1" x14ac:dyDescent="0.25">
      <c r="A58" s="2553"/>
      <c r="B58" s="2557"/>
      <c r="C58" s="2558"/>
      <c r="D58" s="2557"/>
      <c r="E58" s="2655"/>
      <c r="F58" s="2558"/>
      <c r="G58" s="1277"/>
      <c r="H58" s="1277"/>
      <c r="I58" s="1278"/>
      <c r="J58" s="2633"/>
      <c r="K58" s="2610"/>
      <c r="L58" s="2610"/>
      <c r="M58" s="2623"/>
      <c r="N58" s="2628"/>
      <c r="O58" s="2606"/>
      <c r="P58" s="2609"/>
      <c r="Q58" s="2281"/>
      <c r="R58" s="2625"/>
      <c r="S58" s="2610"/>
      <c r="T58" s="2610"/>
      <c r="U58" s="2663"/>
      <c r="V58" s="1260">
        <v>1250000</v>
      </c>
      <c r="W58" s="2647"/>
      <c r="X58" s="2649"/>
      <c r="Y58" s="2652"/>
      <c r="Z58" s="2643"/>
      <c r="AA58" s="2643"/>
      <c r="AB58" s="2643"/>
      <c r="AC58" s="2643"/>
      <c r="AD58" s="2643"/>
      <c r="AE58" s="2643"/>
      <c r="AF58" s="2643"/>
      <c r="AG58" s="2643"/>
      <c r="AH58" s="2643"/>
      <c r="AI58" s="2643"/>
      <c r="AJ58" s="2643"/>
      <c r="AK58" s="2643"/>
      <c r="AL58" s="2643"/>
      <c r="AM58" s="2643"/>
      <c r="AN58" s="2643"/>
      <c r="AO58" s="2636"/>
      <c r="AP58" s="2636"/>
      <c r="AQ58" s="2665"/>
    </row>
    <row r="59" spans="1:43" s="170" customFormat="1" ht="33.75" customHeight="1" x14ac:dyDescent="0.25">
      <c r="A59" s="2553"/>
      <c r="B59" s="2557"/>
      <c r="C59" s="2558"/>
      <c r="D59" s="2557"/>
      <c r="E59" s="2655"/>
      <c r="F59" s="2558"/>
      <c r="G59" s="1277"/>
      <c r="H59" s="1277"/>
      <c r="I59" s="1278"/>
      <c r="J59" s="2633"/>
      <c r="K59" s="2610"/>
      <c r="L59" s="2610"/>
      <c r="M59" s="2623"/>
      <c r="N59" s="2628"/>
      <c r="O59" s="2606"/>
      <c r="P59" s="2609"/>
      <c r="Q59" s="2281"/>
      <c r="R59" s="2625"/>
      <c r="S59" s="2610"/>
      <c r="T59" s="2610"/>
      <c r="U59" s="2645" t="s">
        <v>1466</v>
      </c>
      <c r="V59" s="1260">
        <v>62000000</v>
      </c>
      <c r="W59" s="2647"/>
      <c r="X59" s="2649"/>
      <c r="Y59" s="2652"/>
      <c r="Z59" s="2643"/>
      <c r="AA59" s="2643"/>
      <c r="AB59" s="2643"/>
      <c r="AC59" s="2643"/>
      <c r="AD59" s="2643"/>
      <c r="AE59" s="2643"/>
      <c r="AF59" s="2643"/>
      <c r="AG59" s="2643"/>
      <c r="AH59" s="2643"/>
      <c r="AI59" s="2643"/>
      <c r="AJ59" s="2643"/>
      <c r="AK59" s="2643"/>
      <c r="AL59" s="2643"/>
      <c r="AM59" s="2643"/>
      <c r="AN59" s="2643"/>
      <c r="AO59" s="2636"/>
      <c r="AP59" s="2636"/>
      <c r="AQ59" s="2665"/>
    </row>
    <row r="60" spans="1:43" s="170" customFormat="1" ht="33.75" customHeight="1" x14ac:dyDescent="0.25">
      <c r="A60" s="2553"/>
      <c r="B60" s="2557"/>
      <c r="C60" s="2558"/>
      <c r="D60" s="2557"/>
      <c r="E60" s="2655"/>
      <c r="F60" s="2558"/>
      <c r="G60" s="1277"/>
      <c r="H60" s="1277"/>
      <c r="I60" s="1278"/>
      <c r="J60" s="2633"/>
      <c r="K60" s="2610"/>
      <c r="L60" s="2610"/>
      <c r="M60" s="2623"/>
      <c r="N60" s="2628"/>
      <c r="O60" s="2606"/>
      <c r="P60" s="2609"/>
      <c r="Q60" s="2281"/>
      <c r="R60" s="2625"/>
      <c r="S60" s="2610"/>
      <c r="T60" s="2610"/>
      <c r="U60" s="2663"/>
      <c r="V60" s="1260">
        <v>20000000</v>
      </c>
      <c r="W60" s="2647"/>
      <c r="X60" s="2649"/>
      <c r="Y60" s="2652"/>
      <c r="Z60" s="2643"/>
      <c r="AA60" s="2643"/>
      <c r="AB60" s="2643"/>
      <c r="AC60" s="2643"/>
      <c r="AD60" s="2643"/>
      <c r="AE60" s="2643"/>
      <c r="AF60" s="2643"/>
      <c r="AG60" s="2643"/>
      <c r="AH60" s="2643"/>
      <c r="AI60" s="2643"/>
      <c r="AJ60" s="2643"/>
      <c r="AK60" s="2643"/>
      <c r="AL60" s="2643"/>
      <c r="AM60" s="2643"/>
      <c r="AN60" s="2643"/>
      <c r="AO60" s="2636"/>
      <c r="AP60" s="2636"/>
      <c r="AQ60" s="2665"/>
    </row>
    <row r="61" spans="1:43" s="170" customFormat="1" ht="40.5" customHeight="1" x14ac:dyDescent="0.25">
      <c r="A61" s="2553"/>
      <c r="B61" s="2557"/>
      <c r="C61" s="2558"/>
      <c r="D61" s="2557"/>
      <c r="E61" s="2655"/>
      <c r="F61" s="2558"/>
      <c r="G61" s="1277"/>
      <c r="H61" s="1277"/>
      <c r="I61" s="1278"/>
      <c r="J61" s="2633"/>
      <c r="K61" s="2610"/>
      <c r="L61" s="2610"/>
      <c r="M61" s="2623"/>
      <c r="N61" s="2628"/>
      <c r="O61" s="2606"/>
      <c r="P61" s="2609"/>
      <c r="Q61" s="2281"/>
      <c r="R61" s="2625"/>
      <c r="S61" s="2610"/>
      <c r="T61" s="2610"/>
      <c r="U61" s="1259" t="s">
        <v>1467</v>
      </c>
      <c r="V61" s="1260">
        <v>15000000</v>
      </c>
      <c r="W61" s="2647"/>
      <c r="X61" s="2649"/>
      <c r="Y61" s="2652"/>
      <c r="Z61" s="2643"/>
      <c r="AA61" s="2643"/>
      <c r="AB61" s="2643"/>
      <c r="AC61" s="2643"/>
      <c r="AD61" s="2643"/>
      <c r="AE61" s="2643"/>
      <c r="AF61" s="2643"/>
      <c r="AG61" s="2643"/>
      <c r="AH61" s="2643"/>
      <c r="AI61" s="2643"/>
      <c r="AJ61" s="2643"/>
      <c r="AK61" s="2643"/>
      <c r="AL61" s="2643"/>
      <c r="AM61" s="2643"/>
      <c r="AN61" s="2643"/>
      <c r="AO61" s="2636"/>
      <c r="AP61" s="2636"/>
      <c r="AQ61" s="2665"/>
    </row>
    <row r="62" spans="1:43" s="170" customFormat="1" ht="74.25" customHeight="1" x14ac:dyDescent="0.25">
      <c r="A62" s="2553"/>
      <c r="B62" s="2557"/>
      <c r="C62" s="2558"/>
      <c r="D62" s="2557"/>
      <c r="E62" s="2655"/>
      <c r="F62" s="2558"/>
      <c r="G62" s="1277"/>
      <c r="H62" s="1277"/>
      <c r="I62" s="1278"/>
      <c r="J62" s="2658">
        <v>227</v>
      </c>
      <c r="K62" s="2610" t="s">
        <v>1468</v>
      </c>
      <c r="L62" s="2610" t="s">
        <v>1469</v>
      </c>
      <c r="M62" s="2623">
        <v>12</v>
      </c>
      <c r="N62" s="2628"/>
      <c r="O62" s="2606"/>
      <c r="P62" s="2609"/>
      <c r="Q62" s="2281">
        <f>R62/SUM(R47:R78)</f>
        <v>0.38076152304609218</v>
      </c>
      <c r="R62" s="2625">
        <f>SUM(V62:V64)</f>
        <v>190000000</v>
      </c>
      <c r="S62" s="2610"/>
      <c r="T62" s="2610"/>
      <c r="U62" s="1259" t="s">
        <v>1470</v>
      </c>
      <c r="V62" s="1260">
        <v>10000000</v>
      </c>
      <c r="W62" s="2647"/>
      <c r="X62" s="2649"/>
      <c r="Y62" s="2652"/>
      <c r="Z62" s="2643"/>
      <c r="AA62" s="2643"/>
      <c r="AB62" s="2643"/>
      <c r="AC62" s="2643"/>
      <c r="AD62" s="2643"/>
      <c r="AE62" s="2643"/>
      <c r="AF62" s="2643"/>
      <c r="AG62" s="2643"/>
      <c r="AH62" s="2643"/>
      <c r="AI62" s="2643"/>
      <c r="AJ62" s="2643"/>
      <c r="AK62" s="2643"/>
      <c r="AL62" s="2643"/>
      <c r="AM62" s="2643"/>
      <c r="AN62" s="2643"/>
      <c r="AO62" s="2636"/>
      <c r="AP62" s="2636"/>
      <c r="AQ62" s="2665"/>
    </row>
    <row r="63" spans="1:43" s="170" customFormat="1" ht="84" customHeight="1" x14ac:dyDescent="0.25">
      <c r="A63" s="2553"/>
      <c r="B63" s="2557"/>
      <c r="C63" s="2558"/>
      <c r="D63" s="2557"/>
      <c r="E63" s="2655"/>
      <c r="F63" s="2558"/>
      <c r="G63" s="1277"/>
      <c r="H63" s="1277"/>
      <c r="I63" s="1278"/>
      <c r="J63" s="2658"/>
      <c r="K63" s="2610"/>
      <c r="L63" s="2610"/>
      <c r="M63" s="2623"/>
      <c r="N63" s="2628"/>
      <c r="O63" s="2606"/>
      <c r="P63" s="2609"/>
      <c r="Q63" s="2281"/>
      <c r="R63" s="2625"/>
      <c r="S63" s="2610"/>
      <c r="T63" s="2610"/>
      <c r="U63" s="1259" t="s">
        <v>1471</v>
      </c>
      <c r="V63" s="1260">
        <v>80000000</v>
      </c>
      <c r="W63" s="2647"/>
      <c r="X63" s="2649"/>
      <c r="Y63" s="2652"/>
      <c r="Z63" s="2643"/>
      <c r="AA63" s="2643"/>
      <c r="AB63" s="2643"/>
      <c r="AC63" s="2643"/>
      <c r="AD63" s="2643"/>
      <c r="AE63" s="2643"/>
      <c r="AF63" s="2643"/>
      <c r="AG63" s="2643"/>
      <c r="AH63" s="2643"/>
      <c r="AI63" s="2643"/>
      <c r="AJ63" s="2643"/>
      <c r="AK63" s="2643"/>
      <c r="AL63" s="2643"/>
      <c r="AM63" s="2643"/>
      <c r="AN63" s="2643"/>
      <c r="AO63" s="2636"/>
      <c r="AP63" s="2636"/>
      <c r="AQ63" s="2665"/>
    </row>
    <row r="64" spans="1:43" s="170" customFormat="1" ht="103.5" customHeight="1" x14ac:dyDescent="0.25">
      <c r="A64" s="2553"/>
      <c r="B64" s="2557"/>
      <c r="C64" s="2558"/>
      <c r="D64" s="2557"/>
      <c r="E64" s="2655"/>
      <c r="F64" s="2558"/>
      <c r="G64" s="1277"/>
      <c r="H64" s="1277"/>
      <c r="I64" s="1278"/>
      <c r="J64" s="2658"/>
      <c r="K64" s="2610"/>
      <c r="L64" s="2610"/>
      <c r="M64" s="2623"/>
      <c r="N64" s="2628"/>
      <c r="O64" s="2606"/>
      <c r="P64" s="2609"/>
      <c r="Q64" s="2281"/>
      <c r="R64" s="2625"/>
      <c r="S64" s="2610"/>
      <c r="T64" s="2610"/>
      <c r="U64" s="1279" t="s">
        <v>1472</v>
      </c>
      <c r="V64" s="1260">
        <v>100000000</v>
      </c>
      <c r="W64" s="2647"/>
      <c r="X64" s="2649"/>
      <c r="Y64" s="2652"/>
      <c r="Z64" s="2643"/>
      <c r="AA64" s="2643"/>
      <c r="AB64" s="2643"/>
      <c r="AC64" s="2643"/>
      <c r="AD64" s="2643"/>
      <c r="AE64" s="2643"/>
      <c r="AF64" s="2643"/>
      <c r="AG64" s="2643"/>
      <c r="AH64" s="2643"/>
      <c r="AI64" s="2643"/>
      <c r="AJ64" s="2643"/>
      <c r="AK64" s="2643"/>
      <c r="AL64" s="2643"/>
      <c r="AM64" s="2643"/>
      <c r="AN64" s="2643"/>
      <c r="AO64" s="2636"/>
      <c r="AP64" s="2636"/>
      <c r="AQ64" s="2665"/>
    </row>
    <row r="65" spans="1:43" s="170" customFormat="1" ht="52.5" customHeight="1" x14ac:dyDescent="0.25">
      <c r="A65" s="2553"/>
      <c r="B65" s="2557"/>
      <c r="C65" s="2558"/>
      <c r="D65" s="2557"/>
      <c r="E65" s="2655"/>
      <c r="F65" s="2558"/>
      <c r="G65" s="1277"/>
      <c r="H65" s="1277"/>
      <c r="I65" s="1278"/>
      <c r="J65" s="2658">
        <v>228</v>
      </c>
      <c r="K65" s="2610" t="s">
        <v>1473</v>
      </c>
      <c r="L65" s="2610" t="s">
        <v>1474</v>
      </c>
      <c r="M65" s="2623">
        <v>2</v>
      </c>
      <c r="N65" s="2628"/>
      <c r="O65" s="2606"/>
      <c r="P65" s="2609"/>
      <c r="Q65" s="2281">
        <f>R65/SUM(R47:R78)</f>
        <v>7.0140280561122245E-2</v>
      </c>
      <c r="R65" s="2625">
        <f>SUM(V65:V71)</f>
        <v>35000000</v>
      </c>
      <c r="S65" s="2610"/>
      <c r="T65" s="2610"/>
      <c r="U65" s="1259" t="s">
        <v>1475</v>
      </c>
      <c r="V65" s="1260">
        <v>6400000</v>
      </c>
      <c r="W65" s="2647"/>
      <c r="X65" s="2649"/>
      <c r="Y65" s="2652"/>
      <c r="Z65" s="2643"/>
      <c r="AA65" s="2643"/>
      <c r="AB65" s="2643"/>
      <c r="AC65" s="2643"/>
      <c r="AD65" s="2643"/>
      <c r="AE65" s="2643"/>
      <c r="AF65" s="2643"/>
      <c r="AG65" s="2643"/>
      <c r="AH65" s="2643"/>
      <c r="AI65" s="2643"/>
      <c r="AJ65" s="2643"/>
      <c r="AK65" s="2643"/>
      <c r="AL65" s="2643"/>
      <c r="AM65" s="2643"/>
      <c r="AN65" s="2643"/>
      <c r="AO65" s="2636"/>
      <c r="AP65" s="2636"/>
      <c r="AQ65" s="2665"/>
    </row>
    <row r="66" spans="1:43" s="170" customFormat="1" ht="30" customHeight="1" x14ac:dyDescent="0.25">
      <c r="A66" s="2553"/>
      <c r="B66" s="2557"/>
      <c r="C66" s="2558"/>
      <c r="D66" s="2557"/>
      <c r="E66" s="2655"/>
      <c r="F66" s="2558"/>
      <c r="G66" s="1277"/>
      <c r="H66" s="1277"/>
      <c r="I66" s="1278"/>
      <c r="J66" s="2658"/>
      <c r="K66" s="2610"/>
      <c r="L66" s="2610"/>
      <c r="M66" s="2623"/>
      <c r="N66" s="2628"/>
      <c r="O66" s="2606"/>
      <c r="P66" s="2609"/>
      <c r="Q66" s="2281"/>
      <c r="R66" s="2625"/>
      <c r="S66" s="2610"/>
      <c r="T66" s="2610"/>
      <c r="U66" s="2645" t="s">
        <v>1476</v>
      </c>
      <c r="V66" s="1260">
        <v>11200000</v>
      </c>
      <c r="W66" s="2647"/>
      <c r="X66" s="2649"/>
      <c r="Y66" s="2652"/>
      <c r="Z66" s="2643"/>
      <c r="AA66" s="2643"/>
      <c r="AB66" s="2643"/>
      <c r="AC66" s="2643"/>
      <c r="AD66" s="2643"/>
      <c r="AE66" s="2643"/>
      <c r="AF66" s="2643"/>
      <c r="AG66" s="2643"/>
      <c r="AH66" s="2643"/>
      <c r="AI66" s="2643"/>
      <c r="AJ66" s="2643"/>
      <c r="AK66" s="2643"/>
      <c r="AL66" s="2643"/>
      <c r="AM66" s="2643"/>
      <c r="AN66" s="2643"/>
      <c r="AO66" s="2636"/>
      <c r="AP66" s="2636"/>
      <c r="AQ66" s="2665"/>
    </row>
    <row r="67" spans="1:43" s="170" customFormat="1" ht="30" customHeight="1" x14ac:dyDescent="0.25">
      <c r="A67" s="2553"/>
      <c r="B67" s="2557"/>
      <c r="C67" s="2558"/>
      <c r="D67" s="2557"/>
      <c r="E67" s="2655"/>
      <c r="F67" s="2558"/>
      <c r="G67" s="1277"/>
      <c r="H67" s="1277"/>
      <c r="I67" s="1278"/>
      <c r="J67" s="2658"/>
      <c r="K67" s="2610"/>
      <c r="L67" s="2610"/>
      <c r="M67" s="2623"/>
      <c r="N67" s="2628"/>
      <c r="O67" s="2606"/>
      <c r="P67" s="2609"/>
      <c r="Q67" s="2281"/>
      <c r="R67" s="2625"/>
      <c r="S67" s="2610"/>
      <c r="T67" s="2610"/>
      <c r="U67" s="2663"/>
      <c r="V67" s="1260">
        <v>5000000</v>
      </c>
      <c r="W67" s="2647"/>
      <c r="X67" s="2649"/>
      <c r="Y67" s="2652"/>
      <c r="Z67" s="2643"/>
      <c r="AA67" s="2643"/>
      <c r="AB67" s="2643"/>
      <c r="AC67" s="2643"/>
      <c r="AD67" s="2643"/>
      <c r="AE67" s="2643"/>
      <c r="AF67" s="2643"/>
      <c r="AG67" s="2643"/>
      <c r="AH67" s="2643"/>
      <c r="AI67" s="2643"/>
      <c r="AJ67" s="2643"/>
      <c r="AK67" s="2643"/>
      <c r="AL67" s="2643"/>
      <c r="AM67" s="2643"/>
      <c r="AN67" s="2643"/>
      <c r="AO67" s="2636"/>
      <c r="AP67" s="2636"/>
      <c r="AQ67" s="2665"/>
    </row>
    <row r="68" spans="1:43" s="170" customFormat="1" ht="46.5" customHeight="1" x14ac:dyDescent="0.25">
      <c r="A68" s="2553"/>
      <c r="B68" s="2557"/>
      <c r="C68" s="2558"/>
      <c r="D68" s="2557"/>
      <c r="E68" s="2655"/>
      <c r="F68" s="2558"/>
      <c r="G68" s="1277"/>
      <c r="H68" s="1277"/>
      <c r="I68" s="1278"/>
      <c r="J68" s="2658"/>
      <c r="K68" s="2610"/>
      <c r="L68" s="2610"/>
      <c r="M68" s="2623"/>
      <c r="N68" s="2628"/>
      <c r="O68" s="2606"/>
      <c r="P68" s="2609"/>
      <c r="Q68" s="2281"/>
      <c r="R68" s="2625"/>
      <c r="S68" s="2610"/>
      <c r="T68" s="2610"/>
      <c r="U68" s="1259" t="s">
        <v>1477</v>
      </c>
      <c r="V68" s="1260">
        <v>7500000</v>
      </c>
      <c r="W68" s="2647"/>
      <c r="X68" s="2649"/>
      <c r="Y68" s="2652"/>
      <c r="Z68" s="2643"/>
      <c r="AA68" s="2643"/>
      <c r="AB68" s="2643"/>
      <c r="AC68" s="2643"/>
      <c r="AD68" s="2643"/>
      <c r="AE68" s="2643"/>
      <c r="AF68" s="2643"/>
      <c r="AG68" s="2643"/>
      <c r="AH68" s="2643"/>
      <c r="AI68" s="2643"/>
      <c r="AJ68" s="2643"/>
      <c r="AK68" s="2643"/>
      <c r="AL68" s="2643"/>
      <c r="AM68" s="2643"/>
      <c r="AN68" s="2643"/>
      <c r="AO68" s="2636"/>
      <c r="AP68" s="2636"/>
      <c r="AQ68" s="2665"/>
    </row>
    <row r="69" spans="1:43" s="170" customFormat="1" ht="99.75" customHeight="1" x14ac:dyDescent="0.25">
      <c r="A69" s="2553"/>
      <c r="B69" s="2557"/>
      <c r="C69" s="2558"/>
      <c r="D69" s="2557"/>
      <c r="E69" s="2655"/>
      <c r="F69" s="2558"/>
      <c r="G69" s="1277"/>
      <c r="H69" s="1277"/>
      <c r="I69" s="1278"/>
      <c r="J69" s="2658"/>
      <c r="K69" s="2610"/>
      <c r="L69" s="2610"/>
      <c r="M69" s="2623"/>
      <c r="N69" s="2628"/>
      <c r="O69" s="2606"/>
      <c r="P69" s="2609"/>
      <c r="Q69" s="2281"/>
      <c r="R69" s="2625"/>
      <c r="S69" s="2610"/>
      <c r="T69" s="2610"/>
      <c r="U69" s="1259" t="s">
        <v>1478</v>
      </c>
      <c r="V69" s="1260">
        <v>1600000</v>
      </c>
      <c r="W69" s="2647"/>
      <c r="X69" s="2649"/>
      <c r="Y69" s="2652"/>
      <c r="Z69" s="2643"/>
      <c r="AA69" s="2643"/>
      <c r="AB69" s="2643"/>
      <c r="AC69" s="2643"/>
      <c r="AD69" s="2643"/>
      <c r="AE69" s="2643"/>
      <c r="AF69" s="2643"/>
      <c r="AG69" s="2643"/>
      <c r="AH69" s="2643"/>
      <c r="AI69" s="2643"/>
      <c r="AJ69" s="2643"/>
      <c r="AK69" s="2643"/>
      <c r="AL69" s="2643"/>
      <c r="AM69" s="2643"/>
      <c r="AN69" s="2643"/>
      <c r="AO69" s="2636"/>
      <c r="AP69" s="2636"/>
      <c r="AQ69" s="2665"/>
    </row>
    <row r="70" spans="1:43" s="170" customFormat="1" ht="101.25" customHeight="1" x14ac:dyDescent="0.25">
      <c r="A70" s="2553"/>
      <c r="B70" s="2557"/>
      <c r="C70" s="2558"/>
      <c r="D70" s="2557"/>
      <c r="E70" s="2655"/>
      <c r="F70" s="2558"/>
      <c r="G70" s="1277"/>
      <c r="H70" s="1277"/>
      <c r="I70" s="1278"/>
      <c r="J70" s="2659"/>
      <c r="K70" s="2660"/>
      <c r="L70" s="2660"/>
      <c r="M70" s="2661"/>
      <c r="N70" s="2628"/>
      <c r="O70" s="2606"/>
      <c r="P70" s="2609"/>
      <c r="Q70" s="2666"/>
      <c r="R70" s="2667"/>
      <c r="S70" s="2610"/>
      <c r="T70" s="2610"/>
      <c r="U70" s="1259" t="s">
        <v>1479</v>
      </c>
      <c r="V70" s="1260">
        <v>900000</v>
      </c>
      <c r="W70" s="2647"/>
      <c r="X70" s="2649"/>
      <c r="Y70" s="2652"/>
      <c r="Z70" s="2643"/>
      <c r="AA70" s="2643"/>
      <c r="AB70" s="2643"/>
      <c r="AC70" s="2643"/>
      <c r="AD70" s="2643"/>
      <c r="AE70" s="2643"/>
      <c r="AF70" s="2643"/>
      <c r="AG70" s="2643"/>
      <c r="AH70" s="2643"/>
      <c r="AI70" s="2643"/>
      <c r="AJ70" s="2643"/>
      <c r="AK70" s="2643"/>
      <c r="AL70" s="2643"/>
      <c r="AM70" s="2643"/>
      <c r="AN70" s="2643"/>
      <c r="AO70" s="2636"/>
      <c r="AP70" s="2636"/>
      <c r="AQ70" s="2665"/>
    </row>
    <row r="71" spans="1:43" s="170" customFormat="1" ht="39" customHeight="1" x14ac:dyDescent="0.25">
      <c r="A71" s="2553"/>
      <c r="B71" s="2557"/>
      <c r="C71" s="2558"/>
      <c r="D71" s="2557"/>
      <c r="E71" s="2655"/>
      <c r="F71" s="2558"/>
      <c r="G71" s="1277"/>
      <c r="H71" s="1277"/>
      <c r="I71" s="1278"/>
      <c r="J71" s="2659"/>
      <c r="K71" s="2660"/>
      <c r="L71" s="2660"/>
      <c r="M71" s="2661"/>
      <c r="N71" s="2628"/>
      <c r="O71" s="2606"/>
      <c r="P71" s="2609"/>
      <c r="Q71" s="2666"/>
      <c r="R71" s="2667"/>
      <c r="S71" s="2610"/>
      <c r="T71" s="2610"/>
      <c r="U71" s="1259" t="s">
        <v>1480</v>
      </c>
      <c r="V71" s="1260">
        <v>2400000</v>
      </c>
      <c r="W71" s="2647"/>
      <c r="X71" s="2649"/>
      <c r="Y71" s="2652"/>
      <c r="Z71" s="2643"/>
      <c r="AA71" s="2643"/>
      <c r="AB71" s="2643"/>
      <c r="AC71" s="2643"/>
      <c r="AD71" s="2643"/>
      <c r="AE71" s="2643"/>
      <c r="AF71" s="2643"/>
      <c r="AG71" s="2643"/>
      <c r="AH71" s="2643"/>
      <c r="AI71" s="2643"/>
      <c r="AJ71" s="2643"/>
      <c r="AK71" s="2643"/>
      <c r="AL71" s="2643"/>
      <c r="AM71" s="2643"/>
      <c r="AN71" s="2643"/>
      <c r="AO71" s="2636"/>
      <c r="AP71" s="2636"/>
      <c r="AQ71" s="2665"/>
    </row>
    <row r="72" spans="1:43" s="170" customFormat="1" ht="70.5" customHeight="1" x14ac:dyDescent="0.25">
      <c r="A72" s="2553"/>
      <c r="B72" s="2557"/>
      <c r="C72" s="2558"/>
      <c r="D72" s="2557"/>
      <c r="E72" s="2655"/>
      <c r="F72" s="2558"/>
      <c r="G72" s="1277"/>
      <c r="H72" s="1277"/>
      <c r="I72" s="1278"/>
      <c r="J72" s="2658">
        <v>229</v>
      </c>
      <c r="K72" s="2610" t="s">
        <v>1481</v>
      </c>
      <c r="L72" s="2610" t="s">
        <v>1482</v>
      </c>
      <c r="M72" s="2623">
        <v>13</v>
      </c>
      <c r="N72" s="2628"/>
      <c r="O72" s="2606"/>
      <c r="P72" s="2609"/>
      <c r="Q72" s="2281">
        <f>R72/SUM(R47:R78)</f>
        <v>7.5150300601202411E-2</v>
      </c>
      <c r="R72" s="2625">
        <f>SUM(V72:V74)</f>
        <v>37500000</v>
      </c>
      <c r="S72" s="2610"/>
      <c r="T72" s="2610"/>
      <c r="U72" s="2645" t="s">
        <v>1483</v>
      </c>
      <c r="V72" s="1260">
        <v>5400000</v>
      </c>
      <c r="W72" s="2647"/>
      <c r="X72" s="2649"/>
      <c r="Y72" s="2652"/>
      <c r="Z72" s="2643"/>
      <c r="AA72" s="2643"/>
      <c r="AB72" s="2643"/>
      <c r="AC72" s="2643"/>
      <c r="AD72" s="2643"/>
      <c r="AE72" s="2643"/>
      <c r="AF72" s="2643"/>
      <c r="AG72" s="2643"/>
      <c r="AH72" s="2643"/>
      <c r="AI72" s="2643"/>
      <c r="AJ72" s="2643"/>
      <c r="AK72" s="2643"/>
      <c r="AL72" s="2643"/>
      <c r="AM72" s="2643"/>
      <c r="AN72" s="2643"/>
      <c r="AO72" s="2636"/>
      <c r="AP72" s="2636"/>
      <c r="AQ72" s="2665"/>
    </row>
    <row r="73" spans="1:43" s="170" customFormat="1" ht="70.5" customHeight="1" x14ac:dyDescent="0.25">
      <c r="A73" s="2553"/>
      <c r="B73" s="2557"/>
      <c r="C73" s="2558"/>
      <c r="D73" s="2557"/>
      <c r="E73" s="2655"/>
      <c r="F73" s="2558"/>
      <c r="G73" s="1277"/>
      <c r="H73" s="1277"/>
      <c r="I73" s="1278"/>
      <c r="J73" s="2658"/>
      <c r="K73" s="2610"/>
      <c r="L73" s="2610"/>
      <c r="M73" s="2623"/>
      <c r="N73" s="2628"/>
      <c r="O73" s="2606"/>
      <c r="P73" s="2609"/>
      <c r="Q73" s="2281"/>
      <c r="R73" s="2625"/>
      <c r="S73" s="2610"/>
      <c r="T73" s="2610"/>
      <c r="U73" s="2663"/>
      <c r="V73" s="1260">
        <v>2500000</v>
      </c>
      <c r="W73" s="2647"/>
      <c r="X73" s="2649"/>
      <c r="Y73" s="2652"/>
      <c r="Z73" s="2643"/>
      <c r="AA73" s="2643"/>
      <c r="AB73" s="2643"/>
      <c r="AC73" s="2643"/>
      <c r="AD73" s="2643"/>
      <c r="AE73" s="2643"/>
      <c r="AF73" s="2643"/>
      <c r="AG73" s="2643"/>
      <c r="AH73" s="2643"/>
      <c r="AI73" s="2643"/>
      <c r="AJ73" s="2643"/>
      <c r="AK73" s="2643"/>
      <c r="AL73" s="2643"/>
      <c r="AM73" s="2643"/>
      <c r="AN73" s="2643"/>
      <c r="AO73" s="2636"/>
      <c r="AP73" s="2636"/>
      <c r="AQ73" s="2665"/>
    </row>
    <row r="74" spans="1:43" s="170" customFormat="1" ht="105" customHeight="1" x14ac:dyDescent="0.25">
      <c r="A74" s="2553"/>
      <c r="B74" s="2557"/>
      <c r="C74" s="2558"/>
      <c r="D74" s="2557"/>
      <c r="E74" s="2655"/>
      <c r="F74" s="2558"/>
      <c r="G74" s="1277"/>
      <c r="H74" s="1277"/>
      <c r="I74" s="1278"/>
      <c r="J74" s="2658"/>
      <c r="K74" s="2610"/>
      <c r="L74" s="2610"/>
      <c r="M74" s="2623"/>
      <c r="N74" s="2628"/>
      <c r="O74" s="2606"/>
      <c r="P74" s="2609"/>
      <c r="Q74" s="2281"/>
      <c r="R74" s="2625"/>
      <c r="S74" s="2610"/>
      <c r="T74" s="2610"/>
      <c r="U74" s="1259" t="s">
        <v>1484</v>
      </c>
      <c r="V74" s="1260">
        <v>29600000</v>
      </c>
      <c r="W74" s="2647"/>
      <c r="X74" s="2649"/>
      <c r="Y74" s="2652"/>
      <c r="Z74" s="2643"/>
      <c r="AA74" s="2643"/>
      <c r="AB74" s="2643"/>
      <c r="AC74" s="2643"/>
      <c r="AD74" s="2643"/>
      <c r="AE74" s="2643"/>
      <c r="AF74" s="2643"/>
      <c r="AG74" s="2643"/>
      <c r="AH74" s="2643"/>
      <c r="AI74" s="2643"/>
      <c r="AJ74" s="2643"/>
      <c r="AK74" s="2643"/>
      <c r="AL74" s="2643"/>
      <c r="AM74" s="2643"/>
      <c r="AN74" s="2643"/>
      <c r="AO74" s="2636"/>
      <c r="AP74" s="2636"/>
      <c r="AQ74" s="2665"/>
    </row>
    <row r="75" spans="1:43" s="170" customFormat="1" ht="45.75" customHeight="1" x14ac:dyDescent="0.25">
      <c r="A75" s="2553"/>
      <c r="B75" s="2557"/>
      <c r="C75" s="2558"/>
      <c r="D75" s="2557"/>
      <c r="E75" s="2655"/>
      <c r="F75" s="2558"/>
      <c r="G75" s="1277"/>
      <c r="H75" s="1277"/>
      <c r="I75" s="1278"/>
      <c r="J75" s="2658">
        <v>230</v>
      </c>
      <c r="K75" s="2610" t="s">
        <v>1485</v>
      </c>
      <c r="L75" s="2610" t="s">
        <v>1486</v>
      </c>
      <c r="M75" s="2623">
        <v>1</v>
      </c>
      <c r="N75" s="2628"/>
      <c r="O75" s="2606"/>
      <c r="P75" s="2609"/>
      <c r="Q75" s="2281">
        <f>R75/SUM(R47:R78)</f>
        <v>5.3106212424849697E-2</v>
      </c>
      <c r="R75" s="2625">
        <f>SUM(V75:V78)</f>
        <v>26500000</v>
      </c>
      <c r="S75" s="2610"/>
      <c r="T75" s="2610"/>
      <c r="U75" s="2645" t="s">
        <v>1487</v>
      </c>
      <c r="V75" s="1260">
        <v>7500000</v>
      </c>
      <c r="W75" s="2647"/>
      <c r="X75" s="2649"/>
      <c r="Y75" s="2652"/>
      <c r="Z75" s="2643"/>
      <c r="AA75" s="2643"/>
      <c r="AB75" s="2643"/>
      <c r="AC75" s="2643"/>
      <c r="AD75" s="2643"/>
      <c r="AE75" s="2643"/>
      <c r="AF75" s="2643"/>
      <c r="AG75" s="2643"/>
      <c r="AH75" s="2643"/>
      <c r="AI75" s="2643"/>
      <c r="AJ75" s="2643"/>
      <c r="AK75" s="2643"/>
      <c r="AL75" s="2643"/>
      <c r="AM75" s="2643"/>
      <c r="AN75" s="2643"/>
      <c r="AO75" s="2636"/>
      <c r="AP75" s="2636"/>
      <c r="AQ75" s="2665"/>
    </row>
    <row r="76" spans="1:43" s="170" customFormat="1" ht="46.5" customHeight="1" x14ac:dyDescent="0.25">
      <c r="A76" s="2553"/>
      <c r="B76" s="2557"/>
      <c r="C76" s="2558"/>
      <c r="D76" s="2557"/>
      <c r="E76" s="2655"/>
      <c r="F76" s="2558"/>
      <c r="G76" s="1277"/>
      <c r="H76" s="1277"/>
      <c r="I76" s="1278"/>
      <c r="J76" s="2658"/>
      <c r="K76" s="2610"/>
      <c r="L76" s="2610"/>
      <c r="M76" s="2623"/>
      <c r="N76" s="2628"/>
      <c r="O76" s="2606"/>
      <c r="P76" s="2609"/>
      <c r="Q76" s="2281"/>
      <c r="R76" s="2625"/>
      <c r="S76" s="2610"/>
      <c r="T76" s="2610"/>
      <c r="U76" s="2663"/>
      <c r="V76" s="1260">
        <v>2500000</v>
      </c>
      <c r="W76" s="2647"/>
      <c r="X76" s="2649"/>
      <c r="Y76" s="2652"/>
      <c r="Z76" s="2643"/>
      <c r="AA76" s="2643"/>
      <c r="AB76" s="2643"/>
      <c r="AC76" s="2643"/>
      <c r="AD76" s="2643"/>
      <c r="AE76" s="2643"/>
      <c r="AF76" s="2643"/>
      <c r="AG76" s="2643"/>
      <c r="AH76" s="2643"/>
      <c r="AI76" s="2643"/>
      <c r="AJ76" s="2643"/>
      <c r="AK76" s="2643"/>
      <c r="AL76" s="2643"/>
      <c r="AM76" s="2643"/>
      <c r="AN76" s="2643"/>
      <c r="AO76" s="2636"/>
      <c r="AP76" s="2636"/>
      <c r="AQ76" s="2665"/>
    </row>
    <row r="77" spans="1:43" s="170" customFormat="1" ht="54.75" customHeight="1" x14ac:dyDescent="0.25">
      <c r="A77" s="2553"/>
      <c r="B77" s="2557"/>
      <c r="C77" s="2558"/>
      <c r="D77" s="2557"/>
      <c r="E77" s="2655"/>
      <c r="F77" s="2558"/>
      <c r="G77" s="1277"/>
      <c r="H77" s="1277"/>
      <c r="I77" s="1278"/>
      <c r="J77" s="2658"/>
      <c r="K77" s="2610"/>
      <c r="L77" s="2610"/>
      <c r="M77" s="2623"/>
      <c r="N77" s="2628"/>
      <c r="O77" s="2606"/>
      <c r="P77" s="2609"/>
      <c r="Q77" s="2281"/>
      <c r="R77" s="2625"/>
      <c r="S77" s="2610"/>
      <c r="T77" s="2610"/>
      <c r="U77" s="1259" t="s">
        <v>1488</v>
      </c>
      <c r="V77" s="1260">
        <v>12500000</v>
      </c>
      <c r="W77" s="2647"/>
      <c r="X77" s="2649"/>
      <c r="Y77" s="2652"/>
      <c r="Z77" s="2643"/>
      <c r="AA77" s="2643"/>
      <c r="AB77" s="2643"/>
      <c r="AC77" s="2643"/>
      <c r="AD77" s="2643"/>
      <c r="AE77" s="2643"/>
      <c r="AF77" s="2643"/>
      <c r="AG77" s="2643"/>
      <c r="AH77" s="2643"/>
      <c r="AI77" s="2643"/>
      <c r="AJ77" s="2643"/>
      <c r="AK77" s="2643"/>
      <c r="AL77" s="2643"/>
      <c r="AM77" s="2643"/>
      <c r="AN77" s="2643"/>
      <c r="AO77" s="2636"/>
      <c r="AP77" s="2636"/>
      <c r="AQ77" s="2665"/>
    </row>
    <row r="78" spans="1:43" s="170" customFormat="1" ht="37.5" customHeight="1" x14ac:dyDescent="0.25">
      <c r="A78" s="2553"/>
      <c r="B78" s="2557"/>
      <c r="C78" s="2558"/>
      <c r="D78" s="2557"/>
      <c r="E78" s="2655"/>
      <c r="F78" s="2558"/>
      <c r="G78" s="1280"/>
      <c r="H78" s="1280"/>
      <c r="I78" s="1281"/>
      <c r="J78" s="2658"/>
      <c r="K78" s="2610"/>
      <c r="L78" s="2610"/>
      <c r="M78" s="2623"/>
      <c r="N78" s="2657"/>
      <c r="O78" s="2676"/>
      <c r="P78" s="2662"/>
      <c r="Q78" s="2281"/>
      <c r="R78" s="2625"/>
      <c r="S78" s="2610"/>
      <c r="T78" s="2610"/>
      <c r="U78" s="1259" t="s">
        <v>1480</v>
      </c>
      <c r="V78" s="1260">
        <v>4000000</v>
      </c>
      <c r="W78" s="2647"/>
      <c r="X78" s="2649"/>
      <c r="Y78" s="2653"/>
      <c r="Z78" s="2644"/>
      <c r="AA78" s="2644"/>
      <c r="AB78" s="2644"/>
      <c r="AC78" s="2644"/>
      <c r="AD78" s="2644"/>
      <c r="AE78" s="2644"/>
      <c r="AF78" s="2644"/>
      <c r="AG78" s="2644"/>
      <c r="AH78" s="2644"/>
      <c r="AI78" s="2644"/>
      <c r="AJ78" s="2644"/>
      <c r="AK78" s="2644"/>
      <c r="AL78" s="2644"/>
      <c r="AM78" s="2644"/>
      <c r="AN78" s="2644"/>
      <c r="AO78" s="2637"/>
      <c r="AP78" s="2637"/>
      <c r="AQ78" s="2665"/>
    </row>
    <row r="79" spans="1:43" s="170" customFormat="1" ht="15.75" x14ac:dyDescent="0.2">
      <c r="A79" s="2553"/>
      <c r="B79" s="2557"/>
      <c r="C79" s="2558"/>
      <c r="D79" s="2557"/>
      <c r="E79" s="2655"/>
      <c r="F79" s="2558"/>
      <c r="G79" s="1282">
        <v>79</v>
      </c>
      <c r="H79" s="1283" t="s">
        <v>1489</v>
      </c>
      <c r="I79" s="1283"/>
      <c r="J79" s="1284"/>
      <c r="K79" s="1285"/>
      <c r="L79" s="1286"/>
      <c r="M79" s="1287"/>
      <c r="N79" s="1288"/>
      <c r="O79" s="1289"/>
      <c r="P79" s="1290"/>
      <c r="Q79" s="1291"/>
      <c r="R79" s="1292"/>
      <c r="S79" s="1286"/>
      <c r="T79" s="1285"/>
      <c r="U79" s="1285"/>
      <c r="V79" s="1293"/>
      <c r="W79" s="1294"/>
      <c r="X79" s="1294"/>
      <c r="Y79" s="1295"/>
      <c r="Z79" s="1295"/>
      <c r="AA79" s="1295"/>
      <c r="AB79" s="1295"/>
      <c r="AC79" s="1295"/>
      <c r="AD79" s="1295"/>
      <c r="AE79" s="1295"/>
      <c r="AF79" s="1295"/>
      <c r="AG79" s="1295"/>
      <c r="AH79" s="1295"/>
      <c r="AI79" s="1295"/>
      <c r="AJ79" s="1295"/>
      <c r="AK79" s="1295"/>
      <c r="AL79" s="1295"/>
      <c r="AM79" s="1295"/>
      <c r="AN79" s="1295"/>
      <c r="AO79" s="1295"/>
      <c r="AP79" s="1295"/>
      <c r="AQ79" s="1296"/>
    </row>
    <row r="80" spans="1:43" s="170" customFormat="1" ht="66.75" customHeight="1" x14ac:dyDescent="0.2">
      <c r="A80" s="2553"/>
      <c r="B80" s="2557"/>
      <c r="C80" s="2558"/>
      <c r="D80" s="2557"/>
      <c r="E80" s="2655"/>
      <c r="F80" s="2558"/>
      <c r="H80" s="1252"/>
      <c r="I80" s="1253"/>
      <c r="J80" s="2668">
        <v>231</v>
      </c>
      <c r="K80" s="2670" t="s">
        <v>1490</v>
      </c>
      <c r="L80" s="2614" t="s">
        <v>1491</v>
      </c>
      <c r="M80" s="2672">
        <v>1</v>
      </c>
      <c r="N80" s="2628" t="s">
        <v>1492</v>
      </c>
      <c r="O80" s="2674" t="s">
        <v>1493</v>
      </c>
      <c r="P80" s="2608" t="s">
        <v>1494</v>
      </c>
      <c r="Q80" s="2680">
        <f>(R80)/(R80+R82+R86)</f>
        <v>0.13942307692307693</v>
      </c>
      <c r="R80" s="2682">
        <f>SUM(V80:V81)</f>
        <v>7250000</v>
      </c>
      <c r="S80" s="2610" t="s">
        <v>1495</v>
      </c>
      <c r="T80" s="2610" t="s">
        <v>1496</v>
      </c>
      <c r="U80" s="1279" t="s">
        <v>1497</v>
      </c>
      <c r="V80" s="1297">
        <v>3750000</v>
      </c>
      <c r="W80" s="2684" t="s">
        <v>271</v>
      </c>
      <c r="X80" s="2614" t="s">
        <v>1498</v>
      </c>
      <c r="Y80" s="2677">
        <v>1657</v>
      </c>
      <c r="Z80" s="2677">
        <v>1599</v>
      </c>
      <c r="AA80" s="2677">
        <v>367</v>
      </c>
      <c r="AB80" s="2677">
        <v>571</v>
      </c>
      <c r="AC80" s="2677">
        <v>1852</v>
      </c>
      <c r="AD80" s="2677"/>
      <c r="AE80" s="2677">
        <v>466</v>
      </c>
      <c r="AF80" s="2677"/>
      <c r="AG80" s="2677"/>
      <c r="AH80" s="2677"/>
      <c r="AI80" s="2677"/>
      <c r="AJ80" s="2677"/>
      <c r="AK80" s="2677"/>
      <c r="AL80" s="2677"/>
      <c r="AM80" s="2677"/>
      <c r="AN80" s="2677">
        <v>3256</v>
      </c>
      <c r="AO80" s="2635">
        <v>43110</v>
      </c>
      <c r="AP80" s="2635">
        <v>43454</v>
      </c>
      <c r="AQ80" s="2664" t="s">
        <v>1499</v>
      </c>
    </row>
    <row r="81" spans="1:43" s="170" customFormat="1" ht="74.25" customHeight="1" x14ac:dyDescent="0.2">
      <c r="A81" s="2553"/>
      <c r="B81" s="2557"/>
      <c r="C81" s="2558"/>
      <c r="D81" s="2557"/>
      <c r="E81" s="2655"/>
      <c r="F81" s="2558"/>
      <c r="H81" s="1261"/>
      <c r="I81" s="1262"/>
      <c r="J81" s="2669"/>
      <c r="K81" s="2671"/>
      <c r="L81" s="2615"/>
      <c r="M81" s="2673"/>
      <c r="N81" s="2629"/>
      <c r="O81" s="2607"/>
      <c r="P81" s="2609"/>
      <c r="Q81" s="2681"/>
      <c r="R81" s="2683"/>
      <c r="S81" s="2610"/>
      <c r="T81" s="2610"/>
      <c r="U81" s="1279" t="s">
        <v>1500</v>
      </c>
      <c r="V81" s="1297">
        <v>3500000</v>
      </c>
      <c r="W81" s="2685"/>
      <c r="X81" s="2679"/>
      <c r="Y81" s="2678"/>
      <c r="Z81" s="2678"/>
      <c r="AA81" s="2678"/>
      <c r="AB81" s="2678"/>
      <c r="AC81" s="2678"/>
      <c r="AD81" s="2678"/>
      <c r="AE81" s="2678"/>
      <c r="AF81" s="2678"/>
      <c r="AG81" s="2678"/>
      <c r="AH81" s="2678"/>
      <c r="AI81" s="2678"/>
      <c r="AJ81" s="2678"/>
      <c r="AK81" s="2678"/>
      <c r="AL81" s="2678"/>
      <c r="AM81" s="2678"/>
      <c r="AN81" s="2678"/>
      <c r="AO81" s="2636"/>
      <c r="AP81" s="2636"/>
      <c r="AQ81" s="2665"/>
    </row>
    <row r="82" spans="1:43" s="170" customFormat="1" ht="39.75" customHeight="1" x14ac:dyDescent="0.2">
      <c r="A82" s="2553"/>
      <c r="B82" s="2557"/>
      <c r="C82" s="2558"/>
      <c r="D82" s="2557"/>
      <c r="E82" s="2655"/>
      <c r="F82" s="2558"/>
      <c r="H82" s="1261"/>
      <c r="I82" s="1262"/>
      <c r="J82" s="2633">
        <v>232</v>
      </c>
      <c r="K82" s="2610" t="s">
        <v>1501</v>
      </c>
      <c r="L82" s="2610" t="s">
        <v>1502</v>
      </c>
      <c r="M82" s="2627">
        <v>12</v>
      </c>
      <c r="N82" s="2629"/>
      <c r="O82" s="2607"/>
      <c r="P82" s="2609"/>
      <c r="Q82" s="2686">
        <f>(R82)/(R80+R82+R86)</f>
        <v>0.45769230769230768</v>
      </c>
      <c r="R82" s="2687">
        <f>SUM(V82:V85)</f>
        <v>23800000</v>
      </c>
      <c r="S82" s="2610"/>
      <c r="T82" s="2610"/>
      <c r="U82" s="1279" t="s">
        <v>1503</v>
      </c>
      <c r="V82" s="1297">
        <v>11000000</v>
      </c>
      <c r="W82" s="2685"/>
      <c r="X82" s="2679"/>
      <c r="Y82" s="2678"/>
      <c r="Z82" s="2678"/>
      <c r="AA82" s="2678"/>
      <c r="AB82" s="2678"/>
      <c r="AC82" s="2678"/>
      <c r="AD82" s="2678"/>
      <c r="AE82" s="2678"/>
      <c r="AF82" s="2678"/>
      <c r="AG82" s="2678"/>
      <c r="AH82" s="2678"/>
      <c r="AI82" s="2678"/>
      <c r="AJ82" s="2678"/>
      <c r="AK82" s="2678"/>
      <c r="AL82" s="2678"/>
      <c r="AM82" s="2678"/>
      <c r="AN82" s="2678"/>
      <c r="AO82" s="2636"/>
      <c r="AP82" s="2636"/>
      <c r="AQ82" s="2665"/>
    </row>
    <row r="83" spans="1:43" s="170" customFormat="1" ht="99.75" customHeight="1" x14ac:dyDescent="0.2">
      <c r="A83" s="2553"/>
      <c r="B83" s="2557"/>
      <c r="C83" s="2558"/>
      <c r="D83" s="2557"/>
      <c r="E83" s="2655"/>
      <c r="F83" s="2558"/>
      <c r="H83" s="1261"/>
      <c r="I83" s="1262"/>
      <c r="J83" s="2633"/>
      <c r="K83" s="2610"/>
      <c r="L83" s="2610"/>
      <c r="M83" s="2627"/>
      <c r="N83" s="2629"/>
      <c r="O83" s="2607"/>
      <c r="P83" s="2609"/>
      <c r="Q83" s="2686"/>
      <c r="R83" s="2687"/>
      <c r="S83" s="2610"/>
      <c r="T83" s="2610"/>
      <c r="U83" s="1279" t="s">
        <v>1504</v>
      </c>
      <c r="V83" s="1297">
        <v>11250000</v>
      </c>
      <c r="W83" s="2685"/>
      <c r="X83" s="2679"/>
      <c r="Y83" s="2678"/>
      <c r="Z83" s="2678"/>
      <c r="AA83" s="2678"/>
      <c r="AB83" s="2678"/>
      <c r="AC83" s="2678"/>
      <c r="AD83" s="2678"/>
      <c r="AE83" s="2678"/>
      <c r="AF83" s="2678"/>
      <c r="AG83" s="2678"/>
      <c r="AH83" s="2678"/>
      <c r="AI83" s="2678"/>
      <c r="AJ83" s="2678"/>
      <c r="AK83" s="2678"/>
      <c r="AL83" s="2678"/>
      <c r="AM83" s="2678"/>
      <c r="AN83" s="2678"/>
      <c r="AO83" s="2636"/>
      <c r="AP83" s="2636"/>
      <c r="AQ83" s="2665"/>
    </row>
    <row r="84" spans="1:43" s="170" customFormat="1" ht="24" customHeight="1" x14ac:dyDescent="0.2">
      <c r="A84" s="2553"/>
      <c r="B84" s="2557"/>
      <c r="C84" s="2558"/>
      <c r="D84" s="2557"/>
      <c r="E84" s="2655"/>
      <c r="F84" s="2558"/>
      <c r="H84" s="1261"/>
      <c r="I84" s="1262"/>
      <c r="J84" s="2633"/>
      <c r="K84" s="2610"/>
      <c r="L84" s="2610"/>
      <c r="M84" s="2627"/>
      <c r="N84" s="2629"/>
      <c r="O84" s="2607"/>
      <c r="P84" s="2609"/>
      <c r="Q84" s="2686"/>
      <c r="R84" s="2687"/>
      <c r="S84" s="2610"/>
      <c r="T84" s="2610"/>
      <c r="U84" s="1259" t="s">
        <v>1480</v>
      </c>
      <c r="V84" s="1297">
        <v>500000</v>
      </c>
      <c r="W84" s="2685"/>
      <c r="X84" s="2679"/>
      <c r="Y84" s="2678"/>
      <c r="Z84" s="2678"/>
      <c r="AA84" s="2678"/>
      <c r="AB84" s="2678"/>
      <c r="AC84" s="2678"/>
      <c r="AD84" s="2678"/>
      <c r="AE84" s="2678"/>
      <c r="AF84" s="2678"/>
      <c r="AG84" s="2678"/>
      <c r="AH84" s="2678"/>
      <c r="AI84" s="2678"/>
      <c r="AJ84" s="2678"/>
      <c r="AK84" s="2678"/>
      <c r="AL84" s="2678"/>
      <c r="AM84" s="2678"/>
      <c r="AN84" s="2678"/>
      <c r="AO84" s="2636"/>
      <c r="AP84" s="2636"/>
      <c r="AQ84" s="2665"/>
    </row>
    <row r="85" spans="1:43" s="170" customFormat="1" ht="24" customHeight="1" x14ac:dyDescent="0.2">
      <c r="A85" s="2553"/>
      <c r="B85" s="2557"/>
      <c r="C85" s="2558"/>
      <c r="D85" s="2557"/>
      <c r="E85" s="2655"/>
      <c r="F85" s="2558"/>
      <c r="H85" s="1261"/>
      <c r="I85" s="1262"/>
      <c r="J85" s="2668"/>
      <c r="K85" s="2670"/>
      <c r="L85" s="2610"/>
      <c r="M85" s="2627"/>
      <c r="N85" s="2629"/>
      <c r="O85" s="2607"/>
      <c r="P85" s="2609"/>
      <c r="Q85" s="2686"/>
      <c r="R85" s="2687"/>
      <c r="S85" s="2610"/>
      <c r="T85" s="2610"/>
      <c r="U85" s="1259" t="s">
        <v>1505</v>
      </c>
      <c r="V85" s="1297">
        <v>1050000</v>
      </c>
      <c r="W85" s="2685"/>
      <c r="X85" s="2679"/>
      <c r="Y85" s="2678"/>
      <c r="Z85" s="2678"/>
      <c r="AA85" s="2678"/>
      <c r="AB85" s="2678"/>
      <c r="AC85" s="2678"/>
      <c r="AD85" s="2678"/>
      <c r="AE85" s="2678"/>
      <c r="AF85" s="2678"/>
      <c r="AG85" s="2678"/>
      <c r="AH85" s="2678"/>
      <c r="AI85" s="2678"/>
      <c r="AJ85" s="2678"/>
      <c r="AK85" s="2678"/>
      <c r="AL85" s="2678"/>
      <c r="AM85" s="2678"/>
      <c r="AN85" s="2678"/>
      <c r="AO85" s="2636"/>
      <c r="AP85" s="2636"/>
      <c r="AQ85" s="2665"/>
    </row>
    <row r="86" spans="1:43" s="170" customFormat="1" ht="69" customHeight="1" x14ac:dyDescent="0.2">
      <c r="A86" s="2553"/>
      <c r="B86" s="2557"/>
      <c r="C86" s="2558"/>
      <c r="D86" s="2557"/>
      <c r="E86" s="2655"/>
      <c r="F86" s="2558"/>
      <c r="H86" s="1261"/>
      <c r="J86" s="2633">
        <v>233</v>
      </c>
      <c r="K86" s="2648" t="s">
        <v>1506</v>
      </c>
      <c r="L86" s="2675" t="s">
        <v>1507</v>
      </c>
      <c r="M86" s="2627">
        <v>1</v>
      </c>
      <c r="N86" s="2629"/>
      <c r="O86" s="2607"/>
      <c r="P86" s="2609"/>
      <c r="Q86" s="2686">
        <f>(R86)/(R80+R82+R86)</f>
        <v>0.4028846153846154</v>
      </c>
      <c r="R86" s="2687">
        <f>SUM(V86:V88)</f>
        <v>20950000</v>
      </c>
      <c r="S86" s="2610"/>
      <c r="T86" s="2610"/>
      <c r="U86" s="1279" t="s">
        <v>1508</v>
      </c>
      <c r="V86" s="1297">
        <v>10700000</v>
      </c>
      <c r="W86" s="2685"/>
      <c r="X86" s="2679"/>
      <c r="Y86" s="2678"/>
      <c r="Z86" s="2678"/>
      <c r="AA86" s="2678"/>
      <c r="AB86" s="2678"/>
      <c r="AC86" s="2678"/>
      <c r="AD86" s="2678"/>
      <c r="AE86" s="2678"/>
      <c r="AF86" s="2678"/>
      <c r="AG86" s="2678"/>
      <c r="AH86" s="2678"/>
      <c r="AI86" s="2678"/>
      <c r="AJ86" s="2678"/>
      <c r="AK86" s="2678"/>
      <c r="AL86" s="2678"/>
      <c r="AM86" s="2678"/>
      <c r="AN86" s="2678"/>
      <c r="AO86" s="2636"/>
      <c r="AP86" s="2636"/>
      <c r="AQ86" s="2665"/>
    </row>
    <row r="87" spans="1:43" s="170" customFormat="1" ht="75" customHeight="1" x14ac:dyDescent="0.2">
      <c r="A87" s="2553"/>
      <c r="B87" s="2557"/>
      <c r="C87" s="2558"/>
      <c r="D87" s="2557"/>
      <c r="E87" s="2655"/>
      <c r="F87" s="2558"/>
      <c r="H87" s="1261"/>
      <c r="J87" s="2633"/>
      <c r="K87" s="2648"/>
      <c r="L87" s="2675"/>
      <c r="M87" s="2627"/>
      <c r="N87" s="2629"/>
      <c r="O87" s="2607"/>
      <c r="P87" s="2609"/>
      <c r="Q87" s="2686"/>
      <c r="R87" s="2687"/>
      <c r="S87" s="2610"/>
      <c r="T87" s="2610"/>
      <c r="U87" s="1279" t="s">
        <v>1509</v>
      </c>
      <c r="V87" s="1297">
        <v>4250000</v>
      </c>
      <c r="W87" s="2685"/>
      <c r="X87" s="2679"/>
      <c r="Y87" s="2678"/>
      <c r="Z87" s="2678"/>
      <c r="AA87" s="2678"/>
      <c r="AB87" s="2678"/>
      <c r="AC87" s="2678"/>
      <c r="AD87" s="2678"/>
      <c r="AE87" s="2678"/>
      <c r="AF87" s="2678"/>
      <c r="AG87" s="2678"/>
      <c r="AH87" s="2678"/>
      <c r="AI87" s="2678"/>
      <c r="AJ87" s="2678"/>
      <c r="AK87" s="2678"/>
      <c r="AL87" s="2678"/>
      <c r="AM87" s="2678"/>
      <c r="AN87" s="2678"/>
      <c r="AO87" s="2636"/>
      <c r="AP87" s="2636"/>
      <c r="AQ87" s="2665"/>
    </row>
    <row r="88" spans="1:43" s="170" customFormat="1" ht="51" customHeight="1" x14ac:dyDescent="0.2">
      <c r="A88" s="2553"/>
      <c r="B88" s="2557"/>
      <c r="C88" s="2558"/>
      <c r="D88" s="2557"/>
      <c r="E88" s="2655"/>
      <c r="F88" s="2558"/>
      <c r="H88" s="1261"/>
      <c r="J88" s="2633"/>
      <c r="K88" s="2648"/>
      <c r="L88" s="2675"/>
      <c r="M88" s="2627"/>
      <c r="N88" s="2629"/>
      <c r="O88" s="2607"/>
      <c r="P88" s="2609"/>
      <c r="Q88" s="2686"/>
      <c r="R88" s="2687"/>
      <c r="S88" s="2610"/>
      <c r="T88" s="2610"/>
      <c r="U88" s="1279" t="s">
        <v>1510</v>
      </c>
      <c r="V88" s="1297">
        <v>6000000</v>
      </c>
      <c r="W88" s="2685"/>
      <c r="X88" s="2679"/>
      <c r="Y88" s="2678"/>
      <c r="Z88" s="2678"/>
      <c r="AA88" s="2678"/>
      <c r="AB88" s="2678"/>
      <c r="AC88" s="2678"/>
      <c r="AD88" s="2678"/>
      <c r="AE88" s="2678"/>
      <c r="AF88" s="2678"/>
      <c r="AG88" s="2678"/>
      <c r="AH88" s="2678"/>
      <c r="AI88" s="2678"/>
      <c r="AJ88" s="2678"/>
      <c r="AK88" s="2678"/>
      <c r="AL88" s="2678"/>
      <c r="AM88" s="2678"/>
      <c r="AN88" s="2678"/>
      <c r="AO88" s="2636"/>
      <c r="AP88" s="2636"/>
      <c r="AQ88" s="2665"/>
    </row>
    <row r="89" spans="1:43" s="170" customFormat="1" ht="15.75" x14ac:dyDescent="0.2">
      <c r="A89" s="2553"/>
      <c r="B89" s="2557"/>
      <c r="C89" s="2558"/>
      <c r="D89" s="2557"/>
      <c r="E89" s="2655"/>
      <c r="F89" s="2558"/>
      <c r="G89" s="1282">
        <v>80</v>
      </c>
      <c r="H89" s="1283" t="s">
        <v>1511</v>
      </c>
      <c r="I89" s="1283"/>
      <c r="J89" s="1284"/>
      <c r="K89" s="1285"/>
      <c r="L89" s="1286"/>
      <c r="M89" s="1287"/>
      <c r="N89" s="1288"/>
      <c r="O89" s="1298"/>
      <c r="P89" s="1290"/>
      <c r="Q89" s="1291"/>
      <c r="R89" s="1292"/>
      <c r="S89" s="1286"/>
      <c r="T89" s="1285"/>
      <c r="U89" s="1285"/>
      <c r="V89" s="1293"/>
      <c r="W89" s="1295"/>
      <c r="X89" s="1295"/>
      <c r="Y89" s="1283"/>
      <c r="Z89" s="1283"/>
      <c r="AA89" s="1283"/>
      <c r="AB89" s="1283"/>
      <c r="AC89" s="1283"/>
      <c r="AD89" s="1283"/>
      <c r="AE89" s="1283"/>
      <c r="AF89" s="1283"/>
      <c r="AG89" s="1283"/>
      <c r="AH89" s="1283"/>
      <c r="AI89" s="1283"/>
      <c r="AJ89" s="1283"/>
      <c r="AK89" s="1299"/>
      <c r="AL89" s="1299"/>
      <c r="AM89" s="1299"/>
      <c r="AN89" s="1299"/>
      <c r="AO89" s="1300"/>
      <c r="AP89" s="1300"/>
      <c r="AQ89" s="1301"/>
    </row>
    <row r="90" spans="1:43" s="170" customFormat="1" ht="35.25" customHeight="1" x14ac:dyDescent="0.2">
      <c r="A90" s="2553"/>
      <c r="B90" s="2557"/>
      <c r="C90" s="2558"/>
      <c r="D90" s="2557"/>
      <c r="E90" s="2655"/>
      <c r="F90" s="2558"/>
      <c r="H90" s="1252"/>
      <c r="I90" s="1253"/>
      <c r="J90" s="2627">
        <v>234</v>
      </c>
      <c r="K90" s="2610" t="s">
        <v>1512</v>
      </c>
      <c r="L90" s="2610" t="s">
        <v>1513</v>
      </c>
      <c r="M90" s="2627">
        <v>2</v>
      </c>
      <c r="N90" s="2628" t="s">
        <v>1514</v>
      </c>
      <c r="O90" s="2607" t="s">
        <v>1515</v>
      </c>
      <c r="P90" s="2609" t="s">
        <v>1516</v>
      </c>
      <c r="Q90" s="2686">
        <f>R90/SUM(R90:R102)</f>
        <v>0.38095238095238093</v>
      </c>
      <c r="R90" s="2687">
        <f>SUM(V90:V93)</f>
        <v>24000000</v>
      </c>
      <c r="S90" s="2610" t="s">
        <v>1517</v>
      </c>
      <c r="T90" s="2610" t="s">
        <v>1518</v>
      </c>
      <c r="U90" s="2645" t="s">
        <v>1519</v>
      </c>
      <c r="V90" s="1297">
        <v>6000000</v>
      </c>
      <c r="W90" s="2684" t="s">
        <v>271</v>
      </c>
      <c r="X90" s="2690" t="s">
        <v>1520</v>
      </c>
      <c r="Y90" s="2688">
        <v>1228</v>
      </c>
      <c r="Z90" s="2688">
        <v>1184</v>
      </c>
      <c r="AA90" s="2688">
        <v>578</v>
      </c>
      <c r="AB90" s="2688">
        <v>485</v>
      </c>
      <c r="AC90" s="2688">
        <v>1004</v>
      </c>
      <c r="AD90" s="2688">
        <v>345</v>
      </c>
      <c r="AE90" s="2688"/>
      <c r="AF90" s="2688"/>
      <c r="AG90" s="2688"/>
      <c r="AH90" s="2688"/>
      <c r="AI90" s="2688"/>
      <c r="AJ90" s="2688"/>
      <c r="AK90" s="2688"/>
      <c r="AL90" s="2688"/>
      <c r="AM90" s="2688"/>
      <c r="AN90" s="2688">
        <v>2412</v>
      </c>
      <c r="AO90" s="2635">
        <v>43110</v>
      </c>
      <c r="AP90" s="2635">
        <v>43454</v>
      </c>
      <c r="AQ90" s="2664" t="s">
        <v>1499</v>
      </c>
    </row>
    <row r="91" spans="1:43" s="170" customFormat="1" ht="29.25" customHeight="1" x14ac:dyDescent="0.2">
      <c r="A91" s="2553"/>
      <c r="B91" s="2557"/>
      <c r="C91" s="2558"/>
      <c r="D91" s="2557"/>
      <c r="E91" s="2655"/>
      <c r="F91" s="2558"/>
      <c r="H91" s="1261"/>
      <c r="I91" s="1262"/>
      <c r="J91" s="2627"/>
      <c r="K91" s="2610"/>
      <c r="L91" s="2610"/>
      <c r="M91" s="2627"/>
      <c r="N91" s="2629"/>
      <c r="O91" s="2607"/>
      <c r="P91" s="2609"/>
      <c r="Q91" s="2686"/>
      <c r="R91" s="2687"/>
      <c r="S91" s="2610"/>
      <c r="T91" s="2610"/>
      <c r="U91" s="2663"/>
      <c r="V91" s="1297">
        <v>7000000</v>
      </c>
      <c r="W91" s="2685"/>
      <c r="X91" s="2691"/>
      <c r="Y91" s="2688"/>
      <c r="Z91" s="2688"/>
      <c r="AA91" s="2688"/>
      <c r="AB91" s="2688"/>
      <c r="AC91" s="2688"/>
      <c r="AD91" s="2688"/>
      <c r="AE91" s="2688"/>
      <c r="AF91" s="2688"/>
      <c r="AG91" s="2688"/>
      <c r="AH91" s="2688"/>
      <c r="AI91" s="2688"/>
      <c r="AJ91" s="2688"/>
      <c r="AK91" s="2688"/>
      <c r="AL91" s="2688"/>
      <c r="AM91" s="2688"/>
      <c r="AN91" s="2688"/>
      <c r="AO91" s="2636"/>
      <c r="AP91" s="2636"/>
      <c r="AQ91" s="2664"/>
    </row>
    <row r="92" spans="1:43" s="170" customFormat="1" ht="32.25" customHeight="1" x14ac:dyDescent="0.2">
      <c r="A92" s="2553"/>
      <c r="B92" s="2557"/>
      <c r="C92" s="2558"/>
      <c r="D92" s="2557"/>
      <c r="E92" s="2655"/>
      <c r="F92" s="2558"/>
      <c r="H92" s="1261"/>
      <c r="I92" s="1262"/>
      <c r="J92" s="2627"/>
      <c r="K92" s="2610"/>
      <c r="L92" s="2610"/>
      <c r="M92" s="2627"/>
      <c r="N92" s="2629"/>
      <c r="O92" s="2607"/>
      <c r="P92" s="2609"/>
      <c r="Q92" s="2686"/>
      <c r="R92" s="2687"/>
      <c r="S92" s="2610"/>
      <c r="T92" s="2610"/>
      <c r="U92" s="2645" t="s">
        <v>1521</v>
      </c>
      <c r="V92" s="1297">
        <v>4000000</v>
      </c>
      <c r="W92" s="2685"/>
      <c r="X92" s="2691"/>
      <c r="Y92" s="2688"/>
      <c r="Z92" s="2688"/>
      <c r="AA92" s="2688"/>
      <c r="AB92" s="2688"/>
      <c r="AC92" s="2688"/>
      <c r="AD92" s="2688"/>
      <c r="AE92" s="2688"/>
      <c r="AF92" s="2688"/>
      <c r="AG92" s="2688"/>
      <c r="AH92" s="2688"/>
      <c r="AI92" s="2688"/>
      <c r="AJ92" s="2688"/>
      <c r="AK92" s="2688"/>
      <c r="AL92" s="2688"/>
      <c r="AM92" s="2688"/>
      <c r="AN92" s="2688"/>
      <c r="AO92" s="2636"/>
      <c r="AP92" s="2636"/>
      <c r="AQ92" s="2664"/>
    </row>
    <row r="93" spans="1:43" s="170" customFormat="1" ht="36" customHeight="1" x14ac:dyDescent="0.2">
      <c r="A93" s="2553"/>
      <c r="B93" s="2557"/>
      <c r="C93" s="2558"/>
      <c r="D93" s="2557"/>
      <c r="E93" s="2655"/>
      <c r="F93" s="2558"/>
      <c r="H93" s="1261"/>
      <c r="I93" s="1262"/>
      <c r="J93" s="2627"/>
      <c r="K93" s="2610"/>
      <c r="L93" s="2610"/>
      <c r="M93" s="2627"/>
      <c r="N93" s="2629"/>
      <c r="O93" s="2607"/>
      <c r="P93" s="2609"/>
      <c r="Q93" s="2686"/>
      <c r="R93" s="2687"/>
      <c r="S93" s="2610"/>
      <c r="T93" s="2610"/>
      <c r="U93" s="2663"/>
      <c r="V93" s="1297">
        <v>7000000</v>
      </c>
      <c r="W93" s="2685"/>
      <c r="X93" s="2691"/>
      <c r="Y93" s="2689"/>
      <c r="Z93" s="2689"/>
      <c r="AA93" s="2689"/>
      <c r="AB93" s="2689"/>
      <c r="AC93" s="2689"/>
      <c r="AD93" s="2689"/>
      <c r="AE93" s="2689"/>
      <c r="AF93" s="2689"/>
      <c r="AG93" s="2689"/>
      <c r="AH93" s="2689"/>
      <c r="AI93" s="2689"/>
      <c r="AJ93" s="2689"/>
      <c r="AK93" s="2689"/>
      <c r="AL93" s="2689"/>
      <c r="AM93" s="2689"/>
      <c r="AN93" s="2689"/>
      <c r="AO93" s="2636"/>
      <c r="AP93" s="2636"/>
      <c r="AQ93" s="2665"/>
    </row>
    <row r="94" spans="1:43" s="170" customFormat="1" ht="34.5" customHeight="1" x14ac:dyDescent="0.2">
      <c r="A94" s="2553"/>
      <c r="B94" s="2557"/>
      <c r="C94" s="2558"/>
      <c r="D94" s="2557"/>
      <c r="E94" s="2655"/>
      <c r="F94" s="2558"/>
      <c r="H94" s="1261"/>
      <c r="I94" s="1262"/>
      <c r="J94" s="2627">
        <v>235</v>
      </c>
      <c r="K94" s="2610" t="s">
        <v>1522</v>
      </c>
      <c r="L94" s="2610" t="s">
        <v>1523</v>
      </c>
      <c r="M94" s="2627">
        <v>2</v>
      </c>
      <c r="N94" s="2629"/>
      <c r="O94" s="2607"/>
      <c r="P94" s="2609"/>
      <c r="Q94" s="2686">
        <f>R94/SUM(R90:R102)</f>
        <v>0.61904761904761907</v>
      </c>
      <c r="R94" s="2687">
        <f>SUM(V94:V102)</f>
        <v>39000000</v>
      </c>
      <c r="S94" s="2610"/>
      <c r="T94" s="2610"/>
      <c r="U94" s="1255" t="s">
        <v>1524</v>
      </c>
      <c r="V94" s="1297">
        <v>3250000</v>
      </c>
      <c r="W94" s="2685"/>
      <c r="X94" s="2691"/>
      <c r="Y94" s="2689"/>
      <c r="Z94" s="2689"/>
      <c r="AA94" s="2689"/>
      <c r="AB94" s="2689"/>
      <c r="AC94" s="2689"/>
      <c r="AD94" s="2689"/>
      <c r="AE94" s="2689"/>
      <c r="AF94" s="2689"/>
      <c r="AG94" s="2689"/>
      <c r="AH94" s="2689"/>
      <c r="AI94" s="2689"/>
      <c r="AJ94" s="2689"/>
      <c r="AK94" s="2689"/>
      <c r="AL94" s="2689"/>
      <c r="AM94" s="2689"/>
      <c r="AN94" s="2689"/>
      <c r="AO94" s="2636"/>
      <c r="AP94" s="2636"/>
      <c r="AQ94" s="2665"/>
    </row>
    <row r="95" spans="1:43" s="170" customFormat="1" ht="33.75" customHeight="1" x14ac:dyDescent="0.2">
      <c r="A95" s="2553"/>
      <c r="B95" s="2557"/>
      <c r="C95" s="2558"/>
      <c r="D95" s="2557"/>
      <c r="E95" s="2655"/>
      <c r="F95" s="2558"/>
      <c r="H95" s="1261"/>
      <c r="I95" s="1262"/>
      <c r="J95" s="2627"/>
      <c r="K95" s="2610"/>
      <c r="L95" s="2610"/>
      <c r="M95" s="2627"/>
      <c r="N95" s="2629"/>
      <c r="O95" s="2607"/>
      <c r="P95" s="2609"/>
      <c r="Q95" s="2686"/>
      <c r="R95" s="2687"/>
      <c r="S95" s="2610"/>
      <c r="T95" s="2610"/>
      <c r="U95" s="2670" t="s">
        <v>1525</v>
      </c>
      <c r="V95" s="1297">
        <v>1000000</v>
      </c>
      <c r="W95" s="2685"/>
      <c r="X95" s="2691"/>
      <c r="Y95" s="2689"/>
      <c r="Z95" s="2689"/>
      <c r="AA95" s="2689"/>
      <c r="AB95" s="2689"/>
      <c r="AC95" s="2689"/>
      <c r="AD95" s="2689"/>
      <c r="AE95" s="2689"/>
      <c r="AF95" s="2689"/>
      <c r="AG95" s="2689"/>
      <c r="AH95" s="2689"/>
      <c r="AI95" s="2689"/>
      <c r="AJ95" s="2689"/>
      <c r="AK95" s="2689"/>
      <c r="AL95" s="2689"/>
      <c r="AM95" s="2689"/>
      <c r="AN95" s="2689"/>
      <c r="AO95" s="2636"/>
      <c r="AP95" s="2636"/>
      <c r="AQ95" s="2665"/>
    </row>
    <row r="96" spans="1:43" s="170" customFormat="1" ht="29.25" customHeight="1" x14ac:dyDescent="0.2">
      <c r="A96" s="2553"/>
      <c r="B96" s="2557"/>
      <c r="C96" s="2558"/>
      <c r="D96" s="2557"/>
      <c r="E96" s="2655"/>
      <c r="F96" s="2558"/>
      <c r="H96" s="1261"/>
      <c r="I96" s="1262"/>
      <c r="J96" s="2627"/>
      <c r="K96" s="2610"/>
      <c r="L96" s="2610"/>
      <c r="M96" s="2627"/>
      <c r="N96" s="2629"/>
      <c r="O96" s="2607"/>
      <c r="P96" s="2609"/>
      <c r="Q96" s="2686"/>
      <c r="R96" s="2687"/>
      <c r="S96" s="2610"/>
      <c r="T96" s="2610"/>
      <c r="U96" s="2692"/>
      <c r="V96" s="1297">
        <v>7000000</v>
      </c>
      <c r="W96" s="2685"/>
      <c r="X96" s="2691"/>
      <c r="Y96" s="2689"/>
      <c r="Z96" s="2689"/>
      <c r="AA96" s="2689"/>
      <c r="AB96" s="2689"/>
      <c r="AC96" s="2689"/>
      <c r="AD96" s="2689"/>
      <c r="AE96" s="2689"/>
      <c r="AF96" s="2689"/>
      <c r="AG96" s="2689"/>
      <c r="AH96" s="2689"/>
      <c r="AI96" s="2689"/>
      <c r="AJ96" s="2689"/>
      <c r="AK96" s="2689"/>
      <c r="AL96" s="2689"/>
      <c r="AM96" s="2689"/>
      <c r="AN96" s="2689"/>
      <c r="AO96" s="2636"/>
      <c r="AP96" s="2636"/>
      <c r="AQ96" s="2665"/>
    </row>
    <row r="97" spans="1:43" s="170" customFormat="1" ht="25.5" customHeight="1" x14ac:dyDescent="0.2">
      <c r="A97" s="2553"/>
      <c r="B97" s="2557"/>
      <c r="C97" s="2558"/>
      <c r="D97" s="2557"/>
      <c r="E97" s="2655"/>
      <c r="F97" s="2558"/>
      <c r="H97" s="1261"/>
      <c r="I97" s="1262"/>
      <c r="J97" s="2627"/>
      <c r="K97" s="2610"/>
      <c r="L97" s="2610"/>
      <c r="M97" s="2627"/>
      <c r="N97" s="2629"/>
      <c r="O97" s="2607"/>
      <c r="P97" s="2609"/>
      <c r="Q97" s="2686"/>
      <c r="R97" s="2687"/>
      <c r="S97" s="2610"/>
      <c r="T97" s="2610"/>
      <c r="U97" s="1255" t="s">
        <v>1526</v>
      </c>
      <c r="V97" s="1297">
        <v>7000000</v>
      </c>
      <c r="W97" s="2685"/>
      <c r="X97" s="2691"/>
      <c r="Y97" s="2689"/>
      <c r="Z97" s="2689"/>
      <c r="AA97" s="2689"/>
      <c r="AB97" s="2689"/>
      <c r="AC97" s="2689"/>
      <c r="AD97" s="2689"/>
      <c r="AE97" s="2689"/>
      <c r="AF97" s="2689"/>
      <c r="AG97" s="2689"/>
      <c r="AH97" s="2689"/>
      <c r="AI97" s="2689"/>
      <c r="AJ97" s="2689"/>
      <c r="AK97" s="2689"/>
      <c r="AL97" s="2689"/>
      <c r="AM97" s="2689"/>
      <c r="AN97" s="2689"/>
      <c r="AO97" s="2636"/>
      <c r="AP97" s="2636"/>
      <c r="AQ97" s="2665"/>
    </row>
    <row r="98" spans="1:43" s="170" customFormat="1" ht="19.5" customHeight="1" x14ac:dyDescent="0.2">
      <c r="A98" s="2553"/>
      <c r="B98" s="2557"/>
      <c r="C98" s="2558"/>
      <c r="D98" s="2557"/>
      <c r="E98" s="2655"/>
      <c r="F98" s="2558"/>
      <c r="H98" s="1261"/>
      <c r="I98" s="1262"/>
      <c r="J98" s="2627"/>
      <c r="K98" s="2610"/>
      <c r="L98" s="2610"/>
      <c r="M98" s="2627"/>
      <c r="N98" s="2629"/>
      <c r="O98" s="2607"/>
      <c r="P98" s="2609"/>
      <c r="Q98" s="2686"/>
      <c r="R98" s="2687"/>
      <c r="S98" s="2610"/>
      <c r="T98" s="2610"/>
      <c r="U98" s="1255" t="s">
        <v>1527</v>
      </c>
      <c r="V98" s="1297">
        <v>2750000</v>
      </c>
      <c r="W98" s="2685"/>
      <c r="X98" s="2691"/>
      <c r="Y98" s="2689"/>
      <c r="Z98" s="2689"/>
      <c r="AA98" s="2689"/>
      <c r="AB98" s="2689"/>
      <c r="AC98" s="2689"/>
      <c r="AD98" s="2689"/>
      <c r="AE98" s="2689"/>
      <c r="AF98" s="2689"/>
      <c r="AG98" s="2689"/>
      <c r="AH98" s="2689"/>
      <c r="AI98" s="2689"/>
      <c r="AJ98" s="2689"/>
      <c r="AK98" s="2689"/>
      <c r="AL98" s="2689"/>
      <c r="AM98" s="2689"/>
      <c r="AN98" s="2689"/>
      <c r="AO98" s="2636"/>
      <c r="AP98" s="2636"/>
      <c r="AQ98" s="2665"/>
    </row>
    <row r="99" spans="1:43" s="170" customFormat="1" ht="19.5" customHeight="1" x14ac:dyDescent="0.2">
      <c r="A99" s="2553"/>
      <c r="B99" s="2557"/>
      <c r="C99" s="2558"/>
      <c r="D99" s="2557"/>
      <c r="E99" s="2655"/>
      <c r="F99" s="2558"/>
      <c r="H99" s="1261"/>
      <c r="I99" s="1262"/>
      <c r="J99" s="2627"/>
      <c r="K99" s="2610"/>
      <c r="L99" s="2610"/>
      <c r="M99" s="2627"/>
      <c r="N99" s="2629"/>
      <c r="O99" s="2607"/>
      <c r="P99" s="2609"/>
      <c r="Q99" s="2686"/>
      <c r="R99" s="2687"/>
      <c r="S99" s="2610"/>
      <c r="T99" s="2610"/>
      <c r="U99" s="1255" t="s">
        <v>1505</v>
      </c>
      <c r="V99" s="1297">
        <v>1000000</v>
      </c>
      <c r="W99" s="2685"/>
      <c r="X99" s="2691"/>
      <c r="Y99" s="2689"/>
      <c r="Z99" s="2689"/>
      <c r="AA99" s="2689"/>
      <c r="AB99" s="2689"/>
      <c r="AC99" s="2689"/>
      <c r="AD99" s="2689"/>
      <c r="AE99" s="2689"/>
      <c r="AF99" s="2689"/>
      <c r="AG99" s="2689"/>
      <c r="AH99" s="2689"/>
      <c r="AI99" s="2689"/>
      <c r="AJ99" s="2689"/>
      <c r="AK99" s="2689"/>
      <c r="AL99" s="2689"/>
      <c r="AM99" s="2689"/>
      <c r="AN99" s="2689"/>
      <c r="AO99" s="2636"/>
      <c r="AP99" s="2636"/>
      <c r="AQ99" s="2665"/>
    </row>
    <row r="100" spans="1:43" s="170" customFormat="1" ht="27.75" customHeight="1" x14ac:dyDescent="0.2">
      <c r="A100" s="2553"/>
      <c r="B100" s="2557"/>
      <c r="C100" s="2558"/>
      <c r="D100" s="2557"/>
      <c r="E100" s="2655"/>
      <c r="F100" s="2558"/>
      <c r="H100" s="1261"/>
      <c r="I100" s="1262"/>
      <c r="J100" s="2627"/>
      <c r="K100" s="2610"/>
      <c r="L100" s="2610"/>
      <c r="M100" s="2627"/>
      <c r="N100" s="2629"/>
      <c r="O100" s="2607"/>
      <c r="P100" s="2609"/>
      <c r="Q100" s="2686"/>
      <c r="R100" s="2687"/>
      <c r="S100" s="2610"/>
      <c r="T100" s="2610"/>
      <c r="U100" s="2670" t="s">
        <v>1528</v>
      </c>
      <c r="V100" s="1297">
        <v>3000000</v>
      </c>
      <c r="W100" s="2685"/>
      <c r="X100" s="2691"/>
      <c r="Y100" s="2689"/>
      <c r="Z100" s="2689"/>
      <c r="AA100" s="2689"/>
      <c r="AB100" s="2689"/>
      <c r="AC100" s="2689"/>
      <c r="AD100" s="2689"/>
      <c r="AE100" s="2689"/>
      <c r="AF100" s="2689"/>
      <c r="AG100" s="2689"/>
      <c r="AH100" s="2689"/>
      <c r="AI100" s="2689"/>
      <c r="AJ100" s="2689"/>
      <c r="AK100" s="2689"/>
      <c r="AL100" s="2689"/>
      <c r="AM100" s="2689"/>
      <c r="AN100" s="2689"/>
      <c r="AO100" s="2636"/>
      <c r="AP100" s="2636"/>
      <c r="AQ100" s="2665"/>
    </row>
    <row r="101" spans="1:43" s="170" customFormat="1" ht="21.75" customHeight="1" x14ac:dyDescent="0.2">
      <c r="A101" s="2553"/>
      <c r="B101" s="2557"/>
      <c r="C101" s="2558"/>
      <c r="D101" s="2557"/>
      <c r="E101" s="2655"/>
      <c r="F101" s="2558"/>
      <c r="H101" s="1261"/>
      <c r="I101" s="1262"/>
      <c r="J101" s="2627"/>
      <c r="K101" s="2610"/>
      <c r="L101" s="2610"/>
      <c r="M101" s="2627"/>
      <c r="N101" s="2629"/>
      <c r="O101" s="2607"/>
      <c r="P101" s="2609"/>
      <c r="Q101" s="2686"/>
      <c r="R101" s="2687"/>
      <c r="S101" s="2610"/>
      <c r="T101" s="2610"/>
      <c r="U101" s="2692"/>
      <c r="V101" s="1297">
        <v>7000000</v>
      </c>
      <c r="W101" s="2685"/>
      <c r="X101" s="2691"/>
      <c r="Y101" s="2689"/>
      <c r="Z101" s="2689"/>
      <c r="AA101" s="2689"/>
      <c r="AB101" s="2689"/>
      <c r="AC101" s="2689"/>
      <c r="AD101" s="2689"/>
      <c r="AE101" s="2689"/>
      <c r="AF101" s="2689"/>
      <c r="AG101" s="2689"/>
      <c r="AH101" s="2689"/>
      <c r="AI101" s="2689"/>
      <c r="AJ101" s="2689"/>
      <c r="AK101" s="2689"/>
      <c r="AL101" s="2689"/>
      <c r="AM101" s="2689"/>
      <c r="AN101" s="2689"/>
      <c r="AO101" s="2636"/>
      <c r="AP101" s="2636"/>
      <c r="AQ101" s="2665"/>
    </row>
    <row r="102" spans="1:43" s="170" customFormat="1" ht="30.75" customHeight="1" x14ac:dyDescent="0.2">
      <c r="A102" s="2553"/>
      <c r="B102" s="2557"/>
      <c r="C102" s="2558"/>
      <c r="D102" s="2559"/>
      <c r="E102" s="2656"/>
      <c r="F102" s="2560"/>
      <c r="H102" s="1264"/>
      <c r="I102" s="1265"/>
      <c r="J102" s="2627"/>
      <c r="K102" s="2610"/>
      <c r="L102" s="2610"/>
      <c r="M102" s="2627"/>
      <c r="N102" s="2629"/>
      <c r="O102" s="2607"/>
      <c r="P102" s="2609"/>
      <c r="Q102" s="2686"/>
      <c r="R102" s="2687"/>
      <c r="S102" s="2610"/>
      <c r="T102" s="2610"/>
      <c r="U102" s="1255" t="s">
        <v>1529</v>
      </c>
      <c r="V102" s="1297">
        <v>7000000</v>
      </c>
      <c r="W102" s="2685"/>
      <c r="X102" s="2691"/>
      <c r="Y102" s="2689"/>
      <c r="Z102" s="2689"/>
      <c r="AA102" s="2689"/>
      <c r="AB102" s="2689"/>
      <c r="AC102" s="2689"/>
      <c r="AD102" s="2689"/>
      <c r="AE102" s="2689"/>
      <c r="AF102" s="2689"/>
      <c r="AG102" s="2689"/>
      <c r="AH102" s="2689"/>
      <c r="AI102" s="2689"/>
      <c r="AJ102" s="2689"/>
      <c r="AK102" s="2689"/>
      <c r="AL102" s="2689"/>
      <c r="AM102" s="2689"/>
      <c r="AN102" s="2689"/>
      <c r="AO102" s="2637"/>
      <c r="AP102" s="2637"/>
      <c r="AQ102" s="2665"/>
    </row>
    <row r="103" spans="1:43" s="109" customFormat="1" ht="15.75" x14ac:dyDescent="0.2">
      <c r="A103" s="2553"/>
      <c r="B103" s="2557"/>
      <c r="C103" s="2558"/>
      <c r="D103" s="885">
        <v>25</v>
      </c>
      <c r="E103" s="276" t="s">
        <v>1530</v>
      </c>
      <c r="F103" s="276"/>
      <c r="G103" s="242"/>
      <c r="H103" s="242"/>
      <c r="I103" s="242"/>
      <c r="J103" s="1267"/>
      <c r="K103" s="1268"/>
      <c r="L103" s="143"/>
      <c r="M103" s="249"/>
      <c r="N103" s="1212"/>
      <c r="O103" s="1210"/>
      <c r="P103" s="243"/>
      <c r="Q103" s="1269"/>
      <c r="R103" s="1055"/>
      <c r="S103" s="143"/>
      <c r="T103" s="1268"/>
      <c r="U103" s="1268"/>
      <c r="V103" s="1270"/>
      <c r="W103" s="1216"/>
      <c r="X103" s="1216"/>
      <c r="Y103" s="242"/>
      <c r="Z103" s="242"/>
      <c r="AA103" s="242"/>
      <c r="AB103" s="242"/>
      <c r="AC103" s="242"/>
      <c r="AD103" s="242"/>
      <c r="AE103" s="242"/>
      <c r="AF103" s="242"/>
      <c r="AG103" s="242"/>
      <c r="AH103" s="242"/>
      <c r="AI103" s="242"/>
      <c r="AJ103" s="242"/>
      <c r="AK103" s="242"/>
      <c r="AL103" s="1217"/>
      <c r="AM103" s="243"/>
      <c r="AN103" s="243"/>
      <c r="AO103" s="244"/>
      <c r="AP103" s="244"/>
      <c r="AQ103" s="1218"/>
    </row>
    <row r="104" spans="1:43" s="109" customFormat="1" ht="15.75" x14ac:dyDescent="0.2">
      <c r="A104" s="2553"/>
      <c r="B104" s="2557"/>
      <c r="C104" s="2558"/>
      <c r="D104" s="2555"/>
      <c r="E104" s="2654"/>
      <c r="F104" s="2556"/>
      <c r="G104" s="1219">
        <v>81</v>
      </c>
      <c r="H104" s="152" t="s">
        <v>1531</v>
      </c>
      <c r="I104" s="152"/>
      <c r="J104" s="1220"/>
      <c r="K104" s="1221"/>
      <c r="L104" s="153"/>
      <c r="M104" s="160"/>
      <c r="N104" s="713"/>
      <c r="O104" s="1222"/>
      <c r="P104" s="598"/>
      <c r="Q104" s="1223"/>
      <c r="R104" s="1272"/>
      <c r="S104" s="153"/>
      <c r="T104" s="1221"/>
      <c r="U104" s="1221"/>
      <c r="V104" s="1273"/>
      <c r="W104" s="1142"/>
      <c r="X104" s="1142"/>
      <c r="Y104" s="1142"/>
      <c r="Z104" s="1142"/>
      <c r="AA104" s="1142"/>
      <c r="AB104" s="1142"/>
      <c r="AC104" s="1142"/>
      <c r="AD104" s="1142"/>
      <c r="AE104" s="1142"/>
      <c r="AF104" s="1142"/>
      <c r="AG104" s="1142"/>
      <c r="AH104" s="1142"/>
      <c r="AI104" s="1142"/>
      <c r="AJ104" s="1142"/>
      <c r="AK104" s="603"/>
      <c r="AL104" s="603"/>
      <c r="AM104" s="598"/>
      <c r="AN104" s="598"/>
      <c r="AO104" s="599"/>
      <c r="AP104" s="599"/>
      <c r="AQ104" s="1302"/>
    </row>
    <row r="105" spans="1:43" s="170" customFormat="1" ht="42" customHeight="1" x14ac:dyDescent="0.2">
      <c r="A105" s="2553"/>
      <c r="B105" s="2557"/>
      <c r="C105" s="2558"/>
      <c r="D105" s="2557"/>
      <c r="E105" s="2655"/>
      <c r="F105" s="2558"/>
      <c r="H105" s="1252"/>
      <c r="I105" s="1253"/>
      <c r="J105" s="2627">
        <v>236</v>
      </c>
      <c r="K105" s="2610" t="s">
        <v>1532</v>
      </c>
      <c r="L105" s="2610" t="s">
        <v>1533</v>
      </c>
      <c r="M105" s="2627">
        <v>8</v>
      </c>
      <c r="N105" s="2700" t="s">
        <v>1534</v>
      </c>
      <c r="O105" s="2607" t="s">
        <v>1535</v>
      </c>
      <c r="P105" s="2609" t="s">
        <v>1536</v>
      </c>
      <c r="Q105" s="2686">
        <f>R105/SUM(R105:R142)</f>
        <v>0.16933265012393328</v>
      </c>
      <c r="R105" s="2687">
        <f>SUM(V105:V110)</f>
        <v>105000000</v>
      </c>
      <c r="S105" s="2610" t="s">
        <v>1537</v>
      </c>
      <c r="T105" s="2610" t="s">
        <v>1538</v>
      </c>
      <c r="U105" s="2645" t="s">
        <v>1539</v>
      </c>
      <c r="V105" s="1242">
        <v>30000000</v>
      </c>
      <c r="W105" s="2697" t="s">
        <v>271</v>
      </c>
      <c r="X105" s="2691" t="s">
        <v>1540</v>
      </c>
      <c r="Y105" s="2694">
        <v>9110</v>
      </c>
      <c r="Z105" s="2694">
        <v>8787</v>
      </c>
      <c r="AA105" s="2694">
        <v>4273</v>
      </c>
      <c r="AB105" s="2694">
        <v>3599</v>
      </c>
      <c r="AC105" s="2694">
        <v>7443</v>
      </c>
      <c r="AD105" s="2694">
        <v>2562</v>
      </c>
      <c r="AE105" s="2694"/>
      <c r="AF105" s="2694"/>
      <c r="AG105" s="2694"/>
      <c r="AH105" s="2694"/>
      <c r="AI105" s="2694"/>
      <c r="AJ105" s="2694"/>
      <c r="AK105" s="2694"/>
      <c r="AL105" s="2694"/>
      <c r="AM105" s="2694"/>
      <c r="AN105" s="2694">
        <v>17897</v>
      </c>
      <c r="AO105" s="2635">
        <v>43110</v>
      </c>
      <c r="AP105" s="2635">
        <v>43454</v>
      </c>
      <c r="AQ105" s="2664" t="s">
        <v>1392</v>
      </c>
    </row>
    <row r="106" spans="1:43" s="170" customFormat="1" ht="30.75" customHeight="1" x14ac:dyDescent="0.2">
      <c r="A106" s="2553"/>
      <c r="B106" s="2557"/>
      <c r="C106" s="2558"/>
      <c r="D106" s="2557"/>
      <c r="E106" s="2655"/>
      <c r="F106" s="2558"/>
      <c r="H106" s="1261"/>
      <c r="I106" s="1262"/>
      <c r="J106" s="2627"/>
      <c r="K106" s="2610"/>
      <c r="L106" s="2610"/>
      <c r="M106" s="2627"/>
      <c r="N106" s="2700"/>
      <c r="O106" s="2607"/>
      <c r="P106" s="2609"/>
      <c r="Q106" s="2686"/>
      <c r="R106" s="2687"/>
      <c r="S106" s="2610"/>
      <c r="T106" s="2610"/>
      <c r="U106" s="2663"/>
      <c r="V106" s="1242">
        <v>20000000</v>
      </c>
      <c r="W106" s="2698"/>
      <c r="X106" s="2691"/>
      <c r="Y106" s="2695"/>
      <c r="Z106" s="2695"/>
      <c r="AA106" s="2695"/>
      <c r="AB106" s="2695"/>
      <c r="AC106" s="2695"/>
      <c r="AD106" s="2695"/>
      <c r="AE106" s="2695"/>
      <c r="AF106" s="2695"/>
      <c r="AG106" s="2695"/>
      <c r="AH106" s="2695"/>
      <c r="AI106" s="2695"/>
      <c r="AJ106" s="2695"/>
      <c r="AK106" s="2695"/>
      <c r="AL106" s="2695"/>
      <c r="AM106" s="2695"/>
      <c r="AN106" s="2695"/>
      <c r="AO106" s="2636"/>
      <c r="AP106" s="2636"/>
      <c r="AQ106" s="2664"/>
    </row>
    <row r="107" spans="1:43" s="170" customFormat="1" ht="28.5" customHeight="1" x14ac:dyDescent="0.2">
      <c r="A107" s="2553"/>
      <c r="B107" s="2557"/>
      <c r="C107" s="2558"/>
      <c r="D107" s="2557"/>
      <c r="E107" s="2655"/>
      <c r="F107" s="2558"/>
      <c r="H107" s="1261"/>
      <c r="I107" s="1262"/>
      <c r="J107" s="2627"/>
      <c r="K107" s="2610"/>
      <c r="L107" s="2610"/>
      <c r="M107" s="2627"/>
      <c r="N107" s="2700"/>
      <c r="O107" s="2607"/>
      <c r="P107" s="2609"/>
      <c r="Q107" s="2686"/>
      <c r="R107" s="2687"/>
      <c r="S107" s="2610"/>
      <c r="T107" s="2610"/>
      <c r="U107" s="2645" t="s">
        <v>1541</v>
      </c>
      <c r="V107" s="1242">
        <v>25000000</v>
      </c>
      <c r="W107" s="2698"/>
      <c r="X107" s="2691"/>
      <c r="Y107" s="2695"/>
      <c r="Z107" s="2695"/>
      <c r="AA107" s="2695"/>
      <c r="AB107" s="2695"/>
      <c r="AC107" s="2695"/>
      <c r="AD107" s="2695"/>
      <c r="AE107" s="2695"/>
      <c r="AF107" s="2695"/>
      <c r="AG107" s="2695"/>
      <c r="AH107" s="2695"/>
      <c r="AI107" s="2695"/>
      <c r="AJ107" s="2695"/>
      <c r="AK107" s="2695"/>
      <c r="AL107" s="2695"/>
      <c r="AM107" s="2695"/>
      <c r="AN107" s="2695"/>
      <c r="AO107" s="2636"/>
      <c r="AP107" s="2636"/>
      <c r="AQ107" s="2701"/>
    </row>
    <row r="108" spans="1:43" s="170" customFormat="1" ht="31.5" customHeight="1" x14ac:dyDescent="0.2">
      <c r="A108" s="2553"/>
      <c r="B108" s="2557"/>
      <c r="C108" s="2558"/>
      <c r="D108" s="2557"/>
      <c r="E108" s="2655"/>
      <c r="F108" s="2558"/>
      <c r="H108" s="1261"/>
      <c r="I108" s="1262"/>
      <c r="J108" s="2627"/>
      <c r="K108" s="2610"/>
      <c r="L108" s="2610"/>
      <c r="M108" s="2627"/>
      <c r="N108" s="2700"/>
      <c r="O108" s="2607"/>
      <c r="P108" s="2609"/>
      <c r="Q108" s="2686"/>
      <c r="R108" s="2687"/>
      <c r="S108" s="2610"/>
      <c r="T108" s="2610"/>
      <c r="U108" s="2663"/>
      <c r="V108" s="1242">
        <v>17000000</v>
      </c>
      <c r="W108" s="2698"/>
      <c r="X108" s="2691"/>
      <c r="Y108" s="2695"/>
      <c r="Z108" s="2695"/>
      <c r="AA108" s="2695"/>
      <c r="AB108" s="2695"/>
      <c r="AC108" s="2695"/>
      <c r="AD108" s="2695"/>
      <c r="AE108" s="2695"/>
      <c r="AF108" s="2695"/>
      <c r="AG108" s="2695"/>
      <c r="AH108" s="2695"/>
      <c r="AI108" s="2695"/>
      <c r="AJ108" s="2695"/>
      <c r="AK108" s="2695"/>
      <c r="AL108" s="2695"/>
      <c r="AM108" s="2695"/>
      <c r="AN108" s="2695"/>
      <c r="AO108" s="2636"/>
      <c r="AP108" s="2636"/>
      <c r="AQ108" s="2701"/>
    </row>
    <row r="109" spans="1:43" s="170" customFormat="1" ht="28.5" customHeight="1" x14ac:dyDescent="0.2">
      <c r="A109" s="2553"/>
      <c r="B109" s="2557"/>
      <c r="C109" s="2558"/>
      <c r="D109" s="2557"/>
      <c r="E109" s="2655"/>
      <c r="F109" s="2558"/>
      <c r="H109" s="1261"/>
      <c r="I109" s="1262"/>
      <c r="J109" s="2627"/>
      <c r="K109" s="2610"/>
      <c r="L109" s="2610"/>
      <c r="M109" s="2627"/>
      <c r="N109" s="2700"/>
      <c r="O109" s="2607"/>
      <c r="P109" s="2609"/>
      <c r="Q109" s="2686"/>
      <c r="R109" s="2687"/>
      <c r="S109" s="2610"/>
      <c r="T109" s="2610"/>
      <c r="U109" s="2645" t="s">
        <v>1405</v>
      </c>
      <c r="V109" s="1242">
        <v>8000000</v>
      </c>
      <c r="W109" s="2698"/>
      <c r="X109" s="2691"/>
      <c r="Y109" s="2695"/>
      <c r="Z109" s="2695"/>
      <c r="AA109" s="2695"/>
      <c r="AB109" s="2695"/>
      <c r="AC109" s="2695"/>
      <c r="AD109" s="2695"/>
      <c r="AE109" s="2695"/>
      <c r="AF109" s="2695"/>
      <c r="AG109" s="2695"/>
      <c r="AH109" s="2695"/>
      <c r="AI109" s="2695"/>
      <c r="AJ109" s="2695"/>
      <c r="AK109" s="2695"/>
      <c r="AL109" s="2695"/>
      <c r="AM109" s="2695"/>
      <c r="AN109" s="2695"/>
      <c r="AO109" s="2636"/>
      <c r="AP109" s="2636"/>
      <c r="AQ109" s="2701"/>
    </row>
    <row r="110" spans="1:43" s="170" customFormat="1" ht="32.25" customHeight="1" x14ac:dyDescent="0.2">
      <c r="A110" s="2553"/>
      <c r="B110" s="2557"/>
      <c r="C110" s="2558"/>
      <c r="D110" s="2557"/>
      <c r="E110" s="2655"/>
      <c r="F110" s="2558"/>
      <c r="H110" s="1261"/>
      <c r="I110" s="1262"/>
      <c r="J110" s="2627"/>
      <c r="K110" s="2610"/>
      <c r="L110" s="2610"/>
      <c r="M110" s="2627"/>
      <c r="N110" s="2700"/>
      <c r="O110" s="2607"/>
      <c r="P110" s="2609"/>
      <c r="Q110" s="2686"/>
      <c r="R110" s="2687"/>
      <c r="S110" s="2610"/>
      <c r="T110" s="2610"/>
      <c r="U110" s="2663"/>
      <c r="V110" s="1242">
        <v>5000000</v>
      </c>
      <c r="W110" s="2698"/>
      <c r="X110" s="2691"/>
      <c r="Y110" s="2695"/>
      <c r="Z110" s="2695"/>
      <c r="AA110" s="2695"/>
      <c r="AB110" s="2695"/>
      <c r="AC110" s="2695"/>
      <c r="AD110" s="2695"/>
      <c r="AE110" s="2695"/>
      <c r="AF110" s="2695"/>
      <c r="AG110" s="2695"/>
      <c r="AH110" s="2695"/>
      <c r="AI110" s="2695"/>
      <c r="AJ110" s="2695"/>
      <c r="AK110" s="2695"/>
      <c r="AL110" s="2695"/>
      <c r="AM110" s="2695"/>
      <c r="AN110" s="2695"/>
      <c r="AO110" s="2636"/>
      <c r="AP110" s="2636"/>
      <c r="AQ110" s="2701"/>
    </row>
    <row r="111" spans="1:43" s="170" customFormat="1" ht="34.5" customHeight="1" x14ac:dyDescent="0.2">
      <c r="A111" s="2553"/>
      <c r="B111" s="2557"/>
      <c r="C111" s="2558"/>
      <c r="D111" s="2557"/>
      <c r="E111" s="2655"/>
      <c r="F111" s="2558"/>
      <c r="H111" s="1261"/>
      <c r="I111" s="1262"/>
      <c r="J111" s="2627">
        <v>237</v>
      </c>
      <c r="K111" s="2610" t="s">
        <v>1542</v>
      </c>
      <c r="L111" s="2610" t="s">
        <v>1543</v>
      </c>
      <c r="M111" s="2627">
        <v>20</v>
      </c>
      <c r="N111" s="2700"/>
      <c r="O111" s="2607"/>
      <c r="P111" s="2609"/>
      <c r="Q111" s="2686">
        <f>R111/SUM(R105:R142)</f>
        <v>4.3542681460439984E-2</v>
      </c>
      <c r="R111" s="2687">
        <f>SUM(V111:V116)</f>
        <v>27000000</v>
      </c>
      <c r="S111" s="2610"/>
      <c r="T111" s="2610"/>
      <c r="U111" s="2670" t="s">
        <v>1544</v>
      </c>
      <c r="V111" s="1242">
        <v>12000000</v>
      </c>
      <c r="W111" s="2698"/>
      <c r="X111" s="2691"/>
      <c r="Y111" s="2695"/>
      <c r="Z111" s="2695"/>
      <c r="AA111" s="2695"/>
      <c r="AB111" s="2695"/>
      <c r="AC111" s="2695"/>
      <c r="AD111" s="2695"/>
      <c r="AE111" s="2695"/>
      <c r="AF111" s="2695"/>
      <c r="AG111" s="2695"/>
      <c r="AH111" s="2695"/>
      <c r="AI111" s="2695"/>
      <c r="AJ111" s="2695"/>
      <c r="AK111" s="2695"/>
      <c r="AL111" s="2695"/>
      <c r="AM111" s="2695"/>
      <c r="AN111" s="2695"/>
      <c r="AO111" s="2636"/>
      <c r="AP111" s="2636"/>
      <c r="AQ111" s="2701"/>
    </row>
    <row r="112" spans="1:43" s="170" customFormat="1" ht="27" customHeight="1" x14ac:dyDescent="0.2">
      <c r="A112" s="2553"/>
      <c r="B112" s="2557"/>
      <c r="C112" s="2558"/>
      <c r="D112" s="2557"/>
      <c r="E112" s="2655"/>
      <c r="F112" s="2558"/>
      <c r="H112" s="1261"/>
      <c r="I112" s="1262"/>
      <c r="J112" s="2627"/>
      <c r="K112" s="2610"/>
      <c r="L112" s="2610"/>
      <c r="M112" s="2627"/>
      <c r="N112" s="2700"/>
      <c r="O112" s="2607"/>
      <c r="P112" s="2609"/>
      <c r="Q112" s="2686"/>
      <c r="R112" s="2687"/>
      <c r="S112" s="2610"/>
      <c r="T112" s="2610"/>
      <c r="U112" s="2692"/>
      <c r="V112" s="1242">
        <v>2000000</v>
      </c>
      <c r="W112" s="2698"/>
      <c r="X112" s="2691"/>
      <c r="Y112" s="2695"/>
      <c r="Z112" s="2695"/>
      <c r="AA112" s="2695"/>
      <c r="AB112" s="2695"/>
      <c r="AC112" s="2695"/>
      <c r="AD112" s="2695"/>
      <c r="AE112" s="2695"/>
      <c r="AF112" s="2695"/>
      <c r="AG112" s="2695"/>
      <c r="AH112" s="2695"/>
      <c r="AI112" s="2695"/>
      <c r="AJ112" s="2695"/>
      <c r="AK112" s="2695"/>
      <c r="AL112" s="2695"/>
      <c r="AM112" s="2695"/>
      <c r="AN112" s="2695"/>
      <c r="AO112" s="2636"/>
      <c r="AP112" s="2636"/>
      <c r="AQ112" s="2701"/>
    </row>
    <row r="113" spans="1:43" s="170" customFormat="1" ht="32.25" customHeight="1" x14ac:dyDescent="0.2">
      <c r="A113" s="2553"/>
      <c r="B113" s="2557"/>
      <c r="C113" s="2558"/>
      <c r="D113" s="2557"/>
      <c r="E113" s="2655"/>
      <c r="F113" s="2558"/>
      <c r="H113" s="1261"/>
      <c r="I113" s="1262"/>
      <c r="J113" s="2627"/>
      <c r="K113" s="2610"/>
      <c r="L113" s="2610"/>
      <c r="M113" s="2627"/>
      <c r="N113" s="2700"/>
      <c r="O113" s="2607"/>
      <c r="P113" s="2609"/>
      <c r="Q113" s="2686"/>
      <c r="R113" s="2687"/>
      <c r="S113" s="2610"/>
      <c r="T113" s="2610"/>
      <c r="U113" s="2670" t="s">
        <v>1545</v>
      </c>
      <c r="V113" s="1242">
        <v>5000000</v>
      </c>
      <c r="W113" s="2698"/>
      <c r="X113" s="2691"/>
      <c r="Y113" s="2695"/>
      <c r="Z113" s="2695"/>
      <c r="AA113" s="2695"/>
      <c r="AB113" s="2695"/>
      <c r="AC113" s="2695"/>
      <c r="AD113" s="2695"/>
      <c r="AE113" s="2695"/>
      <c r="AF113" s="2695"/>
      <c r="AG113" s="2695"/>
      <c r="AH113" s="2695"/>
      <c r="AI113" s="2695"/>
      <c r="AJ113" s="2695"/>
      <c r="AK113" s="2695"/>
      <c r="AL113" s="2695"/>
      <c r="AM113" s="2695"/>
      <c r="AN113" s="2695"/>
      <c r="AO113" s="2636"/>
      <c r="AP113" s="2636"/>
      <c r="AQ113" s="2701"/>
    </row>
    <row r="114" spans="1:43" s="170" customFormat="1" ht="29.25" customHeight="1" x14ac:dyDescent="0.2">
      <c r="A114" s="2553"/>
      <c r="B114" s="2557"/>
      <c r="C114" s="2558"/>
      <c r="D114" s="2557"/>
      <c r="E114" s="2655"/>
      <c r="F114" s="2558"/>
      <c r="H114" s="1261"/>
      <c r="I114" s="1262"/>
      <c r="J114" s="2627"/>
      <c r="K114" s="2610"/>
      <c r="L114" s="2610"/>
      <c r="M114" s="2627"/>
      <c r="N114" s="2700"/>
      <c r="O114" s="2607"/>
      <c r="P114" s="2609"/>
      <c r="Q114" s="2686"/>
      <c r="R114" s="2687"/>
      <c r="S114" s="2610"/>
      <c r="T114" s="2610"/>
      <c r="U114" s="2692"/>
      <c r="V114" s="1242">
        <v>1000000</v>
      </c>
      <c r="W114" s="2698"/>
      <c r="X114" s="2691"/>
      <c r="Y114" s="2695"/>
      <c r="Z114" s="2695"/>
      <c r="AA114" s="2695"/>
      <c r="AB114" s="2695"/>
      <c r="AC114" s="2695"/>
      <c r="AD114" s="2695"/>
      <c r="AE114" s="2695"/>
      <c r="AF114" s="2695"/>
      <c r="AG114" s="2695"/>
      <c r="AH114" s="2695"/>
      <c r="AI114" s="2695"/>
      <c r="AJ114" s="2695"/>
      <c r="AK114" s="2695"/>
      <c r="AL114" s="2695"/>
      <c r="AM114" s="2695"/>
      <c r="AN114" s="2695"/>
      <c r="AO114" s="2636"/>
      <c r="AP114" s="2636"/>
      <c r="AQ114" s="2701"/>
    </row>
    <row r="115" spans="1:43" s="170" customFormat="1" ht="30" customHeight="1" x14ac:dyDescent="0.2">
      <c r="A115" s="2553"/>
      <c r="B115" s="2557"/>
      <c r="C115" s="2558"/>
      <c r="D115" s="2557"/>
      <c r="E115" s="2655"/>
      <c r="F115" s="2558"/>
      <c r="H115" s="1261"/>
      <c r="I115" s="1262"/>
      <c r="J115" s="2627"/>
      <c r="K115" s="2610"/>
      <c r="L115" s="2610"/>
      <c r="M115" s="2627"/>
      <c r="N115" s="2700"/>
      <c r="O115" s="2607"/>
      <c r="P115" s="2609"/>
      <c r="Q115" s="2686"/>
      <c r="R115" s="2687"/>
      <c r="S115" s="2610"/>
      <c r="T115" s="2610"/>
      <c r="U115" s="2670" t="s">
        <v>1546</v>
      </c>
      <c r="V115" s="1242">
        <v>5000000</v>
      </c>
      <c r="W115" s="2698"/>
      <c r="X115" s="2691"/>
      <c r="Y115" s="2695"/>
      <c r="Z115" s="2695"/>
      <c r="AA115" s="2695"/>
      <c r="AB115" s="2695"/>
      <c r="AC115" s="2695"/>
      <c r="AD115" s="2695"/>
      <c r="AE115" s="2695"/>
      <c r="AF115" s="2695"/>
      <c r="AG115" s="2695"/>
      <c r="AH115" s="2695"/>
      <c r="AI115" s="2695"/>
      <c r="AJ115" s="2695"/>
      <c r="AK115" s="2695"/>
      <c r="AL115" s="2695"/>
      <c r="AM115" s="2695"/>
      <c r="AN115" s="2695"/>
      <c r="AO115" s="2636"/>
      <c r="AP115" s="2636"/>
      <c r="AQ115" s="2701"/>
    </row>
    <row r="116" spans="1:43" s="170" customFormat="1" ht="24.75" customHeight="1" x14ac:dyDescent="0.2">
      <c r="A116" s="2553"/>
      <c r="B116" s="2557"/>
      <c r="C116" s="2558"/>
      <c r="D116" s="2557"/>
      <c r="E116" s="2655"/>
      <c r="F116" s="2558"/>
      <c r="H116" s="1261"/>
      <c r="I116" s="1262"/>
      <c r="J116" s="2627"/>
      <c r="K116" s="2610"/>
      <c r="L116" s="2610"/>
      <c r="M116" s="2627"/>
      <c r="N116" s="2700"/>
      <c r="O116" s="2607"/>
      <c r="P116" s="2609"/>
      <c r="Q116" s="2686"/>
      <c r="R116" s="2687"/>
      <c r="S116" s="2610"/>
      <c r="T116" s="2610"/>
      <c r="U116" s="2692"/>
      <c r="V116" s="1242">
        <v>2000000</v>
      </c>
      <c r="W116" s="2698"/>
      <c r="X116" s="2691"/>
      <c r="Y116" s="2695"/>
      <c r="Z116" s="2695"/>
      <c r="AA116" s="2695"/>
      <c r="AB116" s="2695"/>
      <c r="AC116" s="2695"/>
      <c r="AD116" s="2695"/>
      <c r="AE116" s="2695"/>
      <c r="AF116" s="2695"/>
      <c r="AG116" s="2695"/>
      <c r="AH116" s="2695"/>
      <c r="AI116" s="2695"/>
      <c r="AJ116" s="2695"/>
      <c r="AK116" s="2695"/>
      <c r="AL116" s="2695"/>
      <c r="AM116" s="2695"/>
      <c r="AN116" s="2695"/>
      <c r="AO116" s="2636"/>
      <c r="AP116" s="2636"/>
      <c r="AQ116" s="2701"/>
    </row>
    <row r="117" spans="1:43" s="170" customFormat="1" ht="30" customHeight="1" x14ac:dyDescent="0.2">
      <c r="A117" s="2553"/>
      <c r="B117" s="2557"/>
      <c r="C117" s="2558"/>
      <c r="D117" s="2557"/>
      <c r="E117" s="2655"/>
      <c r="F117" s="2558"/>
      <c r="H117" s="1261"/>
      <c r="I117" s="1262"/>
      <c r="J117" s="2627">
        <v>238</v>
      </c>
      <c r="K117" s="2610" t="s">
        <v>1547</v>
      </c>
      <c r="L117" s="2610" t="s">
        <v>1548</v>
      </c>
      <c r="M117" s="2627">
        <v>12</v>
      </c>
      <c r="N117" s="2700"/>
      <c r="O117" s="2607"/>
      <c r="P117" s="2609"/>
      <c r="Q117" s="2686">
        <f>R117/SUM(R105:R142)</f>
        <v>0.16623828462787138</v>
      </c>
      <c r="R117" s="2687">
        <f>SUM(V117:V126)</f>
        <v>103081242</v>
      </c>
      <c r="S117" s="2610"/>
      <c r="T117" s="2610"/>
      <c r="U117" s="2645" t="s">
        <v>1549</v>
      </c>
      <c r="V117" s="1242">
        <v>34200000</v>
      </c>
      <c r="W117" s="2698"/>
      <c r="X117" s="2691"/>
      <c r="Y117" s="2695"/>
      <c r="Z117" s="2695"/>
      <c r="AA117" s="2695"/>
      <c r="AB117" s="2695"/>
      <c r="AC117" s="2695"/>
      <c r="AD117" s="2695"/>
      <c r="AE117" s="2695"/>
      <c r="AF117" s="2695"/>
      <c r="AG117" s="2695"/>
      <c r="AH117" s="2695"/>
      <c r="AI117" s="2695"/>
      <c r="AJ117" s="2695"/>
      <c r="AK117" s="2695"/>
      <c r="AL117" s="2695"/>
      <c r="AM117" s="2695"/>
      <c r="AN117" s="2695"/>
      <c r="AO117" s="2636"/>
      <c r="AP117" s="2636"/>
      <c r="AQ117" s="2701"/>
    </row>
    <row r="118" spans="1:43" s="170" customFormat="1" ht="27" customHeight="1" x14ac:dyDescent="0.2">
      <c r="A118" s="2553"/>
      <c r="B118" s="2557"/>
      <c r="C118" s="2558"/>
      <c r="D118" s="2557"/>
      <c r="E118" s="2655"/>
      <c r="F118" s="2558"/>
      <c r="H118" s="1261"/>
      <c r="I118" s="1262"/>
      <c r="J118" s="2627"/>
      <c r="K118" s="2610"/>
      <c r="L118" s="2610"/>
      <c r="M118" s="2627"/>
      <c r="N118" s="2700"/>
      <c r="O118" s="2607"/>
      <c r="P118" s="2609"/>
      <c r="Q118" s="2686"/>
      <c r="R118" s="2687"/>
      <c r="S118" s="2610"/>
      <c r="T118" s="2610"/>
      <c r="U118" s="2663"/>
      <c r="V118" s="1242">
        <v>10800000</v>
      </c>
      <c r="W118" s="2698"/>
      <c r="X118" s="2691"/>
      <c r="Y118" s="2695"/>
      <c r="Z118" s="2695"/>
      <c r="AA118" s="2695"/>
      <c r="AB118" s="2695"/>
      <c r="AC118" s="2695"/>
      <c r="AD118" s="2695"/>
      <c r="AE118" s="2695"/>
      <c r="AF118" s="2695"/>
      <c r="AG118" s="2695"/>
      <c r="AH118" s="2695"/>
      <c r="AI118" s="2695"/>
      <c r="AJ118" s="2695"/>
      <c r="AK118" s="2695"/>
      <c r="AL118" s="2695"/>
      <c r="AM118" s="2695"/>
      <c r="AN118" s="2695"/>
      <c r="AO118" s="2636"/>
      <c r="AP118" s="2636"/>
      <c r="AQ118" s="2701"/>
    </row>
    <row r="119" spans="1:43" s="170" customFormat="1" ht="27" customHeight="1" x14ac:dyDescent="0.2">
      <c r="A119" s="2553"/>
      <c r="B119" s="2557"/>
      <c r="C119" s="2558"/>
      <c r="D119" s="2557"/>
      <c r="E119" s="2655"/>
      <c r="F119" s="2558"/>
      <c r="H119" s="1261"/>
      <c r="I119" s="1262"/>
      <c r="J119" s="2627"/>
      <c r="K119" s="2610"/>
      <c r="L119" s="2610"/>
      <c r="M119" s="2627"/>
      <c r="N119" s="2700"/>
      <c r="O119" s="2607"/>
      <c r="P119" s="2609"/>
      <c r="Q119" s="2686"/>
      <c r="R119" s="2687"/>
      <c r="S119" s="2610"/>
      <c r="T119" s="2610"/>
      <c r="U119" s="2645" t="s">
        <v>1550</v>
      </c>
      <c r="V119" s="1242">
        <v>10000000</v>
      </c>
      <c r="W119" s="2698"/>
      <c r="X119" s="2691"/>
      <c r="Y119" s="2695"/>
      <c r="Z119" s="2695"/>
      <c r="AA119" s="2695"/>
      <c r="AB119" s="2695"/>
      <c r="AC119" s="2695"/>
      <c r="AD119" s="2695"/>
      <c r="AE119" s="2695"/>
      <c r="AF119" s="2695"/>
      <c r="AG119" s="2695"/>
      <c r="AH119" s="2695"/>
      <c r="AI119" s="2695"/>
      <c r="AJ119" s="2695"/>
      <c r="AK119" s="2695"/>
      <c r="AL119" s="2695"/>
      <c r="AM119" s="2695"/>
      <c r="AN119" s="2695"/>
      <c r="AO119" s="2636"/>
      <c r="AP119" s="2636"/>
      <c r="AQ119" s="2701"/>
    </row>
    <row r="120" spans="1:43" s="170" customFormat="1" ht="28.5" customHeight="1" x14ac:dyDescent="0.2">
      <c r="A120" s="2553"/>
      <c r="B120" s="2557"/>
      <c r="C120" s="2558"/>
      <c r="D120" s="2557"/>
      <c r="E120" s="2655"/>
      <c r="F120" s="2558"/>
      <c r="H120" s="1261"/>
      <c r="I120" s="1262"/>
      <c r="J120" s="2627"/>
      <c r="K120" s="2610"/>
      <c r="L120" s="2610"/>
      <c r="M120" s="2627"/>
      <c r="N120" s="2700"/>
      <c r="O120" s="2607"/>
      <c r="P120" s="2609"/>
      <c r="Q120" s="2686"/>
      <c r="R120" s="2687"/>
      <c r="S120" s="2610"/>
      <c r="T120" s="2610"/>
      <c r="U120" s="2663"/>
      <c r="V120" s="1242">
        <v>5081242</v>
      </c>
      <c r="W120" s="2698"/>
      <c r="X120" s="2691"/>
      <c r="Y120" s="2695"/>
      <c r="Z120" s="2695"/>
      <c r="AA120" s="2695"/>
      <c r="AB120" s="2695"/>
      <c r="AC120" s="2695"/>
      <c r="AD120" s="2695"/>
      <c r="AE120" s="2695"/>
      <c r="AF120" s="2695"/>
      <c r="AG120" s="2695"/>
      <c r="AH120" s="2695"/>
      <c r="AI120" s="2695"/>
      <c r="AJ120" s="2695"/>
      <c r="AK120" s="2695"/>
      <c r="AL120" s="2695"/>
      <c r="AM120" s="2695"/>
      <c r="AN120" s="2695"/>
      <c r="AO120" s="2636"/>
      <c r="AP120" s="2636"/>
      <c r="AQ120" s="2701"/>
    </row>
    <row r="121" spans="1:43" s="170" customFormat="1" ht="25.5" customHeight="1" x14ac:dyDescent="0.2">
      <c r="A121" s="2553"/>
      <c r="B121" s="2557"/>
      <c r="C121" s="2558"/>
      <c r="D121" s="2557"/>
      <c r="E121" s="2655"/>
      <c r="F121" s="2558"/>
      <c r="H121" s="1261"/>
      <c r="I121" s="1262"/>
      <c r="J121" s="2627"/>
      <c r="K121" s="2610"/>
      <c r="L121" s="2610"/>
      <c r="M121" s="2627"/>
      <c r="N121" s="2700"/>
      <c r="O121" s="2607"/>
      <c r="P121" s="2609"/>
      <c r="Q121" s="2686"/>
      <c r="R121" s="2687"/>
      <c r="S121" s="2610"/>
      <c r="T121" s="2610"/>
      <c r="U121" s="2645" t="s">
        <v>1551</v>
      </c>
      <c r="V121" s="1242">
        <v>15000000</v>
      </c>
      <c r="W121" s="2698"/>
      <c r="X121" s="2691"/>
      <c r="Y121" s="2695"/>
      <c r="Z121" s="2695"/>
      <c r="AA121" s="2695"/>
      <c r="AB121" s="2695"/>
      <c r="AC121" s="2695"/>
      <c r="AD121" s="2695"/>
      <c r="AE121" s="2695"/>
      <c r="AF121" s="2695"/>
      <c r="AG121" s="2695"/>
      <c r="AH121" s="2695"/>
      <c r="AI121" s="2695"/>
      <c r="AJ121" s="2695"/>
      <c r="AK121" s="2695"/>
      <c r="AL121" s="2695"/>
      <c r="AM121" s="2695"/>
      <c r="AN121" s="2695"/>
      <c r="AO121" s="2636"/>
      <c r="AP121" s="2636"/>
      <c r="AQ121" s="2701"/>
    </row>
    <row r="122" spans="1:43" s="170" customFormat="1" ht="25.5" customHeight="1" x14ac:dyDescent="0.2">
      <c r="A122" s="2553"/>
      <c r="B122" s="2557"/>
      <c r="C122" s="2558"/>
      <c r="D122" s="2557"/>
      <c r="E122" s="2655"/>
      <c r="F122" s="2558"/>
      <c r="H122" s="1261"/>
      <c r="I122" s="1262"/>
      <c r="J122" s="2627"/>
      <c r="K122" s="2610"/>
      <c r="L122" s="2610"/>
      <c r="M122" s="2627"/>
      <c r="N122" s="2700"/>
      <c r="O122" s="2607"/>
      <c r="P122" s="2609"/>
      <c r="Q122" s="2686"/>
      <c r="R122" s="2687"/>
      <c r="S122" s="2610"/>
      <c r="T122" s="2610"/>
      <c r="U122" s="2663"/>
      <c r="V122" s="1242">
        <v>8000000</v>
      </c>
      <c r="W122" s="2698"/>
      <c r="X122" s="2691"/>
      <c r="Y122" s="2695"/>
      <c r="Z122" s="2695"/>
      <c r="AA122" s="2695"/>
      <c r="AB122" s="2695"/>
      <c r="AC122" s="2695"/>
      <c r="AD122" s="2695"/>
      <c r="AE122" s="2695"/>
      <c r="AF122" s="2695"/>
      <c r="AG122" s="2695"/>
      <c r="AH122" s="2695"/>
      <c r="AI122" s="2695"/>
      <c r="AJ122" s="2695"/>
      <c r="AK122" s="2695"/>
      <c r="AL122" s="2695"/>
      <c r="AM122" s="2695"/>
      <c r="AN122" s="2695"/>
      <c r="AO122" s="2636"/>
      <c r="AP122" s="2636"/>
      <c r="AQ122" s="2701"/>
    </row>
    <row r="123" spans="1:43" s="170" customFormat="1" ht="27" customHeight="1" x14ac:dyDescent="0.2">
      <c r="A123" s="2553"/>
      <c r="B123" s="2557"/>
      <c r="C123" s="2558"/>
      <c r="D123" s="2557"/>
      <c r="E123" s="2655"/>
      <c r="F123" s="2558"/>
      <c r="H123" s="1261"/>
      <c r="I123" s="1262"/>
      <c r="J123" s="2627"/>
      <c r="K123" s="2610"/>
      <c r="L123" s="2610"/>
      <c r="M123" s="2627"/>
      <c r="N123" s="2700"/>
      <c r="O123" s="2607"/>
      <c r="P123" s="2609"/>
      <c r="Q123" s="2686"/>
      <c r="R123" s="2687"/>
      <c r="S123" s="2610"/>
      <c r="T123" s="2610"/>
      <c r="U123" s="2645" t="s">
        <v>1552</v>
      </c>
      <c r="V123" s="1242">
        <v>5000000</v>
      </c>
      <c r="W123" s="2698"/>
      <c r="X123" s="2691"/>
      <c r="Y123" s="2695"/>
      <c r="Z123" s="2695"/>
      <c r="AA123" s="2695"/>
      <c r="AB123" s="2695"/>
      <c r="AC123" s="2695"/>
      <c r="AD123" s="2695"/>
      <c r="AE123" s="2695"/>
      <c r="AF123" s="2695"/>
      <c r="AG123" s="2695"/>
      <c r="AH123" s="2695"/>
      <c r="AI123" s="2695"/>
      <c r="AJ123" s="2695"/>
      <c r="AK123" s="2695"/>
      <c r="AL123" s="2695"/>
      <c r="AM123" s="2695"/>
      <c r="AN123" s="2695"/>
      <c r="AO123" s="2636"/>
      <c r="AP123" s="2636"/>
      <c r="AQ123" s="2701"/>
    </row>
    <row r="124" spans="1:43" s="170" customFormat="1" ht="27" customHeight="1" x14ac:dyDescent="0.2">
      <c r="A124" s="2553"/>
      <c r="B124" s="2557"/>
      <c r="C124" s="2558"/>
      <c r="D124" s="2557"/>
      <c r="E124" s="2655"/>
      <c r="F124" s="2558"/>
      <c r="H124" s="1261"/>
      <c r="I124" s="1262"/>
      <c r="J124" s="2627"/>
      <c r="K124" s="2610"/>
      <c r="L124" s="2610"/>
      <c r="M124" s="2627"/>
      <c r="N124" s="2700"/>
      <c r="O124" s="2607"/>
      <c r="P124" s="2609"/>
      <c r="Q124" s="2686"/>
      <c r="R124" s="2687"/>
      <c r="S124" s="2610"/>
      <c r="T124" s="2610"/>
      <c r="U124" s="2663"/>
      <c r="V124" s="1242">
        <v>5000000</v>
      </c>
      <c r="W124" s="2698"/>
      <c r="X124" s="2691"/>
      <c r="Y124" s="2695"/>
      <c r="Z124" s="2695"/>
      <c r="AA124" s="2695"/>
      <c r="AB124" s="2695"/>
      <c r="AC124" s="2695"/>
      <c r="AD124" s="2695"/>
      <c r="AE124" s="2695"/>
      <c r="AF124" s="2695"/>
      <c r="AG124" s="2695"/>
      <c r="AH124" s="2695"/>
      <c r="AI124" s="2695"/>
      <c r="AJ124" s="2695"/>
      <c r="AK124" s="2695"/>
      <c r="AL124" s="2695"/>
      <c r="AM124" s="2695"/>
      <c r="AN124" s="2695"/>
      <c r="AO124" s="2636"/>
      <c r="AP124" s="2636"/>
      <c r="AQ124" s="2701"/>
    </row>
    <row r="125" spans="1:43" s="170" customFormat="1" ht="27" customHeight="1" x14ac:dyDescent="0.2">
      <c r="A125" s="2553"/>
      <c r="B125" s="2557"/>
      <c r="C125" s="2558"/>
      <c r="D125" s="2557"/>
      <c r="E125" s="2655"/>
      <c r="F125" s="2558"/>
      <c r="H125" s="1261"/>
      <c r="I125" s="1262"/>
      <c r="J125" s="2627"/>
      <c r="K125" s="2610"/>
      <c r="L125" s="2610"/>
      <c r="M125" s="2627"/>
      <c r="N125" s="2700"/>
      <c r="O125" s="2607"/>
      <c r="P125" s="2609"/>
      <c r="Q125" s="2686"/>
      <c r="R125" s="2687"/>
      <c r="S125" s="2610"/>
      <c r="T125" s="2610"/>
      <c r="U125" s="2645" t="s">
        <v>1553</v>
      </c>
      <c r="V125" s="1242">
        <v>8800000</v>
      </c>
      <c r="W125" s="2698"/>
      <c r="X125" s="2691"/>
      <c r="Y125" s="2695"/>
      <c r="Z125" s="2695"/>
      <c r="AA125" s="2695"/>
      <c r="AB125" s="2695"/>
      <c r="AC125" s="2695"/>
      <c r="AD125" s="2695"/>
      <c r="AE125" s="2695"/>
      <c r="AF125" s="2695"/>
      <c r="AG125" s="2695"/>
      <c r="AH125" s="2695"/>
      <c r="AI125" s="2695"/>
      <c r="AJ125" s="2695"/>
      <c r="AK125" s="2695"/>
      <c r="AL125" s="2695"/>
      <c r="AM125" s="2695"/>
      <c r="AN125" s="2695"/>
      <c r="AO125" s="2636"/>
      <c r="AP125" s="2636"/>
      <c r="AQ125" s="2701"/>
    </row>
    <row r="126" spans="1:43" s="170" customFormat="1" ht="27.75" customHeight="1" x14ac:dyDescent="0.2">
      <c r="A126" s="2553"/>
      <c r="B126" s="2557"/>
      <c r="C126" s="2558"/>
      <c r="D126" s="2557"/>
      <c r="E126" s="2655"/>
      <c r="F126" s="2558"/>
      <c r="H126" s="1261"/>
      <c r="I126" s="1262"/>
      <c r="J126" s="2627"/>
      <c r="K126" s="2610"/>
      <c r="L126" s="2610"/>
      <c r="M126" s="2627"/>
      <c r="N126" s="2700"/>
      <c r="O126" s="2607"/>
      <c r="P126" s="2609"/>
      <c r="Q126" s="2686"/>
      <c r="R126" s="2687"/>
      <c r="S126" s="2610"/>
      <c r="T126" s="2610"/>
      <c r="U126" s="2663"/>
      <c r="V126" s="1242">
        <v>1200000</v>
      </c>
      <c r="W126" s="2698"/>
      <c r="X126" s="2691"/>
      <c r="Y126" s="2695"/>
      <c r="Z126" s="2695"/>
      <c r="AA126" s="2695"/>
      <c r="AB126" s="2695"/>
      <c r="AC126" s="2695"/>
      <c r="AD126" s="2695"/>
      <c r="AE126" s="2695"/>
      <c r="AF126" s="2695"/>
      <c r="AG126" s="2695"/>
      <c r="AH126" s="2695"/>
      <c r="AI126" s="2695"/>
      <c r="AJ126" s="2695"/>
      <c r="AK126" s="2695"/>
      <c r="AL126" s="2695"/>
      <c r="AM126" s="2695"/>
      <c r="AN126" s="2695"/>
      <c r="AO126" s="2636"/>
      <c r="AP126" s="2636"/>
      <c r="AQ126" s="2701"/>
    </row>
    <row r="127" spans="1:43" s="170" customFormat="1" ht="28.5" customHeight="1" x14ac:dyDescent="0.2">
      <c r="A127" s="2553"/>
      <c r="B127" s="2557"/>
      <c r="C127" s="2558"/>
      <c r="D127" s="2557"/>
      <c r="E127" s="2655"/>
      <c r="F127" s="2558"/>
      <c r="H127" s="1261"/>
      <c r="I127" s="1262"/>
      <c r="J127" s="2627">
        <v>239</v>
      </c>
      <c r="K127" s="2610" t="s">
        <v>1554</v>
      </c>
      <c r="L127" s="2610" t="s">
        <v>1555</v>
      </c>
      <c r="M127" s="2627">
        <v>6</v>
      </c>
      <c r="N127" s="2700"/>
      <c r="O127" s="2607"/>
      <c r="P127" s="2609"/>
      <c r="Q127" s="2686">
        <f>R127/SUM(R105:R142)</f>
        <v>0.10482497388624441</v>
      </c>
      <c r="R127" s="2687">
        <f>SUM(V127:V130)</f>
        <v>65000000</v>
      </c>
      <c r="S127" s="2610"/>
      <c r="T127" s="2610"/>
      <c r="U127" s="2645" t="s">
        <v>1556</v>
      </c>
      <c r="V127" s="1242">
        <v>20000000</v>
      </c>
      <c r="W127" s="2698"/>
      <c r="X127" s="2691"/>
      <c r="Y127" s="2695"/>
      <c r="Z127" s="2695"/>
      <c r="AA127" s="2695"/>
      <c r="AB127" s="2695"/>
      <c r="AC127" s="2695"/>
      <c r="AD127" s="2695"/>
      <c r="AE127" s="2695"/>
      <c r="AF127" s="2695"/>
      <c r="AG127" s="2695"/>
      <c r="AH127" s="2695"/>
      <c r="AI127" s="2695"/>
      <c r="AJ127" s="2695"/>
      <c r="AK127" s="2695"/>
      <c r="AL127" s="2695"/>
      <c r="AM127" s="2695"/>
      <c r="AN127" s="2695"/>
      <c r="AO127" s="2636"/>
      <c r="AP127" s="2636"/>
      <c r="AQ127" s="2701"/>
    </row>
    <row r="128" spans="1:43" s="170" customFormat="1" ht="27" customHeight="1" x14ac:dyDescent="0.2">
      <c r="A128" s="2553"/>
      <c r="B128" s="2557"/>
      <c r="C128" s="2558"/>
      <c r="D128" s="2557"/>
      <c r="E128" s="2655"/>
      <c r="F128" s="2558"/>
      <c r="H128" s="1261"/>
      <c r="I128" s="1262"/>
      <c r="J128" s="2627"/>
      <c r="K128" s="2610"/>
      <c r="L128" s="2610"/>
      <c r="M128" s="2627"/>
      <c r="N128" s="2700"/>
      <c r="O128" s="2607"/>
      <c r="P128" s="2609"/>
      <c r="Q128" s="2686"/>
      <c r="R128" s="2687"/>
      <c r="S128" s="2610"/>
      <c r="T128" s="2610"/>
      <c r="U128" s="2663"/>
      <c r="V128" s="1242">
        <v>10000000</v>
      </c>
      <c r="W128" s="2698"/>
      <c r="X128" s="2691"/>
      <c r="Y128" s="2695"/>
      <c r="Z128" s="2695"/>
      <c r="AA128" s="2695"/>
      <c r="AB128" s="2695"/>
      <c r="AC128" s="2695"/>
      <c r="AD128" s="2695"/>
      <c r="AE128" s="2695"/>
      <c r="AF128" s="2695"/>
      <c r="AG128" s="2695"/>
      <c r="AH128" s="2695"/>
      <c r="AI128" s="2695"/>
      <c r="AJ128" s="2695"/>
      <c r="AK128" s="2695"/>
      <c r="AL128" s="2695"/>
      <c r="AM128" s="2695"/>
      <c r="AN128" s="2695"/>
      <c r="AO128" s="2636"/>
      <c r="AP128" s="2636"/>
      <c r="AQ128" s="2701"/>
    </row>
    <row r="129" spans="1:43" s="170" customFormat="1" ht="30.75" customHeight="1" x14ac:dyDescent="0.2">
      <c r="A129" s="2553"/>
      <c r="B129" s="2557"/>
      <c r="C129" s="2558"/>
      <c r="D129" s="2557"/>
      <c r="E129" s="2655"/>
      <c r="F129" s="2558"/>
      <c r="H129" s="1261"/>
      <c r="I129" s="1262"/>
      <c r="J129" s="2627"/>
      <c r="K129" s="2610"/>
      <c r="L129" s="2610"/>
      <c r="M129" s="2627"/>
      <c r="N129" s="2700"/>
      <c r="O129" s="2607"/>
      <c r="P129" s="2609"/>
      <c r="Q129" s="2686"/>
      <c r="R129" s="2687"/>
      <c r="S129" s="2610"/>
      <c r="T129" s="2610"/>
      <c r="U129" s="2645" t="s">
        <v>1557</v>
      </c>
      <c r="V129" s="1242">
        <v>25000000</v>
      </c>
      <c r="W129" s="2698"/>
      <c r="X129" s="2691"/>
      <c r="Y129" s="2695"/>
      <c r="Z129" s="2695"/>
      <c r="AA129" s="2695"/>
      <c r="AB129" s="2695"/>
      <c r="AC129" s="2695"/>
      <c r="AD129" s="2695"/>
      <c r="AE129" s="2695"/>
      <c r="AF129" s="2695"/>
      <c r="AG129" s="2695"/>
      <c r="AH129" s="2695"/>
      <c r="AI129" s="2695"/>
      <c r="AJ129" s="2695"/>
      <c r="AK129" s="2695"/>
      <c r="AL129" s="2695"/>
      <c r="AM129" s="2695"/>
      <c r="AN129" s="2695"/>
      <c r="AO129" s="2636"/>
      <c r="AP129" s="2636"/>
      <c r="AQ129" s="2701"/>
    </row>
    <row r="130" spans="1:43" s="170" customFormat="1" ht="30" customHeight="1" x14ac:dyDescent="0.2">
      <c r="A130" s="2553"/>
      <c r="B130" s="2557"/>
      <c r="C130" s="2558"/>
      <c r="D130" s="2557"/>
      <c r="E130" s="2655"/>
      <c r="F130" s="2558"/>
      <c r="H130" s="1261"/>
      <c r="I130" s="1262"/>
      <c r="J130" s="2627"/>
      <c r="K130" s="2610"/>
      <c r="L130" s="2610"/>
      <c r="M130" s="2627"/>
      <c r="N130" s="2700"/>
      <c r="O130" s="2607"/>
      <c r="P130" s="2609"/>
      <c r="Q130" s="2686"/>
      <c r="R130" s="2687"/>
      <c r="S130" s="2610"/>
      <c r="T130" s="2610"/>
      <c r="U130" s="2663"/>
      <c r="V130" s="1242">
        <v>10000000</v>
      </c>
      <c r="W130" s="2698"/>
      <c r="X130" s="2691"/>
      <c r="Y130" s="2695"/>
      <c r="Z130" s="2695"/>
      <c r="AA130" s="2695"/>
      <c r="AB130" s="2695"/>
      <c r="AC130" s="2695"/>
      <c r="AD130" s="2695"/>
      <c r="AE130" s="2695"/>
      <c r="AF130" s="2695"/>
      <c r="AG130" s="2695"/>
      <c r="AH130" s="2695"/>
      <c r="AI130" s="2695"/>
      <c r="AJ130" s="2695"/>
      <c r="AK130" s="2695"/>
      <c r="AL130" s="2695"/>
      <c r="AM130" s="2695"/>
      <c r="AN130" s="2695"/>
      <c r="AO130" s="2636"/>
      <c r="AP130" s="2636"/>
      <c r="AQ130" s="2701"/>
    </row>
    <row r="131" spans="1:43" s="170" customFormat="1" ht="27" customHeight="1" x14ac:dyDescent="0.2">
      <c r="A131" s="2553"/>
      <c r="B131" s="2557"/>
      <c r="C131" s="2558"/>
      <c r="D131" s="2557"/>
      <c r="E131" s="2655"/>
      <c r="F131" s="2558"/>
      <c r="H131" s="1261"/>
      <c r="I131" s="1262"/>
      <c r="J131" s="2627">
        <v>240</v>
      </c>
      <c r="K131" s="2610" t="s">
        <v>1558</v>
      </c>
      <c r="L131" s="2693" t="s">
        <v>1559</v>
      </c>
      <c r="M131" s="2627">
        <v>1</v>
      </c>
      <c r="N131" s="2700"/>
      <c r="O131" s="2607"/>
      <c r="P131" s="2609"/>
      <c r="Q131" s="2686">
        <f>R131/SUM(R105:R142)</f>
        <v>0.51606140990151095</v>
      </c>
      <c r="R131" s="2687">
        <f>SUM(V131:V142)</f>
        <v>320000000</v>
      </c>
      <c r="S131" s="2610"/>
      <c r="T131" s="2610"/>
      <c r="U131" s="2645" t="s">
        <v>1560</v>
      </c>
      <c r="V131" s="1242">
        <v>15000000</v>
      </c>
      <c r="W131" s="2698"/>
      <c r="X131" s="2691"/>
      <c r="Y131" s="2695"/>
      <c r="Z131" s="2695"/>
      <c r="AA131" s="2695"/>
      <c r="AB131" s="2695"/>
      <c r="AC131" s="2695"/>
      <c r="AD131" s="2695"/>
      <c r="AE131" s="2695"/>
      <c r="AF131" s="2695"/>
      <c r="AG131" s="2695"/>
      <c r="AH131" s="2695"/>
      <c r="AI131" s="2695"/>
      <c r="AJ131" s="2695"/>
      <c r="AK131" s="2695"/>
      <c r="AL131" s="2695"/>
      <c r="AM131" s="2695"/>
      <c r="AN131" s="2695"/>
      <c r="AO131" s="2636"/>
      <c r="AP131" s="2636"/>
      <c r="AQ131" s="2701"/>
    </row>
    <row r="132" spans="1:43" s="170" customFormat="1" ht="30" customHeight="1" x14ac:dyDescent="0.2">
      <c r="A132" s="2553"/>
      <c r="B132" s="2557"/>
      <c r="C132" s="2558"/>
      <c r="D132" s="2557"/>
      <c r="E132" s="2655"/>
      <c r="F132" s="2558"/>
      <c r="H132" s="1261"/>
      <c r="I132" s="1262"/>
      <c r="J132" s="2627"/>
      <c r="K132" s="2610"/>
      <c r="L132" s="2693"/>
      <c r="M132" s="2627"/>
      <c r="N132" s="2700"/>
      <c r="O132" s="2607"/>
      <c r="P132" s="2609"/>
      <c r="Q132" s="2686"/>
      <c r="R132" s="2687"/>
      <c r="S132" s="2610"/>
      <c r="T132" s="2610"/>
      <c r="U132" s="2663"/>
      <c r="V132" s="1242">
        <v>5000000</v>
      </c>
      <c r="W132" s="2698"/>
      <c r="X132" s="2691"/>
      <c r="Y132" s="2695"/>
      <c r="Z132" s="2695"/>
      <c r="AA132" s="2695"/>
      <c r="AB132" s="2695"/>
      <c r="AC132" s="2695"/>
      <c r="AD132" s="2695"/>
      <c r="AE132" s="2695"/>
      <c r="AF132" s="2695"/>
      <c r="AG132" s="2695"/>
      <c r="AH132" s="2695"/>
      <c r="AI132" s="2695"/>
      <c r="AJ132" s="2695"/>
      <c r="AK132" s="2695"/>
      <c r="AL132" s="2695"/>
      <c r="AM132" s="2695"/>
      <c r="AN132" s="2695"/>
      <c r="AO132" s="2636"/>
      <c r="AP132" s="2636"/>
      <c r="AQ132" s="2701"/>
    </row>
    <row r="133" spans="1:43" s="170" customFormat="1" ht="42" customHeight="1" x14ac:dyDescent="0.2">
      <c r="A133" s="2553"/>
      <c r="B133" s="2557"/>
      <c r="C133" s="2558"/>
      <c r="D133" s="2557"/>
      <c r="E133" s="2655"/>
      <c r="F133" s="2558"/>
      <c r="H133" s="1261"/>
      <c r="I133" s="1262"/>
      <c r="J133" s="2627"/>
      <c r="K133" s="2610"/>
      <c r="L133" s="2693"/>
      <c r="M133" s="2627"/>
      <c r="N133" s="2700"/>
      <c r="O133" s="2607"/>
      <c r="P133" s="2609"/>
      <c r="Q133" s="2686"/>
      <c r="R133" s="2687"/>
      <c r="S133" s="2610"/>
      <c r="T133" s="2610"/>
      <c r="U133" s="2645" t="s">
        <v>1561</v>
      </c>
      <c r="V133" s="1242">
        <v>40000000</v>
      </c>
      <c r="W133" s="2698"/>
      <c r="X133" s="2691"/>
      <c r="Y133" s="2695"/>
      <c r="Z133" s="2695"/>
      <c r="AA133" s="2695"/>
      <c r="AB133" s="2695"/>
      <c r="AC133" s="2695"/>
      <c r="AD133" s="2695"/>
      <c r="AE133" s="2695"/>
      <c r="AF133" s="2695"/>
      <c r="AG133" s="2695"/>
      <c r="AH133" s="2695"/>
      <c r="AI133" s="2695"/>
      <c r="AJ133" s="2695"/>
      <c r="AK133" s="2695"/>
      <c r="AL133" s="2695"/>
      <c r="AM133" s="2695"/>
      <c r="AN133" s="2695"/>
      <c r="AO133" s="2636"/>
      <c r="AP133" s="2636"/>
      <c r="AQ133" s="2701"/>
    </row>
    <row r="134" spans="1:43" s="170" customFormat="1" ht="19.5" customHeight="1" x14ac:dyDescent="0.2">
      <c r="A134" s="2553"/>
      <c r="B134" s="2557"/>
      <c r="C134" s="2558"/>
      <c r="D134" s="2557"/>
      <c r="E134" s="2655"/>
      <c r="F134" s="2558"/>
      <c r="H134" s="1261"/>
      <c r="I134" s="1262"/>
      <c r="J134" s="2627"/>
      <c r="K134" s="2610"/>
      <c r="L134" s="2693"/>
      <c r="M134" s="2627"/>
      <c r="N134" s="2700"/>
      <c r="O134" s="2607"/>
      <c r="P134" s="2609"/>
      <c r="Q134" s="2686"/>
      <c r="R134" s="2687"/>
      <c r="S134" s="2610"/>
      <c r="T134" s="2610"/>
      <c r="U134" s="2663"/>
      <c r="V134" s="1242">
        <v>10000000</v>
      </c>
      <c r="W134" s="2698"/>
      <c r="X134" s="2691"/>
      <c r="Y134" s="2695"/>
      <c r="Z134" s="2695"/>
      <c r="AA134" s="2695"/>
      <c r="AB134" s="2695"/>
      <c r="AC134" s="2695"/>
      <c r="AD134" s="2695"/>
      <c r="AE134" s="2695"/>
      <c r="AF134" s="2695"/>
      <c r="AG134" s="2695"/>
      <c r="AH134" s="2695"/>
      <c r="AI134" s="2695"/>
      <c r="AJ134" s="2695"/>
      <c r="AK134" s="2695"/>
      <c r="AL134" s="2695"/>
      <c r="AM134" s="2695"/>
      <c r="AN134" s="2695"/>
      <c r="AO134" s="2636"/>
      <c r="AP134" s="2636"/>
      <c r="AQ134" s="2701"/>
    </row>
    <row r="135" spans="1:43" s="170" customFormat="1" ht="37.5" customHeight="1" x14ac:dyDescent="0.2">
      <c r="A135" s="2553"/>
      <c r="B135" s="2557"/>
      <c r="C135" s="2558"/>
      <c r="D135" s="2557"/>
      <c r="E135" s="2655"/>
      <c r="F135" s="2558"/>
      <c r="H135" s="1261"/>
      <c r="I135" s="1262"/>
      <c r="J135" s="2627"/>
      <c r="K135" s="2610"/>
      <c r="L135" s="2693"/>
      <c r="M135" s="2627"/>
      <c r="N135" s="2700"/>
      <c r="O135" s="2607"/>
      <c r="P135" s="2609"/>
      <c r="Q135" s="2686"/>
      <c r="R135" s="2687"/>
      <c r="S135" s="2610"/>
      <c r="T135" s="2610"/>
      <c r="U135" s="2645" t="s">
        <v>1562</v>
      </c>
      <c r="V135" s="1242">
        <v>30000000</v>
      </c>
      <c r="W135" s="2698"/>
      <c r="X135" s="2691"/>
      <c r="Y135" s="2695"/>
      <c r="Z135" s="2695"/>
      <c r="AA135" s="2695"/>
      <c r="AB135" s="2695"/>
      <c r="AC135" s="2695"/>
      <c r="AD135" s="2695"/>
      <c r="AE135" s="2695"/>
      <c r="AF135" s="2695"/>
      <c r="AG135" s="2695"/>
      <c r="AH135" s="2695"/>
      <c r="AI135" s="2695"/>
      <c r="AJ135" s="2695"/>
      <c r="AK135" s="2695"/>
      <c r="AL135" s="2695"/>
      <c r="AM135" s="2695"/>
      <c r="AN135" s="2695"/>
      <c r="AO135" s="2636"/>
      <c r="AP135" s="2636"/>
      <c r="AQ135" s="2701"/>
    </row>
    <row r="136" spans="1:43" s="170" customFormat="1" ht="27.75" customHeight="1" x14ac:dyDescent="0.2">
      <c r="A136" s="2553"/>
      <c r="B136" s="2557"/>
      <c r="C136" s="2558"/>
      <c r="D136" s="2557"/>
      <c r="E136" s="2655"/>
      <c r="F136" s="2558"/>
      <c r="H136" s="1261"/>
      <c r="I136" s="1262"/>
      <c r="J136" s="2627"/>
      <c r="K136" s="2610"/>
      <c r="L136" s="2693"/>
      <c r="M136" s="2627"/>
      <c r="N136" s="2700"/>
      <c r="O136" s="2607"/>
      <c r="P136" s="2609"/>
      <c r="Q136" s="2686"/>
      <c r="R136" s="2687"/>
      <c r="S136" s="2610"/>
      <c r="T136" s="2610"/>
      <c r="U136" s="2663"/>
      <c r="V136" s="1242">
        <v>10000000</v>
      </c>
      <c r="W136" s="2698"/>
      <c r="X136" s="2691"/>
      <c r="Y136" s="2695"/>
      <c r="Z136" s="2695"/>
      <c r="AA136" s="2695"/>
      <c r="AB136" s="2695"/>
      <c r="AC136" s="2695"/>
      <c r="AD136" s="2695"/>
      <c r="AE136" s="2695"/>
      <c r="AF136" s="2695"/>
      <c r="AG136" s="2695"/>
      <c r="AH136" s="2695"/>
      <c r="AI136" s="2695"/>
      <c r="AJ136" s="2695"/>
      <c r="AK136" s="2695"/>
      <c r="AL136" s="2695"/>
      <c r="AM136" s="2695"/>
      <c r="AN136" s="2695"/>
      <c r="AO136" s="2636"/>
      <c r="AP136" s="2636"/>
      <c r="AQ136" s="2701"/>
    </row>
    <row r="137" spans="1:43" s="170" customFormat="1" ht="24.75" customHeight="1" x14ac:dyDescent="0.2">
      <c r="A137" s="2553"/>
      <c r="B137" s="2557"/>
      <c r="C137" s="2558"/>
      <c r="D137" s="2557"/>
      <c r="E137" s="2655"/>
      <c r="F137" s="2558"/>
      <c r="H137" s="1261"/>
      <c r="I137" s="1262"/>
      <c r="J137" s="2627"/>
      <c r="K137" s="2610"/>
      <c r="L137" s="2693"/>
      <c r="M137" s="2627"/>
      <c r="N137" s="2700"/>
      <c r="O137" s="2607"/>
      <c r="P137" s="2609"/>
      <c r="Q137" s="2686"/>
      <c r="R137" s="2687"/>
      <c r="S137" s="2610"/>
      <c r="T137" s="2610"/>
      <c r="U137" s="2645" t="s">
        <v>1563</v>
      </c>
      <c r="V137" s="1242">
        <v>75000000</v>
      </c>
      <c r="W137" s="2698"/>
      <c r="X137" s="2691"/>
      <c r="Y137" s="2695"/>
      <c r="Z137" s="2695"/>
      <c r="AA137" s="2695"/>
      <c r="AB137" s="2695"/>
      <c r="AC137" s="2695"/>
      <c r="AD137" s="2695"/>
      <c r="AE137" s="2695"/>
      <c r="AF137" s="2695"/>
      <c r="AG137" s="2695"/>
      <c r="AH137" s="2695"/>
      <c r="AI137" s="2695"/>
      <c r="AJ137" s="2695"/>
      <c r="AK137" s="2695"/>
      <c r="AL137" s="2695"/>
      <c r="AM137" s="2695"/>
      <c r="AN137" s="2695"/>
      <c r="AO137" s="2636"/>
      <c r="AP137" s="2636"/>
      <c r="AQ137" s="2701"/>
    </row>
    <row r="138" spans="1:43" s="170" customFormat="1" ht="19.5" customHeight="1" x14ac:dyDescent="0.2">
      <c r="A138" s="2553"/>
      <c r="B138" s="2557"/>
      <c r="C138" s="2558"/>
      <c r="D138" s="2557"/>
      <c r="E138" s="2655"/>
      <c r="F138" s="2558"/>
      <c r="H138" s="1261"/>
      <c r="I138" s="1262"/>
      <c r="J138" s="2627"/>
      <c r="K138" s="2610"/>
      <c r="L138" s="2693"/>
      <c r="M138" s="2627"/>
      <c r="N138" s="2700"/>
      <c r="O138" s="2607"/>
      <c r="P138" s="2609"/>
      <c r="Q138" s="2686"/>
      <c r="R138" s="2687"/>
      <c r="S138" s="2610"/>
      <c r="T138" s="2610"/>
      <c r="U138" s="2663"/>
      <c r="V138" s="1242">
        <v>20000000</v>
      </c>
      <c r="W138" s="2698"/>
      <c r="X138" s="2691"/>
      <c r="Y138" s="2695"/>
      <c r="Z138" s="2695"/>
      <c r="AA138" s="2695"/>
      <c r="AB138" s="2695"/>
      <c r="AC138" s="2695"/>
      <c r="AD138" s="2695"/>
      <c r="AE138" s="2695"/>
      <c r="AF138" s="2695"/>
      <c r="AG138" s="2695"/>
      <c r="AH138" s="2695"/>
      <c r="AI138" s="2695"/>
      <c r="AJ138" s="2695"/>
      <c r="AK138" s="2695"/>
      <c r="AL138" s="2695"/>
      <c r="AM138" s="2695"/>
      <c r="AN138" s="2695"/>
      <c r="AO138" s="2636"/>
      <c r="AP138" s="2636"/>
      <c r="AQ138" s="2701"/>
    </row>
    <row r="139" spans="1:43" s="170" customFormat="1" ht="25.5" customHeight="1" x14ac:dyDescent="0.2">
      <c r="A139" s="2553"/>
      <c r="B139" s="2557"/>
      <c r="C139" s="2558"/>
      <c r="D139" s="2557"/>
      <c r="E139" s="2655"/>
      <c r="F139" s="2558"/>
      <c r="H139" s="1261"/>
      <c r="I139" s="1262"/>
      <c r="J139" s="2627"/>
      <c r="K139" s="2610"/>
      <c r="L139" s="2693"/>
      <c r="M139" s="2627"/>
      <c r="N139" s="2700"/>
      <c r="O139" s="2607"/>
      <c r="P139" s="2609"/>
      <c r="Q139" s="2686"/>
      <c r="R139" s="2687"/>
      <c r="S139" s="2610"/>
      <c r="T139" s="2610"/>
      <c r="U139" s="2645" t="s">
        <v>1564</v>
      </c>
      <c r="V139" s="1242">
        <v>50000000</v>
      </c>
      <c r="W139" s="2698"/>
      <c r="X139" s="2691"/>
      <c r="Y139" s="2695"/>
      <c r="Z139" s="2695"/>
      <c r="AA139" s="2695"/>
      <c r="AB139" s="2695"/>
      <c r="AC139" s="2695"/>
      <c r="AD139" s="2695"/>
      <c r="AE139" s="2695"/>
      <c r="AF139" s="2695"/>
      <c r="AG139" s="2695"/>
      <c r="AH139" s="2695"/>
      <c r="AI139" s="2695"/>
      <c r="AJ139" s="2695"/>
      <c r="AK139" s="2695"/>
      <c r="AL139" s="2695"/>
      <c r="AM139" s="2695"/>
      <c r="AN139" s="2695"/>
      <c r="AO139" s="2636"/>
      <c r="AP139" s="2636"/>
      <c r="AQ139" s="2701"/>
    </row>
    <row r="140" spans="1:43" s="170" customFormat="1" ht="21.75" customHeight="1" x14ac:dyDescent="0.2">
      <c r="A140" s="2553"/>
      <c r="B140" s="2557"/>
      <c r="C140" s="2558"/>
      <c r="D140" s="2557"/>
      <c r="E140" s="2655"/>
      <c r="F140" s="2558"/>
      <c r="H140" s="1261"/>
      <c r="I140" s="1262"/>
      <c r="J140" s="2627"/>
      <c r="K140" s="2610"/>
      <c r="L140" s="2693"/>
      <c r="M140" s="2627"/>
      <c r="N140" s="2700"/>
      <c r="O140" s="2607"/>
      <c r="P140" s="2609"/>
      <c r="Q140" s="2686"/>
      <c r="R140" s="2687"/>
      <c r="S140" s="2610"/>
      <c r="T140" s="2610"/>
      <c r="U140" s="2663"/>
      <c r="V140" s="1242">
        <v>10000000</v>
      </c>
      <c r="W140" s="2698"/>
      <c r="X140" s="2691"/>
      <c r="Y140" s="2695"/>
      <c r="Z140" s="2695"/>
      <c r="AA140" s="2695"/>
      <c r="AB140" s="2695"/>
      <c r="AC140" s="2695"/>
      <c r="AD140" s="2695"/>
      <c r="AE140" s="2695"/>
      <c r="AF140" s="2695"/>
      <c r="AG140" s="2695"/>
      <c r="AH140" s="2695"/>
      <c r="AI140" s="2695"/>
      <c r="AJ140" s="2695"/>
      <c r="AK140" s="2695"/>
      <c r="AL140" s="2695"/>
      <c r="AM140" s="2695"/>
      <c r="AN140" s="2695"/>
      <c r="AO140" s="2636"/>
      <c r="AP140" s="2636"/>
      <c r="AQ140" s="2701"/>
    </row>
    <row r="141" spans="1:43" s="170" customFormat="1" ht="34.5" customHeight="1" x14ac:dyDescent="0.2">
      <c r="A141" s="2553"/>
      <c r="B141" s="2557"/>
      <c r="C141" s="2558"/>
      <c r="D141" s="2557"/>
      <c r="E141" s="2655"/>
      <c r="F141" s="2558"/>
      <c r="H141" s="1261"/>
      <c r="I141" s="1262"/>
      <c r="J141" s="2627"/>
      <c r="K141" s="2610"/>
      <c r="L141" s="2693"/>
      <c r="M141" s="2627"/>
      <c r="N141" s="2700"/>
      <c r="O141" s="2607"/>
      <c r="P141" s="2609"/>
      <c r="Q141" s="2686"/>
      <c r="R141" s="2687"/>
      <c r="S141" s="2610"/>
      <c r="T141" s="2610"/>
      <c r="U141" s="2645" t="s">
        <v>1565</v>
      </c>
      <c r="V141" s="1242">
        <v>40000000</v>
      </c>
      <c r="W141" s="2698"/>
      <c r="X141" s="2691"/>
      <c r="Y141" s="2695"/>
      <c r="Z141" s="2695"/>
      <c r="AA141" s="2695"/>
      <c r="AB141" s="2695"/>
      <c r="AC141" s="2695"/>
      <c r="AD141" s="2695"/>
      <c r="AE141" s="2695"/>
      <c r="AF141" s="2695"/>
      <c r="AG141" s="2695"/>
      <c r="AH141" s="2695"/>
      <c r="AI141" s="2695"/>
      <c r="AJ141" s="2695"/>
      <c r="AK141" s="2695"/>
      <c r="AL141" s="2695"/>
      <c r="AM141" s="2695"/>
      <c r="AN141" s="2695"/>
      <c r="AO141" s="2636"/>
      <c r="AP141" s="2636"/>
      <c r="AQ141" s="2701"/>
    </row>
    <row r="142" spans="1:43" s="170" customFormat="1" ht="21" customHeight="1" x14ac:dyDescent="0.2">
      <c r="A142" s="2553"/>
      <c r="B142" s="2557"/>
      <c r="C142" s="2558"/>
      <c r="D142" s="2557"/>
      <c r="E142" s="2655"/>
      <c r="F142" s="2558"/>
      <c r="H142" s="1264"/>
      <c r="I142" s="1265"/>
      <c r="J142" s="2627"/>
      <c r="K142" s="2610"/>
      <c r="L142" s="2693"/>
      <c r="M142" s="2627"/>
      <c r="N142" s="2700"/>
      <c r="O142" s="2607"/>
      <c r="P142" s="2609"/>
      <c r="Q142" s="2686"/>
      <c r="R142" s="2687"/>
      <c r="S142" s="2610"/>
      <c r="T142" s="2610"/>
      <c r="U142" s="2663"/>
      <c r="V142" s="1242">
        <v>15000000</v>
      </c>
      <c r="W142" s="2699"/>
      <c r="X142" s="2691"/>
      <c r="Y142" s="2696"/>
      <c r="Z142" s="2696"/>
      <c r="AA142" s="2696"/>
      <c r="AB142" s="2696"/>
      <c r="AC142" s="2696"/>
      <c r="AD142" s="2696"/>
      <c r="AE142" s="2696"/>
      <c r="AF142" s="2696"/>
      <c r="AG142" s="2696"/>
      <c r="AH142" s="2696"/>
      <c r="AI142" s="2696"/>
      <c r="AJ142" s="2696"/>
      <c r="AK142" s="2696"/>
      <c r="AL142" s="2696"/>
      <c r="AM142" s="2696"/>
      <c r="AN142" s="2696"/>
      <c r="AO142" s="2637"/>
      <c r="AP142" s="2637"/>
      <c r="AQ142" s="2701"/>
    </row>
    <row r="143" spans="1:43" s="109" customFormat="1" ht="15.75" x14ac:dyDescent="0.2">
      <c r="A143" s="2553"/>
      <c r="B143" s="2557"/>
      <c r="C143" s="2558"/>
      <c r="D143" s="2557"/>
      <c r="E143" s="2655"/>
      <c r="F143" s="2558"/>
      <c r="G143" s="1219">
        <v>82</v>
      </c>
      <c r="H143" s="152" t="s">
        <v>1566</v>
      </c>
      <c r="I143" s="152"/>
      <c r="J143" s="1243"/>
      <c r="K143" s="1244"/>
      <c r="L143" s="1245"/>
      <c r="M143" s="1246"/>
      <c r="N143" s="713"/>
      <c r="O143" s="1222"/>
      <c r="P143" s="598"/>
      <c r="Q143" s="1247"/>
      <c r="R143" s="1248"/>
      <c r="S143" s="1245"/>
      <c r="T143" s="1244"/>
      <c r="U143" s="1244"/>
      <c r="V143" s="1249"/>
      <c r="W143" s="1142"/>
      <c r="X143" s="1142"/>
      <c r="Y143" s="1142"/>
      <c r="Z143" s="1142"/>
      <c r="AA143" s="1142"/>
      <c r="AB143" s="1142"/>
      <c r="AC143" s="1142"/>
      <c r="AD143" s="1142"/>
      <c r="AE143" s="1142"/>
      <c r="AF143" s="1142"/>
      <c r="AG143" s="1142"/>
      <c r="AH143" s="1142"/>
      <c r="AI143" s="1142"/>
      <c r="AJ143" s="1142"/>
      <c r="AK143" s="1142"/>
      <c r="AL143" s="1142"/>
      <c r="AM143" s="598"/>
      <c r="AN143" s="598"/>
      <c r="AO143" s="599"/>
      <c r="AP143" s="599"/>
      <c r="AQ143" s="1302"/>
    </row>
    <row r="144" spans="1:43" s="170" customFormat="1" ht="27.75" customHeight="1" x14ac:dyDescent="0.2">
      <c r="A144" s="2553"/>
      <c r="B144" s="2557"/>
      <c r="C144" s="2558"/>
      <c r="D144" s="2557"/>
      <c r="E144" s="2655"/>
      <c r="F144" s="2558"/>
      <c r="H144" s="1252"/>
      <c r="I144" s="1253"/>
      <c r="J144" s="2627">
        <v>241</v>
      </c>
      <c r="K144" s="2610" t="s">
        <v>1567</v>
      </c>
      <c r="L144" s="2610" t="s">
        <v>1568</v>
      </c>
      <c r="M144" s="2627">
        <v>1</v>
      </c>
      <c r="N144" s="2628" t="s">
        <v>1569</v>
      </c>
      <c r="O144" s="2607" t="s">
        <v>1570</v>
      </c>
      <c r="P144" s="2609" t="s">
        <v>1571</v>
      </c>
      <c r="Q144" s="2686">
        <f>(R144)/(R144+R148)</f>
        <v>0.51102287790596879</v>
      </c>
      <c r="R144" s="2687">
        <f>SUM(V144:V147)</f>
        <v>57479700</v>
      </c>
      <c r="S144" s="2610" t="s">
        <v>1572</v>
      </c>
      <c r="T144" s="2610" t="s">
        <v>1573</v>
      </c>
      <c r="U144" s="2712" t="s">
        <v>1574</v>
      </c>
      <c r="V144" s="1242">
        <v>12000000</v>
      </c>
      <c r="W144" s="2697" t="s">
        <v>271</v>
      </c>
      <c r="X144" s="2691" t="s">
        <v>1540</v>
      </c>
      <c r="Y144" s="2688">
        <v>4603</v>
      </c>
      <c r="Z144" s="2688">
        <v>4772</v>
      </c>
      <c r="AA144" s="2688">
        <v>2249</v>
      </c>
      <c r="AB144" s="2688">
        <v>1885</v>
      </c>
      <c r="AC144" s="2688">
        <v>3899</v>
      </c>
      <c r="AD144" s="2688">
        <v>1342</v>
      </c>
      <c r="AE144" s="2688"/>
      <c r="AF144" s="2688"/>
      <c r="AG144" s="2688"/>
      <c r="AH144" s="2688"/>
      <c r="AI144" s="2688"/>
      <c r="AJ144" s="2688"/>
      <c r="AK144" s="2688"/>
      <c r="AL144" s="2688"/>
      <c r="AM144" s="2688"/>
      <c r="AN144" s="2688">
        <v>9375</v>
      </c>
      <c r="AO144" s="2635">
        <v>43200</v>
      </c>
      <c r="AP144" s="2635">
        <v>43454</v>
      </c>
      <c r="AQ144" s="2664" t="s">
        <v>1392</v>
      </c>
    </row>
    <row r="145" spans="1:43" s="170" customFormat="1" ht="34.5" customHeight="1" x14ac:dyDescent="0.2">
      <c r="A145" s="2553"/>
      <c r="B145" s="2557"/>
      <c r="C145" s="2558"/>
      <c r="D145" s="2557"/>
      <c r="E145" s="2655"/>
      <c r="F145" s="2558"/>
      <c r="H145" s="1261"/>
      <c r="I145" s="1262"/>
      <c r="J145" s="2627"/>
      <c r="K145" s="2610"/>
      <c r="L145" s="2610"/>
      <c r="M145" s="2627"/>
      <c r="N145" s="2629"/>
      <c r="O145" s="2607"/>
      <c r="P145" s="2609"/>
      <c r="Q145" s="2686"/>
      <c r="R145" s="2687"/>
      <c r="S145" s="2610"/>
      <c r="T145" s="2610"/>
      <c r="U145" s="2713"/>
      <c r="V145" s="1242">
        <v>20000000</v>
      </c>
      <c r="W145" s="2698"/>
      <c r="X145" s="2691"/>
      <c r="Y145" s="2688"/>
      <c r="Z145" s="2688"/>
      <c r="AA145" s="2688"/>
      <c r="AB145" s="2688"/>
      <c r="AC145" s="2688"/>
      <c r="AD145" s="2688"/>
      <c r="AE145" s="2688"/>
      <c r="AF145" s="2688"/>
      <c r="AG145" s="2688"/>
      <c r="AH145" s="2688"/>
      <c r="AI145" s="2688"/>
      <c r="AJ145" s="2688"/>
      <c r="AK145" s="2688"/>
      <c r="AL145" s="2688"/>
      <c r="AM145" s="2688"/>
      <c r="AN145" s="2688"/>
      <c r="AO145" s="2636"/>
      <c r="AP145" s="2636"/>
      <c r="AQ145" s="2664"/>
    </row>
    <row r="146" spans="1:43" s="170" customFormat="1" ht="54.75" customHeight="1" x14ac:dyDescent="0.2">
      <c r="A146" s="2553"/>
      <c r="B146" s="2557"/>
      <c r="C146" s="2558"/>
      <c r="D146" s="2557"/>
      <c r="E146" s="2655"/>
      <c r="F146" s="2558"/>
      <c r="H146" s="1261"/>
      <c r="I146" s="1262"/>
      <c r="J146" s="2627"/>
      <c r="K146" s="2610"/>
      <c r="L146" s="2610"/>
      <c r="M146" s="2627"/>
      <c r="N146" s="2629"/>
      <c r="O146" s="2607"/>
      <c r="P146" s="2609"/>
      <c r="Q146" s="2686"/>
      <c r="R146" s="2687"/>
      <c r="S146" s="2610"/>
      <c r="T146" s="2610"/>
      <c r="U146" s="2712" t="s">
        <v>1575</v>
      </c>
      <c r="V146" s="1242">
        <v>18000000</v>
      </c>
      <c r="W146" s="2698"/>
      <c r="X146" s="2691"/>
      <c r="Y146" s="2688"/>
      <c r="Z146" s="2688"/>
      <c r="AA146" s="2688"/>
      <c r="AB146" s="2688"/>
      <c r="AC146" s="2688"/>
      <c r="AD146" s="2688"/>
      <c r="AE146" s="2688"/>
      <c r="AF146" s="2688"/>
      <c r="AG146" s="2688"/>
      <c r="AH146" s="2688"/>
      <c r="AI146" s="2688"/>
      <c r="AJ146" s="2688"/>
      <c r="AK146" s="2688"/>
      <c r="AL146" s="2688"/>
      <c r="AM146" s="2688"/>
      <c r="AN146" s="2688"/>
      <c r="AO146" s="2636"/>
      <c r="AP146" s="2636"/>
      <c r="AQ146" s="2664"/>
    </row>
    <row r="147" spans="1:43" s="170" customFormat="1" ht="35.25" customHeight="1" x14ac:dyDescent="0.2">
      <c r="A147" s="2553"/>
      <c r="B147" s="2557"/>
      <c r="C147" s="2558"/>
      <c r="D147" s="2557"/>
      <c r="E147" s="2655"/>
      <c r="F147" s="2558"/>
      <c r="H147" s="1261"/>
      <c r="I147" s="1262"/>
      <c r="J147" s="2627"/>
      <c r="K147" s="2610"/>
      <c r="L147" s="2610"/>
      <c r="M147" s="2627"/>
      <c r="N147" s="2629"/>
      <c r="O147" s="2607"/>
      <c r="P147" s="2609"/>
      <c r="Q147" s="2686"/>
      <c r="R147" s="2687"/>
      <c r="S147" s="2610"/>
      <c r="T147" s="2610"/>
      <c r="U147" s="2713"/>
      <c r="V147" s="1242">
        <v>7479700</v>
      </c>
      <c r="W147" s="2698"/>
      <c r="X147" s="2691"/>
      <c r="Y147" s="2689"/>
      <c r="Z147" s="2689"/>
      <c r="AA147" s="2689"/>
      <c r="AB147" s="2689"/>
      <c r="AC147" s="2689"/>
      <c r="AD147" s="2689"/>
      <c r="AE147" s="2689"/>
      <c r="AF147" s="2689"/>
      <c r="AG147" s="2689"/>
      <c r="AH147" s="2689"/>
      <c r="AI147" s="2689"/>
      <c r="AJ147" s="2689"/>
      <c r="AK147" s="2689"/>
      <c r="AL147" s="2689"/>
      <c r="AM147" s="2689"/>
      <c r="AN147" s="2689"/>
      <c r="AO147" s="2636"/>
      <c r="AP147" s="2636"/>
      <c r="AQ147" s="2665"/>
    </row>
    <row r="148" spans="1:43" s="170" customFormat="1" ht="89.25" customHeight="1" x14ac:dyDescent="0.2">
      <c r="A148" s="2553"/>
      <c r="B148" s="2557"/>
      <c r="C148" s="2558"/>
      <c r="D148" s="2559"/>
      <c r="E148" s="2656"/>
      <c r="F148" s="2560"/>
      <c r="H148" s="1264"/>
      <c r="I148" s="1265"/>
      <c r="J148" s="1303">
        <v>242</v>
      </c>
      <c r="K148" s="1255" t="s">
        <v>1576</v>
      </c>
      <c r="L148" s="1304" t="s">
        <v>1577</v>
      </c>
      <c r="M148" s="1303">
        <v>1</v>
      </c>
      <c r="N148" s="2629"/>
      <c r="O148" s="2607"/>
      <c r="P148" s="2609"/>
      <c r="Q148" s="1305">
        <f>(R148)/(R144+R148)</f>
        <v>0.48897712209403121</v>
      </c>
      <c r="R148" s="1306">
        <f>+V148</f>
        <v>55000000</v>
      </c>
      <c r="S148" s="2610"/>
      <c r="T148" s="2610"/>
      <c r="U148" s="1255" t="s">
        <v>1578</v>
      </c>
      <c r="V148" s="1242">
        <v>55000000</v>
      </c>
      <c r="W148" s="2698"/>
      <c r="X148" s="2691"/>
      <c r="Y148" s="2689"/>
      <c r="Z148" s="2689"/>
      <c r="AA148" s="2689"/>
      <c r="AB148" s="2689"/>
      <c r="AC148" s="2689"/>
      <c r="AD148" s="2689"/>
      <c r="AE148" s="2689"/>
      <c r="AF148" s="2689"/>
      <c r="AG148" s="2689"/>
      <c r="AH148" s="2689"/>
      <c r="AI148" s="2689"/>
      <c r="AJ148" s="2689"/>
      <c r="AK148" s="2689"/>
      <c r="AL148" s="2689"/>
      <c r="AM148" s="2689"/>
      <c r="AN148" s="2689"/>
      <c r="AO148" s="2637"/>
      <c r="AP148" s="2637"/>
      <c r="AQ148" s="2665"/>
    </row>
    <row r="149" spans="1:43" s="109" customFormat="1" ht="15.75" x14ac:dyDescent="0.2">
      <c r="A149" s="2553"/>
      <c r="B149" s="2557"/>
      <c r="C149" s="2558"/>
      <c r="D149" s="885">
        <v>27</v>
      </c>
      <c r="E149" s="1307" t="s">
        <v>1579</v>
      </c>
      <c r="F149" s="1307"/>
      <c r="G149" s="1308"/>
      <c r="H149" s="1308"/>
      <c r="I149" s="242"/>
      <c r="J149" s="1267"/>
      <c r="K149" s="1268"/>
      <c r="L149" s="143"/>
      <c r="M149" s="249"/>
      <c r="N149" s="1212"/>
      <c r="O149" s="1210"/>
      <c r="P149" s="243"/>
      <c r="Q149" s="1269"/>
      <c r="R149" s="1055"/>
      <c r="S149" s="143"/>
      <c r="T149" s="1268"/>
      <c r="U149" s="1268"/>
      <c r="V149" s="1270"/>
      <c r="W149" s="243"/>
      <c r="X149" s="244"/>
      <c r="Y149" s="243"/>
      <c r="Z149" s="243"/>
      <c r="AA149" s="243"/>
      <c r="AB149" s="243"/>
      <c r="AC149" s="243"/>
      <c r="AD149" s="243"/>
      <c r="AE149" s="243"/>
      <c r="AF149" s="243"/>
      <c r="AG149" s="243"/>
      <c r="AH149" s="243"/>
      <c r="AI149" s="243"/>
      <c r="AJ149" s="243"/>
      <c r="AK149" s="243"/>
      <c r="AL149" s="243"/>
      <c r="AM149" s="243"/>
      <c r="AN149" s="243"/>
      <c r="AO149" s="244"/>
      <c r="AP149" s="244"/>
      <c r="AQ149" s="1218"/>
    </row>
    <row r="150" spans="1:43" s="109" customFormat="1" ht="15.75" x14ac:dyDescent="0.2">
      <c r="A150" s="2553"/>
      <c r="B150" s="2557"/>
      <c r="C150" s="2558"/>
      <c r="D150" s="2702"/>
      <c r="E150" s="2703"/>
      <c r="F150" s="2704"/>
      <c r="G150" s="1219">
        <v>85</v>
      </c>
      <c r="H150" s="152" t="s">
        <v>1580</v>
      </c>
      <c r="I150" s="152"/>
      <c r="J150" s="1220"/>
      <c r="K150" s="1221"/>
      <c r="L150" s="153"/>
      <c r="M150" s="160"/>
      <c r="N150" s="713"/>
      <c r="O150" s="1222"/>
      <c r="P150" s="598"/>
      <c r="Q150" s="1223"/>
      <c r="R150" s="1272"/>
      <c r="S150" s="153"/>
      <c r="T150" s="1221"/>
      <c r="U150" s="1221"/>
      <c r="V150" s="1273"/>
      <c r="W150" s="1142"/>
      <c r="X150" s="1142"/>
      <c r="Y150" s="1142"/>
      <c r="Z150" s="1142"/>
      <c r="AA150" s="1142"/>
      <c r="AB150" s="1142"/>
      <c r="AC150" s="1142"/>
      <c r="AD150" s="1142"/>
      <c r="AE150" s="1142"/>
      <c r="AF150" s="1142"/>
      <c r="AG150" s="1142"/>
      <c r="AH150" s="1142"/>
      <c r="AI150" s="1142"/>
      <c r="AJ150" s="1142"/>
      <c r="AK150" s="1142"/>
      <c r="AL150" s="1142"/>
      <c r="AM150" s="1142"/>
      <c r="AN150" s="1142"/>
      <c r="AO150" s="1142"/>
      <c r="AP150" s="1142"/>
      <c r="AQ150" s="1274"/>
    </row>
    <row r="151" spans="1:43" s="170" customFormat="1" ht="38.25" customHeight="1" x14ac:dyDescent="0.2">
      <c r="A151" s="2553"/>
      <c r="B151" s="2557"/>
      <c r="C151" s="2558"/>
      <c r="D151" s="2705"/>
      <c r="E151" s="2706"/>
      <c r="F151" s="2707"/>
      <c r="H151" s="1252"/>
      <c r="I151" s="1253"/>
      <c r="J151" s="2627">
        <v>250</v>
      </c>
      <c r="K151" s="2610" t="s">
        <v>1581</v>
      </c>
      <c r="L151" s="2711" t="s">
        <v>1582</v>
      </c>
      <c r="M151" s="2627">
        <v>3</v>
      </c>
      <c r="N151" s="2628" t="s">
        <v>1583</v>
      </c>
      <c r="O151" s="2607" t="s">
        <v>1584</v>
      </c>
      <c r="P151" s="2609" t="s">
        <v>1585</v>
      </c>
      <c r="Q151" s="2686">
        <f>R151/SUM(R151:R168)</f>
        <v>0.77321814254859611</v>
      </c>
      <c r="R151" s="2687">
        <f>SUM(V151:V159)</f>
        <v>358000000</v>
      </c>
      <c r="S151" s="2610" t="s">
        <v>1586</v>
      </c>
      <c r="T151" s="2610" t="s">
        <v>1587</v>
      </c>
      <c r="U151" s="1255" t="s">
        <v>1588</v>
      </c>
      <c r="V151" s="1242">
        <v>106433333</v>
      </c>
      <c r="W151" s="2697" t="s">
        <v>271</v>
      </c>
      <c r="X151" s="2691" t="s">
        <v>1540</v>
      </c>
      <c r="Y151" s="2688">
        <v>140543</v>
      </c>
      <c r="Z151" s="2688">
        <v>135549</v>
      </c>
      <c r="AA151" s="2688">
        <v>66229</v>
      </c>
      <c r="AB151" s="2688">
        <v>55519</v>
      </c>
      <c r="AC151" s="2688">
        <v>114821</v>
      </c>
      <c r="AD151" s="2688">
        <v>39523</v>
      </c>
      <c r="AE151" s="2688"/>
      <c r="AF151" s="2688"/>
      <c r="AG151" s="2688"/>
      <c r="AH151" s="2688"/>
      <c r="AI151" s="2688"/>
      <c r="AJ151" s="2688"/>
      <c r="AK151" s="2688"/>
      <c r="AL151" s="2688"/>
      <c r="AM151" s="2688"/>
      <c r="AN151" s="2688">
        <v>276092</v>
      </c>
      <c r="AO151" s="2635">
        <v>43110</v>
      </c>
      <c r="AP151" s="2635">
        <v>43454</v>
      </c>
      <c r="AQ151" s="2664" t="s">
        <v>1499</v>
      </c>
    </row>
    <row r="152" spans="1:43" s="170" customFormat="1" ht="32.25" customHeight="1" x14ac:dyDescent="0.2">
      <c r="A152" s="2553"/>
      <c r="B152" s="2557"/>
      <c r="C152" s="2558"/>
      <c r="D152" s="2705"/>
      <c r="E152" s="2706"/>
      <c r="F152" s="2707"/>
      <c r="H152" s="1261"/>
      <c r="I152" s="1262"/>
      <c r="J152" s="2627"/>
      <c r="K152" s="2610"/>
      <c r="L152" s="2711"/>
      <c r="M152" s="2627"/>
      <c r="N152" s="2629"/>
      <c r="O152" s="2607"/>
      <c r="P152" s="2609"/>
      <c r="Q152" s="2686"/>
      <c r="R152" s="2687"/>
      <c r="S152" s="2610"/>
      <c r="T152" s="2610"/>
      <c r="U152" s="1255" t="s">
        <v>1589</v>
      </c>
      <c r="V152" s="1242">
        <v>28000000</v>
      </c>
      <c r="W152" s="2698"/>
      <c r="X152" s="2691"/>
      <c r="Y152" s="2689"/>
      <c r="Z152" s="2689"/>
      <c r="AA152" s="2689"/>
      <c r="AB152" s="2689"/>
      <c r="AC152" s="2689"/>
      <c r="AD152" s="2689"/>
      <c r="AE152" s="2689"/>
      <c r="AF152" s="2689"/>
      <c r="AG152" s="2689"/>
      <c r="AH152" s="2689"/>
      <c r="AI152" s="2689"/>
      <c r="AJ152" s="2689"/>
      <c r="AK152" s="2689"/>
      <c r="AL152" s="2689"/>
      <c r="AM152" s="2689"/>
      <c r="AN152" s="2689"/>
      <c r="AO152" s="2636"/>
      <c r="AP152" s="2636"/>
      <c r="AQ152" s="2665"/>
    </row>
    <row r="153" spans="1:43" s="170" customFormat="1" ht="64.5" customHeight="1" x14ac:dyDescent="0.2">
      <c r="A153" s="2553"/>
      <c r="B153" s="2557"/>
      <c r="C153" s="2558"/>
      <c r="D153" s="2705"/>
      <c r="E153" s="2706"/>
      <c r="F153" s="2707"/>
      <c r="H153" s="1261"/>
      <c r="I153" s="1262"/>
      <c r="J153" s="2627"/>
      <c r="K153" s="2610"/>
      <c r="L153" s="2711"/>
      <c r="M153" s="2627"/>
      <c r="N153" s="2629"/>
      <c r="O153" s="2607"/>
      <c r="P153" s="2609"/>
      <c r="Q153" s="2686"/>
      <c r="R153" s="2687"/>
      <c r="S153" s="2610"/>
      <c r="T153" s="2610"/>
      <c r="U153" s="1255" t="s">
        <v>1590</v>
      </c>
      <c r="V153" s="1242">
        <v>5166667</v>
      </c>
      <c r="W153" s="2698"/>
      <c r="X153" s="2691"/>
      <c r="Y153" s="2689"/>
      <c r="Z153" s="2689"/>
      <c r="AA153" s="2689"/>
      <c r="AB153" s="2689"/>
      <c r="AC153" s="2689"/>
      <c r="AD153" s="2689"/>
      <c r="AE153" s="2689"/>
      <c r="AF153" s="2689"/>
      <c r="AG153" s="2689"/>
      <c r="AH153" s="2689"/>
      <c r="AI153" s="2689"/>
      <c r="AJ153" s="2689"/>
      <c r="AK153" s="2689"/>
      <c r="AL153" s="2689"/>
      <c r="AM153" s="2689"/>
      <c r="AN153" s="2689"/>
      <c r="AO153" s="2636"/>
      <c r="AP153" s="2636"/>
      <c r="AQ153" s="2665"/>
    </row>
    <row r="154" spans="1:43" s="170" customFormat="1" ht="30" x14ac:dyDescent="0.2">
      <c r="A154" s="2553"/>
      <c r="B154" s="2557"/>
      <c r="C154" s="2558"/>
      <c r="D154" s="2705"/>
      <c r="E154" s="2706"/>
      <c r="F154" s="2707"/>
      <c r="H154" s="1261"/>
      <c r="I154" s="1262"/>
      <c r="J154" s="2627"/>
      <c r="K154" s="2610"/>
      <c r="L154" s="2711"/>
      <c r="M154" s="2627"/>
      <c r="N154" s="2629"/>
      <c r="O154" s="2607"/>
      <c r="P154" s="2609"/>
      <c r="Q154" s="2686"/>
      <c r="R154" s="2687"/>
      <c r="S154" s="2610"/>
      <c r="T154" s="2610"/>
      <c r="U154" s="1259" t="s">
        <v>1591</v>
      </c>
      <c r="V154" s="1242">
        <v>6400000</v>
      </c>
      <c r="W154" s="2698"/>
      <c r="X154" s="2691"/>
      <c r="Y154" s="2689"/>
      <c r="Z154" s="2689"/>
      <c r="AA154" s="2689"/>
      <c r="AB154" s="2689"/>
      <c r="AC154" s="2689"/>
      <c r="AD154" s="2689"/>
      <c r="AE154" s="2689"/>
      <c r="AF154" s="2689"/>
      <c r="AG154" s="2689"/>
      <c r="AH154" s="2689"/>
      <c r="AI154" s="2689"/>
      <c r="AJ154" s="2689"/>
      <c r="AK154" s="2689"/>
      <c r="AL154" s="2689"/>
      <c r="AM154" s="2689"/>
      <c r="AN154" s="2689"/>
      <c r="AO154" s="2636"/>
      <c r="AP154" s="2636"/>
      <c r="AQ154" s="2665"/>
    </row>
    <row r="155" spans="1:43" s="170" customFormat="1" ht="57.75" customHeight="1" x14ac:dyDescent="0.2">
      <c r="A155" s="2553"/>
      <c r="B155" s="2557"/>
      <c r="C155" s="2558"/>
      <c r="D155" s="2705"/>
      <c r="E155" s="2706"/>
      <c r="F155" s="2707"/>
      <c r="H155" s="1261"/>
      <c r="I155" s="1262"/>
      <c r="J155" s="2627"/>
      <c r="K155" s="2610"/>
      <c r="L155" s="2711"/>
      <c r="M155" s="2627"/>
      <c r="N155" s="2629"/>
      <c r="O155" s="2607"/>
      <c r="P155" s="2609"/>
      <c r="Q155" s="2686"/>
      <c r="R155" s="2687"/>
      <c r="S155" s="2610"/>
      <c r="T155" s="2610"/>
      <c r="U155" s="1255" t="s">
        <v>1592</v>
      </c>
      <c r="V155" s="1242">
        <v>5000000</v>
      </c>
      <c r="W155" s="2698"/>
      <c r="X155" s="2691"/>
      <c r="Y155" s="2689"/>
      <c r="Z155" s="2689"/>
      <c r="AA155" s="2689"/>
      <c r="AB155" s="2689"/>
      <c r="AC155" s="2689"/>
      <c r="AD155" s="2689"/>
      <c r="AE155" s="2689"/>
      <c r="AF155" s="2689"/>
      <c r="AG155" s="2689"/>
      <c r="AH155" s="2689"/>
      <c r="AI155" s="2689"/>
      <c r="AJ155" s="2689"/>
      <c r="AK155" s="2689"/>
      <c r="AL155" s="2689"/>
      <c r="AM155" s="2689"/>
      <c r="AN155" s="2689"/>
      <c r="AO155" s="2636"/>
      <c r="AP155" s="2636"/>
      <c r="AQ155" s="2665"/>
    </row>
    <row r="156" spans="1:43" s="170" customFormat="1" ht="60" customHeight="1" x14ac:dyDescent="0.2">
      <c r="A156" s="2553"/>
      <c r="B156" s="2557"/>
      <c r="C156" s="2558"/>
      <c r="D156" s="2705"/>
      <c r="E156" s="2706"/>
      <c r="F156" s="2707"/>
      <c r="H156" s="1261"/>
      <c r="I156" s="1262"/>
      <c r="J156" s="2627"/>
      <c r="K156" s="2610"/>
      <c r="L156" s="2711"/>
      <c r="M156" s="2627"/>
      <c r="N156" s="2629"/>
      <c r="O156" s="2607"/>
      <c r="P156" s="2609"/>
      <c r="Q156" s="2686"/>
      <c r="R156" s="2687"/>
      <c r="S156" s="2610"/>
      <c r="T156" s="2610"/>
      <c r="U156" s="1255" t="s">
        <v>1593</v>
      </c>
      <c r="V156" s="1242">
        <v>12000000</v>
      </c>
      <c r="W156" s="2698"/>
      <c r="X156" s="2691"/>
      <c r="Y156" s="2689"/>
      <c r="Z156" s="2689"/>
      <c r="AA156" s="2689"/>
      <c r="AB156" s="2689"/>
      <c r="AC156" s="2689"/>
      <c r="AD156" s="2689"/>
      <c r="AE156" s="2689"/>
      <c r="AF156" s="2689"/>
      <c r="AG156" s="2689"/>
      <c r="AH156" s="2689"/>
      <c r="AI156" s="2689"/>
      <c r="AJ156" s="2689"/>
      <c r="AK156" s="2689"/>
      <c r="AL156" s="2689"/>
      <c r="AM156" s="2689"/>
      <c r="AN156" s="2689"/>
      <c r="AO156" s="2636"/>
      <c r="AP156" s="2636"/>
      <c r="AQ156" s="2665"/>
    </row>
    <row r="157" spans="1:43" s="170" customFormat="1" ht="34.5" customHeight="1" x14ac:dyDescent="0.2">
      <c r="A157" s="2553"/>
      <c r="B157" s="2557"/>
      <c r="C157" s="2558"/>
      <c r="D157" s="2705"/>
      <c r="E157" s="2706"/>
      <c r="F157" s="2707"/>
      <c r="H157" s="1261"/>
      <c r="I157" s="1262"/>
      <c r="J157" s="2627"/>
      <c r="K157" s="2610"/>
      <c r="L157" s="2711"/>
      <c r="M157" s="2627"/>
      <c r="N157" s="2629"/>
      <c r="O157" s="2607"/>
      <c r="P157" s="2609"/>
      <c r="Q157" s="2686"/>
      <c r="R157" s="2687"/>
      <c r="S157" s="2610"/>
      <c r="T157" s="2610"/>
      <c r="U157" s="2670" t="s">
        <v>1594</v>
      </c>
      <c r="V157" s="1242">
        <v>18000000</v>
      </c>
      <c r="W157" s="2698"/>
      <c r="X157" s="2691"/>
      <c r="Y157" s="2689"/>
      <c r="Z157" s="2689"/>
      <c r="AA157" s="2689"/>
      <c r="AB157" s="2689"/>
      <c r="AC157" s="2689"/>
      <c r="AD157" s="2689"/>
      <c r="AE157" s="2689"/>
      <c r="AF157" s="2689"/>
      <c r="AG157" s="2689"/>
      <c r="AH157" s="2689"/>
      <c r="AI157" s="2689"/>
      <c r="AJ157" s="2689"/>
      <c r="AK157" s="2689"/>
      <c r="AL157" s="2689"/>
      <c r="AM157" s="2689"/>
      <c r="AN157" s="2689"/>
      <c r="AO157" s="2636"/>
      <c r="AP157" s="2636"/>
      <c r="AQ157" s="2665"/>
    </row>
    <row r="158" spans="1:43" s="170" customFormat="1" ht="39" customHeight="1" x14ac:dyDescent="0.2">
      <c r="A158" s="2553"/>
      <c r="B158" s="2557"/>
      <c r="C158" s="2558"/>
      <c r="D158" s="2705"/>
      <c r="E158" s="2706"/>
      <c r="F158" s="2707"/>
      <c r="H158" s="1261"/>
      <c r="I158" s="1262"/>
      <c r="J158" s="2627"/>
      <c r="K158" s="2610"/>
      <c r="L158" s="2711"/>
      <c r="M158" s="2627"/>
      <c r="N158" s="2629"/>
      <c r="O158" s="2607"/>
      <c r="P158" s="2609"/>
      <c r="Q158" s="2686"/>
      <c r="R158" s="2687"/>
      <c r="S158" s="2610"/>
      <c r="T158" s="2610"/>
      <c r="U158" s="2692"/>
      <c r="V158" s="1242">
        <v>170000000</v>
      </c>
      <c r="W158" s="2698"/>
      <c r="X158" s="2691"/>
      <c r="Y158" s="2689"/>
      <c r="Z158" s="2689"/>
      <c r="AA158" s="2689"/>
      <c r="AB158" s="2689"/>
      <c r="AC158" s="2689"/>
      <c r="AD158" s="2689"/>
      <c r="AE158" s="2689"/>
      <c r="AF158" s="2689"/>
      <c r="AG158" s="2689"/>
      <c r="AH158" s="2689"/>
      <c r="AI158" s="2689"/>
      <c r="AJ158" s="2689"/>
      <c r="AK158" s="2689"/>
      <c r="AL158" s="2689"/>
      <c r="AM158" s="2689"/>
      <c r="AN158" s="2689"/>
      <c r="AO158" s="2636"/>
      <c r="AP158" s="2636"/>
      <c r="AQ158" s="2665"/>
    </row>
    <row r="159" spans="1:43" s="170" customFormat="1" ht="35.25" customHeight="1" x14ac:dyDescent="0.2">
      <c r="A159" s="2553"/>
      <c r="B159" s="2557"/>
      <c r="C159" s="2558"/>
      <c r="D159" s="2705"/>
      <c r="E159" s="2706"/>
      <c r="F159" s="2707"/>
      <c r="H159" s="1261"/>
      <c r="I159" s="1262"/>
      <c r="J159" s="2627"/>
      <c r="K159" s="2610"/>
      <c r="L159" s="2711"/>
      <c r="M159" s="2627"/>
      <c r="N159" s="2629"/>
      <c r="O159" s="2607"/>
      <c r="P159" s="2609"/>
      <c r="Q159" s="2686"/>
      <c r="R159" s="2687"/>
      <c r="S159" s="2610"/>
      <c r="T159" s="2610"/>
      <c r="U159" s="1255" t="s">
        <v>1595</v>
      </c>
      <c r="V159" s="1242">
        <v>7000000</v>
      </c>
      <c r="W159" s="2698"/>
      <c r="X159" s="2691"/>
      <c r="Y159" s="2689"/>
      <c r="Z159" s="2689"/>
      <c r="AA159" s="2689"/>
      <c r="AB159" s="2689"/>
      <c r="AC159" s="2689"/>
      <c r="AD159" s="2689"/>
      <c r="AE159" s="2689"/>
      <c r="AF159" s="2689"/>
      <c r="AG159" s="2689"/>
      <c r="AH159" s="2689"/>
      <c r="AI159" s="2689"/>
      <c r="AJ159" s="2689"/>
      <c r="AK159" s="2689"/>
      <c r="AL159" s="2689"/>
      <c r="AM159" s="2689"/>
      <c r="AN159" s="2689"/>
      <c r="AO159" s="2636"/>
      <c r="AP159" s="2636"/>
      <c r="AQ159" s="2665"/>
    </row>
    <row r="160" spans="1:43" s="170" customFormat="1" ht="62.25" customHeight="1" x14ac:dyDescent="0.2">
      <c r="A160" s="2553"/>
      <c r="B160" s="2557"/>
      <c r="C160" s="2558"/>
      <c r="D160" s="2705"/>
      <c r="E160" s="2706"/>
      <c r="F160" s="2707"/>
      <c r="H160" s="1261"/>
      <c r="I160" s="1262"/>
      <c r="J160" s="2627">
        <v>251</v>
      </c>
      <c r="K160" s="2610" t="s">
        <v>1596</v>
      </c>
      <c r="L160" s="2610" t="s">
        <v>1597</v>
      </c>
      <c r="M160" s="2627">
        <v>1</v>
      </c>
      <c r="N160" s="2629"/>
      <c r="O160" s="2607"/>
      <c r="P160" s="2609"/>
      <c r="Q160" s="2686">
        <f>R160/SUM(R151+R160+R165+R166)</f>
        <v>0.10799136069114471</v>
      </c>
      <c r="R160" s="2687">
        <f>SUM(V160:V164)</f>
        <v>50000000</v>
      </c>
      <c r="S160" s="2610"/>
      <c r="T160" s="2610"/>
      <c r="U160" s="1183" t="s">
        <v>1598</v>
      </c>
      <c r="V160" s="1242">
        <v>18000000</v>
      </c>
      <c r="W160" s="2698"/>
      <c r="X160" s="2691"/>
      <c r="Y160" s="2689"/>
      <c r="Z160" s="2689"/>
      <c r="AA160" s="2689"/>
      <c r="AB160" s="2689"/>
      <c r="AC160" s="2689"/>
      <c r="AD160" s="2689"/>
      <c r="AE160" s="2689"/>
      <c r="AF160" s="2689"/>
      <c r="AG160" s="2689"/>
      <c r="AH160" s="2689"/>
      <c r="AI160" s="2689"/>
      <c r="AJ160" s="2689"/>
      <c r="AK160" s="2689"/>
      <c r="AL160" s="2689"/>
      <c r="AM160" s="2689"/>
      <c r="AN160" s="2689"/>
      <c r="AO160" s="2636"/>
      <c r="AP160" s="2636"/>
      <c r="AQ160" s="2665"/>
    </row>
    <row r="161" spans="1:43" s="170" customFormat="1" ht="63" customHeight="1" x14ac:dyDescent="0.2">
      <c r="A161" s="2553"/>
      <c r="B161" s="2557"/>
      <c r="C161" s="2558"/>
      <c r="D161" s="2705"/>
      <c r="E161" s="2706"/>
      <c r="F161" s="2707"/>
      <c r="H161" s="1261"/>
      <c r="I161" s="1262"/>
      <c r="J161" s="2627"/>
      <c r="K161" s="2610"/>
      <c r="L161" s="2610"/>
      <c r="M161" s="2627"/>
      <c r="N161" s="2629"/>
      <c r="O161" s="2607"/>
      <c r="P161" s="2609"/>
      <c r="Q161" s="2686"/>
      <c r="R161" s="2687"/>
      <c r="S161" s="2610"/>
      <c r="T161" s="2610"/>
      <c r="U161" s="1259" t="s">
        <v>1599</v>
      </c>
      <c r="V161" s="1242">
        <v>5000000</v>
      </c>
      <c r="W161" s="2698"/>
      <c r="X161" s="2691"/>
      <c r="Y161" s="2689"/>
      <c r="Z161" s="2689"/>
      <c r="AA161" s="2689"/>
      <c r="AB161" s="2689"/>
      <c r="AC161" s="2689"/>
      <c r="AD161" s="2689"/>
      <c r="AE161" s="2689"/>
      <c r="AF161" s="2689"/>
      <c r="AG161" s="2689"/>
      <c r="AH161" s="2689"/>
      <c r="AI161" s="2689"/>
      <c r="AJ161" s="2689"/>
      <c r="AK161" s="2689"/>
      <c r="AL161" s="2689"/>
      <c r="AM161" s="2689"/>
      <c r="AN161" s="2689"/>
      <c r="AO161" s="2636"/>
      <c r="AP161" s="2636"/>
      <c r="AQ161" s="2665"/>
    </row>
    <row r="162" spans="1:43" s="170" customFormat="1" ht="80.25" customHeight="1" x14ac:dyDescent="0.2">
      <c r="A162" s="2553"/>
      <c r="B162" s="2557"/>
      <c r="C162" s="2558"/>
      <c r="D162" s="2705"/>
      <c r="E162" s="2706"/>
      <c r="F162" s="2707"/>
      <c r="H162" s="1261"/>
      <c r="I162" s="1262"/>
      <c r="J162" s="2627"/>
      <c r="K162" s="2610"/>
      <c r="L162" s="2610"/>
      <c r="M162" s="2627"/>
      <c r="N162" s="2629"/>
      <c r="O162" s="2607"/>
      <c r="P162" s="2609"/>
      <c r="Q162" s="2686"/>
      <c r="R162" s="2687"/>
      <c r="S162" s="2610"/>
      <c r="T162" s="2610"/>
      <c r="U162" s="1259" t="s">
        <v>1600</v>
      </c>
      <c r="V162" s="1242">
        <v>15000000</v>
      </c>
      <c r="W162" s="2698"/>
      <c r="X162" s="2691"/>
      <c r="Y162" s="2689"/>
      <c r="Z162" s="2689"/>
      <c r="AA162" s="2689"/>
      <c r="AB162" s="2689"/>
      <c r="AC162" s="2689"/>
      <c r="AD162" s="2689"/>
      <c r="AE162" s="2689"/>
      <c r="AF162" s="2689"/>
      <c r="AG162" s="2689"/>
      <c r="AH162" s="2689"/>
      <c r="AI162" s="2689"/>
      <c r="AJ162" s="2689"/>
      <c r="AK162" s="2689"/>
      <c r="AL162" s="2689"/>
      <c r="AM162" s="2689"/>
      <c r="AN162" s="2689"/>
      <c r="AO162" s="2636"/>
      <c r="AP162" s="2636"/>
      <c r="AQ162" s="2665"/>
    </row>
    <row r="163" spans="1:43" s="170" customFormat="1" ht="33" customHeight="1" x14ac:dyDescent="0.2">
      <c r="A163" s="2553"/>
      <c r="B163" s="2557"/>
      <c r="C163" s="2558"/>
      <c r="D163" s="2705"/>
      <c r="E163" s="2706"/>
      <c r="F163" s="2707"/>
      <c r="H163" s="1261"/>
      <c r="I163" s="1262"/>
      <c r="J163" s="2627"/>
      <c r="K163" s="2610"/>
      <c r="L163" s="2610"/>
      <c r="M163" s="2627"/>
      <c r="N163" s="2629"/>
      <c r="O163" s="2607"/>
      <c r="P163" s="2609"/>
      <c r="Q163" s="2686"/>
      <c r="R163" s="2687"/>
      <c r="S163" s="2610"/>
      <c r="T163" s="2610"/>
      <c r="U163" s="1259" t="s">
        <v>1601</v>
      </c>
      <c r="V163" s="1242">
        <v>7000000</v>
      </c>
      <c r="W163" s="2698"/>
      <c r="X163" s="2691"/>
      <c r="Y163" s="2689"/>
      <c r="Z163" s="2689"/>
      <c r="AA163" s="2689"/>
      <c r="AB163" s="2689"/>
      <c r="AC163" s="2689"/>
      <c r="AD163" s="2689"/>
      <c r="AE163" s="2689"/>
      <c r="AF163" s="2689"/>
      <c r="AG163" s="2689"/>
      <c r="AH163" s="2689"/>
      <c r="AI163" s="2689"/>
      <c r="AJ163" s="2689"/>
      <c r="AK163" s="2689"/>
      <c r="AL163" s="2689"/>
      <c r="AM163" s="2689"/>
      <c r="AN163" s="2689"/>
      <c r="AO163" s="2636"/>
      <c r="AP163" s="2636"/>
      <c r="AQ163" s="2665"/>
    </row>
    <row r="164" spans="1:43" s="170" customFormat="1" ht="45" customHeight="1" x14ac:dyDescent="0.2">
      <c r="A164" s="2553"/>
      <c r="B164" s="2557"/>
      <c r="C164" s="2558"/>
      <c r="D164" s="2705"/>
      <c r="E164" s="2706"/>
      <c r="F164" s="2707"/>
      <c r="H164" s="1261"/>
      <c r="I164" s="1262"/>
      <c r="J164" s="2627"/>
      <c r="K164" s="2610"/>
      <c r="L164" s="2610"/>
      <c r="M164" s="2627"/>
      <c r="N164" s="2629"/>
      <c r="O164" s="2607"/>
      <c r="P164" s="2609"/>
      <c r="Q164" s="2686"/>
      <c r="R164" s="2687"/>
      <c r="S164" s="2610"/>
      <c r="T164" s="2610"/>
      <c r="U164" s="1259" t="s">
        <v>1602</v>
      </c>
      <c r="V164" s="1242">
        <v>5000000</v>
      </c>
      <c r="W164" s="2698"/>
      <c r="X164" s="2691"/>
      <c r="Y164" s="2689"/>
      <c r="Z164" s="2689"/>
      <c r="AA164" s="2689"/>
      <c r="AB164" s="2689"/>
      <c r="AC164" s="2689"/>
      <c r="AD164" s="2689"/>
      <c r="AE164" s="2689"/>
      <c r="AF164" s="2689"/>
      <c r="AG164" s="2689"/>
      <c r="AH164" s="2689"/>
      <c r="AI164" s="2689"/>
      <c r="AJ164" s="2689"/>
      <c r="AK164" s="2689"/>
      <c r="AL164" s="2689"/>
      <c r="AM164" s="2689"/>
      <c r="AN164" s="2689"/>
      <c r="AO164" s="2636"/>
      <c r="AP164" s="2636"/>
      <c r="AQ164" s="2665"/>
    </row>
    <row r="165" spans="1:43" s="170" customFormat="1" ht="115.5" customHeight="1" x14ac:dyDescent="0.2">
      <c r="A165" s="2553"/>
      <c r="B165" s="2557"/>
      <c r="C165" s="2558"/>
      <c r="D165" s="2705"/>
      <c r="E165" s="2706"/>
      <c r="F165" s="2707"/>
      <c r="H165" s="1261"/>
      <c r="I165" s="1262"/>
      <c r="J165" s="1303">
        <v>252</v>
      </c>
      <c r="K165" s="1255" t="s">
        <v>1603</v>
      </c>
      <c r="L165" s="1255" t="s">
        <v>1604</v>
      </c>
      <c r="M165" s="1303">
        <v>2</v>
      </c>
      <c r="N165" s="2629"/>
      <c r="O165" s="2607"/>
      <c r="P165" s="2609"/>
      <c r="Q165" s="1305">
        <f>R165/SUM(R151:R169)</f>
        <v>5.3995680345572353E-2</v>
      </c>
      <c r="R165" s="944">
        <f>V165</f>
        <v>25000000</v>
      </c>
      <c r="S165" s="2610"/>
      <c r="T165" s="2610"/>
      <c r="U165" s="1259" t="s">
        <v>1605</v>
      </c>
      <c r="V165" s="1242">
        <v>25000000</v>
      </c>
      <c r="W165" s="2698"/>
      <c r="X165" s="2691"/>
      <c r="Y165" s="2689"/>
      <c r="Z165" s="2689"/>
      <c r="AA165" s="2689"/>
      <c r="AB165" s="2689"/>
      <c r="AC165" s="2689"/>
      <c r="AD165" s="2689"/>
      <c r="AE165" s="2689"/>
      <c r="AF165" s="2689"/>
      <c r="AG165" s="2689"/>
      <c r="AH165" s="2689"/>
      <c r="AI165" s="2689"/>
      <c r="AJ165" s="2689"/>
      <c r="AK165" s="2689"/>
      <c r="AL165" s="2689"/>
      <c r="AM165" s="2689"/>
      <c r="AN165" s="2689"/>
      <c r="AO165" s="2636"/>
      <c r="AP165" s="2636"/>
      <c r="AQ165" s="2665"/>
    </row>
    <row r="166" spans="1:43" s="170" customFormat="1" ht="69.75" customHeight="1" x14ac:dyDescent="0.2">
      <c r="A166" s="2553"/>
      <c r="B166" s="2557"/>
      <c r="C166" s="2558"/>
      <c r="D166" s="2705"/>
      <c r="E166" s="2706"/>
      <c r="F166" s="2707"/>
      <c r="H166" s="1261"/>
      <c r="I166" s="1262"/>
      <c r="J166" s="2627">
        <v>254</v>
      </c>
      <c r="K166" s="2610" t="s">
        <v>1606</v>
      </c>
      <c r="L166" s="2610" t="s">
        <v>1607</v>
      </c>
      <c r="M166" s="2627">
        <v>1</v>
      </c>
      <c r="N166" s="2629"/>
      <c r="O166" s="2607"/>
      <c r="P166" s="2609"/>
      <c r="Q166" s="2686">
        <f>R166/SUM(R151:R168)</f>
        <v>6.4794816414686832E-2</v>
      </c>
      <c r="R166" s="2687">
        <f>SUM(V166:V169)</f>
        <v>30000000</v>
      </c>
      <c r="S166" s="2610"/>
      <c r="T166" s="2610"/>
      <c r="U166" s="1259" t="s">
        <v>1608</v>
      </c>
      <c r="V166" s="1242">
        <v>16300000</v>
      </c>
      <c r="W166" s="2698"/>
      <c r="X166" s="2691"/>
      <c r="Y166" s="2689"/>
      <c r="Z166" s="2689"/>
      <c r="AA166" s="2689"/>
      <c r="AB166" s="2689"/>
      <c r="AC166" s="2689"/>
      <c r="AD166" s="2689"/>
      <c r="AE166" s="2689"/>
      <c r="AF166" s="2689"/>
      <c r="AG166" s="2689"/>
      <c r="AH166" s="2689"/>
      <c r="AI166" s="2689"/>
      <c r="AJ166" s="2689"/>
      <c r="AK166" s="2689"/>
      <c r="AL166" s="2689"/>
      <c r="AM166" s="2689"/>
      <c r="AN166" s="2689"/>
      <c r="AO166" s="2636"/>
      <c r="AP166" s="2636"/>
      <c r="AQ166" s="2665"/>
    </row>
    <row r="167" spans="1:43" s="170" customFormat="1" ht="60" customHeight="1" x14ac:dyDescent="0.2">
      <c r="A167" s="2553"/>
      <c r="B167" s="2557"/>
      <c r="C167" s="2558"/>
      <c r="D167" s="2705"/>
      <c r="E167" s="2706"/>
      <c r="F167" s="2707"/>
      <c r="H167" s="1261"/>
      <c r="I167" s="1262"/>
      <c r="J167" s="2627"/>
      <c r="K167" s="2610"/>
      <c r="L167" s="2610"/>
      <c r="M167" s="2627"/>
      <c r="N167" s="2629"/>
      <c r="O167" s="2607"/>
      <c r="P167" s="2609"/>
      <c r="Q167" s="2686"/>
      <c r="R167" s="2687"/>
      <c r="S167" s="2610"/>
      <c r="T167" s="2610"/>
      <c r="U167" s="1259" t="s">
        <v>1609</v>
      </c>
      <c r="V167" s="1242">
        <v>5000000</v>
      </c>
      <c r="W167" s="2698"/>
      <c r="X167" s="2691"/>
      <c r="Y167" s="2689"/>
      <c r="Z167" s="2689"/>
      <c r="AA167" s="2689"/>
      <c r="AB167" s="2689"/>
      <c r="AC167" s="2689"/>
      <c r="AD167" s="2689"/>
      <c r="AE167" s="2689"/>
      <c r="AF167" s="2689"/>
      <c r="AG167" s="2689"/>
      <c r="AH167" s="2689"/>
      <c r="AI167" s="2689"/>
      <c r="AJ167" s="2689"/>
      <c r="AK167" s="2689"/>
      <c r="AL167" s="2689"/>
      <c r="AM167" s="2689"/>
      <c r="AN167" s="2689"/>
      <c r="AO167" s="2636"/>
      <c r="AP167" s="2636"/>
      <c r="AQ167" s="2665"/>
    </row>
    <row r="168" spans="1:43" s="170" customFormat="1" ht="39.75" customHeight="1" x14ac:dyDescent="0.2">
      <c r="A168" s="2553"/>
      <c r="B168" s="2557"/>
      <c r="C168" s="2558"/>
      <c r="D168" s="2705"/>
      <c r="E168" s="2706"/>
      <c r="F168" s="2707"/>
      <c r="H168" s="1261"/>
      <c r="I168" s="1262"/>
      <c r="J168" s="2627"/>
      <c r="K168" s="2610"/>
      <c r="L168" s="2610"/>
      <c r="M168" s="2627"/>
      <c r="N168" s="2629"/>
      <c r="O168" s="2607"/>
      <c r="P168" s="2609"/>
      <c r="Q168" s="2686"/>
      <c r="R168" s="2687"/>
      <c r="S168" s="2610"/>
      <c r="T168" s="2610"/>
      <c r="U168" s="1259" t="s">
        <v>1610</v>
      </c>
      <c r="V168" s="1242">
        <v>5000000</v>
      </c>
      <c r="W168" s="2698"/>
      <c r="X168" s="2691"/>
      <c r="Y168" s="2689"/>
      <c r="Z168" s="2689"/>
      <c r="AA168" s="2689"/>
      <c r="AB168" s="2689"/>
      <c r="AC168" s="2689"/>
      <c r="AD168" s="2689"/>
      <c r="AE168" s="2689"/>
      <c r="AF168" s="2689"/>
      <c r="AG168" s="2689"/>
      <c r="AH168" s="2689"/>
      <c r="AI168" s="2689"/>
      <c r="AJ168" s="2689"/>
      <c r="AK168" s="2689"/>
      <c r="AL168" s="2689"/>
      <c r="AM168" s="2689"/>
      <c r="AN168" s="2689"/>
      <c r="AO168" s="2636"/>
      <c r="AP168" s="2636"/>
      <c r="AQ168" s="2665"/>
    </row>
    <row r="169" spans="1:43" s="170" customFormat="1" ht="43.5" customHeight="1" x14ac:dyDescent="0.2">
      <c r="A169" s="2553"/>
      <c r="B169" s="2557"/>
      <c r="C169" s="2558"/>
      <c r="D169" s="2705"/>
      <c r="E169" s="2706"/>
      <c r="F169" s="2707"/>
      <c r="H169" s="1264"/>
      <c r="I169" s="1265"/>
      <c r="J169" s="2627"/>
      <c r="K169" s="2610"/>
      <c r="L169" s="2610"/>
      <c r="M169" s="2627"/>
      <c r="N169" s="2629"/>
      <c r="O169" s="2607"/>
      <c r="P169" s="2609"/>
      <c r="Q169" s="2686"/>
      <c r="R169" s="2687"/>
      <c r="S169" s="2610"/>
      <c r="T169" s="2610"/>
      <c r="U169" s="1259" t="s">
        <v>1591</v>
      </c>
      <c r="V169" s="1297">
        <v>3700000</v>
      </c>
      <c r="W169" s="2699"/>
      <c r="X169" s="2691"/>
      <c r="Y169" s="2689"/>
      <c r="Z169" s="2689"/>
      <c r="AA169" s="2689"/>
      <c r="AB169" s="2689"/>
      <c r="AC169" s="2689"/>
      <c r="AD169" s="2689"/>
      <c r="AE169" s="2689"/>
      <c r="AF169" s="2689"/>
      <c r="AG169" s="2689"/>
      <c r="AH169" s="2689"/>
      <c r="AI169" s="2689"/>
      <c r="AJ169" s="2689"/>
      <c r="AK169" s="2689"/>
      <c r="AL169" s="2689"/>
      <c r="AM169" s="2689"/>
      <c r="AN169" s="2689"/>
      <c r="AO169" s="2637"/>
      <c r="AP169" s="2637"/>
      <c r="AQ169" s="2665"/>
    </row>
    <row r="170" spans="1:43" s="109" customFormat="1" ht="15.75" x14ac:dyDescent="0.2">
      <c r="A170" s="2553"/>
      <c r="B170" s="2557"/>
      <c r="C170" s="2558"/>
      <c r="D170" s="2705"/>
      <c r="E170" s="2706"/>
      <c r="F170" s="2707"/>
      <c r="G170" s="1219">
        <v>86</v>
      </c>
      <c r="H170" s="152" t="s">
        <v>1611</v>
      </c>
      <c r="I170" s="152"/>
      <c r="J170" s="1243"/>
      <c r="K170" s="1244"/>
      <c r="L170" s="1245"/>
      <c r="M170" s="1246"/>
      <c r="N170" s="713"/>
      <c r="O170" s="1222"/>
      <c r="P170" s="598"/>
      <c r="Q170" s="1247"/>
      <c r="R170" s="1248"/>
      <c r="S170" s="1245"/>
      <c r="T170" s="1244"/>
      <c r="U170" s="1244"/>
      <c r="V170" s="1249"/>
      <c r="W170" s="1142"/>
      <c r="X170" s="1142"/>
      <c r="Y170" s="1142"/>
      <c r="Z170" s="1142"/>
      <c r="AA170" s="1142"/>
      <c r="AB170" s="1142"/>
      <c r="AC170" s="1142"/>
      <c r="AD170" s="1142"/>
      <c r="AE170" s="1142"/>
      <c r="AF170" s="1142"/>
      <c r="AG170" s="1142"/>
      <c r="AH170" s="1142"/>
      <c r="AI170" s="1142"/>
      <c r="AJ170" s="1142"/>
      <c r="AK170" s="1142"/>
      <c r="AL170" s="1142"/>
      <c r="AM170" s="1142"/>
      <c r="AN170" s="1142"/>
      <c r="AO170" s="1142"/>
      <c r="AP170" s="1142"/>
      <c r="AQ170" s="1274"/>
    </row>
    <row r="171" spans="1:43" ht="32.25" customHeight="1" x14ac:dyDescent="0.2">
      <c r="A171" s="2553"/>
      <c r="B171" s="2557"/>
      <c r="C171" s="2558"/>
      <c r="D171" s="2705"/>
      <c r="E171" s="2706"/>
      <c r="F171" s="2707"/>
      <c r="G171" s="109"/>
      <c r="H171" s="651"/>
      <c r="I171" s="653"/>
      <c r="J171" s="2594">
        <v>255</v>
      </c>
      <c r="K171" s="2574" t="s">
        <v>1612</v>
      </c>
      <c r="L171" s="2574" t="s">
        <v>1613</v>
      </c>
      <c r="M171" s="2594">
        <v>12</v>
      </c>
      <c r="N171" s="2718" t="s">
        <v>1614</v>
      </c>
      <c r="O171" s="2720" t="s">
        <v>1615</v>
      </c>
      <c r="P171" s="2573" t="s">
        <v>1616</v>
      </c>
      <c r="Q171" s="2714">
        <f>(R171)/R171</f>
        <v>1</v>
      </c>
      <c r="R171" s="2715">
        <f>SUM(V171:V180)</f>
        <v>170000000</v>
      </c>
      <c r="S171" s="2574" t="s">
        <v>1617</v>
      </c>
      <c r="T171" s="2574" t="s">
        <v>1618</v>
      </c>
      <c r="U171" s="2716" t="s">
        <v>1619</v>
      </c>
      <c r="V171" s="1309">
        <v>54000000</v>
      </c>
      <c r="W171" s="2599" t="s">
        <v>271</v>
      </c>
      <c r="X171" s="2731" t="s">
        <v>72</v>
      </c>
      <c r="Y171" s="2729">
        <v>2138</v>
      </c>
      <c r="Z171" s="2729">
        <v>2062</v>
      </c>
      <c r="AA171" s="2729"/>
      <c r="AB171" s="2729"/>
      <c r="AC171" s="2729">
        <v>4200</v>
      </c>
      <c r="AD171" s="2729"/>
      <c r="AE171" s="2729"/>
      <c r="AF171" s="2729"/>
      <c r="AG171" s="2729"/>
      <c r="AH171" s="2729"/>
      <c r="AI171" s="2729"/>
      <c r="AJ171" s="2729"/>
      <c r="AK171" s="2729"/>
      <c r="AL171" s="2729"/>
      <c r="AM171" s="2729"/>
      <c r="AN171" s="2729">
        <v>4200</v>
      </c>
      <c r="AO171" s="2721">
        <v>43110</v>
      </c>
      <c r="AP171" s="2721">
        <v>43454</v>
      </c>
      <c r="AQ171" s="2724" t="s">
        <v>1499</v>
      </c>
    </row>
    <row r="172" spans="1:43" ht="30.75" customHeight="1" x14ac:dyDescent="0.2">
      <c r="A172" s="2553"/>
      <c r="B172" s="2557"/>
      <c r="C172" s="2558"/>
      <c r="D172" s="2705"/>
      <c r="E172" s="2706"/>
      <c r="F172" s="2707"/>
      <c r="G172" s="109"/>
      <c r="H172" s="649"/>
      <c r="I172" s="650"/>
      <c r="J172" s="2594"/>
      <c r="K172" s="2574"/>
      <c r="L172" s="2574"/>
      <c r="M172" s="2594"/>
      <c r="N172" s="2719"/>
      <c r="O172" s="2720"/>
      <c r="P172" s="2573"/>
      <c r="Q172" s="2714"/>
      <c r="R172" s="2715"/>
      <c r="S172" s="2574"/>
      <c r="T172" s="2574"/>
      <c r="U172" s="2717"/>
      <c r="V172" s="1309">
        <v>36000000</v>
      </c>
      <c r="W172" s="2600"/>
      <c r="X172" s="2731"/>
      <c r="Y172" s="2729"/>
      <c r="Z172" s="2729"/>
      <c r="AA172" s="2729"/>
      <c r="AB172" s="2729"/>
      <c r="AC172" s="2729"/>
      <c r="AD172" s="2729"/>
      <c r="AE172" s="2729"/>
      <c r="AF172" s="2729"/>
      <c r="AG172" s="2729"/>
      <c r="AH172" s="2729"/>
      <c r="AI172" s="2729"/>
      <c r="AJ172" s="2729"/>
      <c r="AK172" s="2729"/>
      <c r="AL172" s="2729"/>
      <c r="AM172" s="2729"/>
      <c r="AN172" s="2729"/>
      <c r="AO172" s="2722"/>
      <c r="AP172" s="2722"/>
      <c r="AQ172" s="2724"/>
    </row>
    <row r="173" spans="1:43" ht="24.75" customHeight="1" x14ac:dyDescent="0.2">
      <c r="A173" s="2553"/>
      <c r="B173" s="2557"/>
      <c r="C173" s="2558"/>
      <c r="D173" s="2705"/>
      <c r="E173" s="2706"/>
      <c r="F173" s="2707"/>
      <c r="G173" s="109"/>
      <c r="H173" s="649"/>
      <c r="I173" s="650"/>
      <c r="J173" s="2594"/>
      <c r="K173" s="2574"/>
      <c r="L173" s="2574"/>
      <c r="M173" s="2594"/>
      <c r="N173" s="2719"/>
      <c r="O173" s="2720"/>
      <c r="P173" s="2573"/>
      <c r="Q173" s="2714"/>
      <c r="R173" s="2715"/>
      <c r="S173" s="2574"/>
      <c r="T173" s="2574"/>
      <c r="U173" s="2725" t="s">
        <v>1620</v>
      </c>
      <c r="V173" s="1309">
        <v>16000000</v>
      </c>
      <c r="W173" s="2600"/>
      <c r="X173" s="2731"/>
      <c r="Y173" s="2730"/>
      <c r="Z173" s="2730"/>
      <c r="AA173" s="2730"/>
      <c r="AB173" s="2730"/>
      <c r="AC173" s="2730"/>
      <c r="AD173" s="2730"/>
      <c r="AE173" s="2730"/>
      <c r="AF173" s="2730"/>
      <c r="AG173" s="2730"/>
      <c r="AH173" s="2730"/>
      <c r="AI173" s="2730"/>
      <c r="AJ173" s="2730"/>
      <c r="AK173" s="2730"/>
      <c r="AL173" s="2730"/>
      <c r="AM173" s="2730"/>
      <c r="AN173" s="2730"/>
      <c r="AO173" s="2722"/>
      <c r="AP173" s="2722"/>
      <c r="AQ173" s="2592"/>
    </row>
    <row r="174" spans="1:43" ht="26.25" customHeight="1" x14ac:dyDescent="0.2">
      <c r="A174" s="2553"/>
      <c r="B174" s="2557"/>
      <c r="C174" s="2558"/>
      <c r="D174" s="2705"/>
      <c r="E174" s="2706"/>
      <c r="F174" s="2707"/>
      <c r="G174" s="109"/>
      <c r="H174" s="649"/>
      <c r="I174" s="650"/>
      <c r="J174" s="2594"/>
      <c r="K174" s="2574"/>
      <c r="L174" s="2574"/>
      <c r="M174" s="2594"/>
      <c r="N174" s="2719"/>
      <c r="O174" s="2720"/>
      <c r="P174" s="2573"/>
      <c r="Q174" s="2714"/>
      <c r="R174" s="2715"/>
      <c r="S174" s="2574"/>
      <c r="T174" s="2574"/>
      <c r="U174" s="2726"/>
      <c r="V174" s="1309">
        <v>8000000</v>
      </c>
      <c r="W174" s="2600"/>
      <c r="X174" s="2731"/>
      <c r="Y174" s="2730"/>
      <c r="Z174" s="2730"/>
      <c r="AA174" s="2730"/>
      <c r="AB174" s="2730"/>
      <c r="AC174" s="2730"/>
      <c r="AD174" s="2730"/>
      <c r="AE174" s="2730"/>
      <c r="AF174" s="2730"/>
      <c r="AG174" s="2730"/>
      <c r="AH174" s="2730"/>
      <c r="AI174" s="2730"/>
      <c r="AJ174" s="2730"/>
      <c r="AK174" s="2730"/>
      <c r="AL174" s="2730"/>
      <c r="AM174" s="2730"/>
      <c r="AN174" s="2730"/>
      <c r="AO174" s="2722"/>
      <c r="AP174" s="2722"/>
      <c r="AQ174" s="2592"/>
    </row>
    <row r="175" spans="1:43" ht="64.5" customHeight="1" x14ac:dyDescent="0.2">
      <c r="A175" s="2553"/>
      <c r="B175" s="2557"/>
      <c r="C175" s="2558"/>
      <c r="D175" s="2705"/>
      <c r="E175" s="2706"/>
      <c r="F175" s="2707"/>
      <c r="G175" s="109"/>
      <c r="H175" s="649"/>
      <c r="I175" s="650"/>
      <c r="J175" s="2594"/>
      <c r="K175" s="2574"/>
      <c r="L175" s="2574"/>
      <c r="M175" s="2594"/>
      <c r="N175" s="2719"/>
      <c r="O175" s="2720"/>
      <c r="P175" s="2573"/>
      <c r="Q175" s="2714"/>
      <c r="R175" s="2715"/>
      <c r="S175" s="2574"/>
      <c r="T175" s="2574"/>
      <c r="U175" s="1310" t="s">
        <v>1621</v>
      </c>
      <c r="V175" s="1309">
        <v>15000000</v>
      </c>
      <c r="W175" s="2600"/>
      <c r="X175" s="2731"/>
      <c r="Y175" s="2730"/>
      <c r="Z175" s="2730"/>
      <c r="AA175" s="2730"/>
      <c r="AB175" s="2730"/>
      <c r="AC175" s="2730"/>
      <c r="AD175" s="2730"/>
      <c r="AE175" s="2730"/>
      <c r="AF175" s="2730"/>
      <c r="AG175" s="2730"/>
      <c r="AH175" s="2730"/>
      <c r="AI175" s="2730"/>
      <c r="AJ175" s="2730"/>
      <c r="AK175" s="2730"/>
      <c r="AL175" s="2730"/>
      <c r="AM175" s="2730"/>
      <c r="AN175" s="2730"/>
      <c r="AO175" s="2722"/>
      <c r="AP175" s="2722"/>
      <c r="AQ175" s="2592"/>
    </row>
    <row r="176" spans="1:43" ht="39.75" customHeight="1" x14ac:dyDescent="0.2">
      <c r="A176" s="2553"/>
      <c r="B176" s="2557"/>
      <c r="C176" s="2558"/>
      <c r="D176" s="2705"/>
      <c r="E176" s="2706"/>
      <c r="F176" s="2707"/>
      <c r="G176" s="109"/>
      <c r="H176" s="649"/>
      <c r="I176" s="650"/>
      <c r="J176" s="2594"/>
      <c r="K176" s="2574"/>
      <c r="L176" s="2574"/>
      <c r="M176" s="2594"/>
      <c r="N176" s="2719"/>
      <c r="O176" s="2720"/>
      <c r="P176" s="2573"/>
      <c r="Q176" s="2714"/>
      <c r="R176" s="2715"/>
      <c r="S176" s="2574"/>
      <c r="T176" s="2574"/>
      <c r="U176" s="1310" t="s">
        <v>1622</v>
      </c>
      <c r="V176" s="1309">
        <v>5000000</v>
      </c>
      <c r="W176" s="2600"/>
      <c r="X176" s="2731"/>
      <c r="Y176" s="2730"/>
      <c r="Z176" s="2730"/>
      <c r="AA176" s="2730"/>
      <c r="AB176" s="2730"/>
      <c r="AC176" s="2730"/>
      <c r="AD176" s="2730"/>
      <c r="AE176" s="2730"/>
      <c r="AF176" s="2730"/>
      <c r="AG176" s="2730"/>
      <c r="AH176" s="2730"/>
      <c r="AI176" s="2730"/>
      <c r="AJ176" s="2730"/>
      <c r="AK176" s="2730"/>
      <c r="AL176" s="2730"/>
      <c r="AM176" s="2730"/>
      <c r="AN176" s="2730"/>
      <c r="AO176" s="2722"/>
      <c r="AP176" s="2722"/>
      <c r="AQ176" s="2592"/>
    </row>
    <row r="177" spans="1:43" ht="18.75" customHeight="1" x14ac:dyDescent="0.2">
      <c r="A177" s="2553"/>
      <c r="B177" s="2557"/>
      <c r="C177" s="2558"/>
      <c r="D177" s="2705"/>
      <c r="E177" s="2706"/>
      <c r="F177" s="2707"/>
      <c r="G177" s="109"/>
      <c r="H177" s="649"/>
      <c r="I177" s="650"/>
      <c r="J177" s="2594"/>
      <c r="K177" s="2574"/>
      <c r="L177" s="2574"/>
      <c r="M177" s="2594"/>
      <c r="N177" s="2719"/>
      <c r="O177" s="2720"/>
      <c r="P177" s="2573"/>
      <c r="Q177" s="2714"/>
      <c r="R177" s="2715"/>
      <c r="S177" s="2574"/>
      <c r="T177" s="2574"/>
      <c r="U177" s="2727" t="s">
        <v>1623</v>
      </c>
      <c r="V177" s="1309">
        <v>6000000</v>
      </c>
      <c r="W177" s="2600"/>
      <c r="X177" s="2731"/>
      <c r="Y177" s="2730"/>
      <c r="Z177" s="2730"/>
      <c r="AA177" s="2730"/>
      <c r="AB177" s="2730"/>
      <c r="AC177" s="2730"/>
      <c r="AD177" s="2730"/>
      <c r="AE177" s="2730"/>
      <c r="AF177" s="2730"/>
      <c r="AG177" s="2730"/>
      <c r="AH177" s="2730"/>
      <c r="AI177" s="2730"/>
      <c r="AJ177" s="2730"/>
      <c r="AK177" s="2730"/>
      <c r="AL177" s="2730"/>
      <c r="AM177" s="2730"/>
      <c r="AN177" s="2730"/>
      <c r="AO177" s="2722"/>
      <c r="AP177" s="2722"/>
      <c r="AQ177" s="2592"/>
    </row>
    <row r="178" spans="1:43" ht="21.75" customHeight="1" x14ac:dyDescent="0.2">
      <c r="A178" s="2553"/>
      <c r="B178" s="2557"/>
      <c r="C178" s="2558"/>
      <c r="D178" s="2705"/>
      <c r="E178" s="2706"/>
      <c r="F178" s="2707"/>
      <c r="G178" s="109"/>
      <c r="H178" s="649"/>
      <c r="I178" s="650"/>
      <c r="J178" s="2594"/>
      <c r="K178" s="2574"/>
      <c r="L178" s="2574"/>
      <c r="M178" s="2594"/>
      <c r="N178" s="2719"/>
      <c r="O178" s="2720"/>
      <c r="P178" s="2573"/>
      <c r="Q178" s="2714"/>
      <c r="R178" s="2715"/>
      <c r="S178" s="2574"/>
      <c r="T178" s="2574"/>
      <c r="U178" s="2728"/>
      <c r="V178" s="1309">
        <v>13000000</v>
      </c>
      <c r="W178" s="2600"/>
      <c r="X178" s="2731"/>
      <c r="Y178" s="2730"/>
      <c r="Z178" s="2730"/>
      <c r="AA178" s="2730"/>
      <c r="AB178" s="2730"/>
      <c r="AC178" s="2730"/>
      <c r="AD178" s="2730"/>
      <c r="AE178" s="2730"/>
      <c r="AF178" s="2730"/>
      <c r="AG178" s="2730"/>
      <c r="AH178" s="2730"/>
      <c r="AI178" s="2730"/>
      <c r="AJ178" s="2730"/>
      <c r="AK178" s="2730"/>
      <c r="AL178" s="2730"/>
      <c r="AM178" s="2730"/>
      <c r="AN178" s="2730"/>
      <c r="AO178" s="2722"/>
      <c r="AP178" s="2722"/>
      <c r="AQ178" s="2592"/>
    </row>
    <row r="179" spans="1:43" ht="40.5" customHeight="1" x14ac:dyDescent="0.2">
      <c r="A179" s="2553"/>
      <c r="B179" s="2557"/>
      <c r="C179" s="2558"/>
      <c r="D179" s="2705"/>
      <c r="E179" s="2706"/>
      <c r="F179" s="2707"/>
      <c r="G179" s="109"/>
      <c r="H179" s="649"/>
      <c r="I179" s="650"/>
      <c r="J179" s="2594"/>
      <c r="K179" s="2574"/>
      <c r="L179" s="2574"/>
      <c r="M179" s="2594"/>
      <c r="N179" s="2719"/>
      <c r="O179" s="2720"/>
      <c r="P179" s="2573"/>
      <c r="Q179" s="2714"/>
      <c r="R179" s="2715"/>
      <c r="S179" s="2574"/>
      <c r="T179" s="2574"/>
      <c r="U179" s="2727" t="s">
        <v>1624</v>
      </c>
      <c r="V179" s="1309">
        <v>9000000</v>
      </c>
      <c r="W179" s="2600"/>
      <c r="X179" s="2731"/>
      <c r="Y179" s="2730"/>
      <c r="Z179" s="2730"/>
      <c r="AA179" s="2730"/>
      <c r="AB179" s="2730"/>
      <c r="AC179" s="2730"/>
      <c r="AD179" s="2730"/>
      <c r="AE179" s="2730"/>
      <c r="AF179" s="2730"/>
      <c r="AG179" s="2730"/>
      <c r="AH179" s="2730"/>
      <c r="AI179" s="2730"/>
      <c r="AJ179" s="2730"/>
      <c r="AK179" s="2730"/>
      <c r="AL179" s="2730"/>
      <c r="AM179" s="2730"/>
      <c r="AN179" s="2730"/>
      <c r="AO179" s="2722"/>
      <c r="AP179" s="2722"/>
      <c r="AQ179" s="2592"/>
    </row>
    <row r="180" spans="1:43" ht="28.5" customHeight="1" x14ac:dyDescent="0.2">
      <c r="A180" s="2554"/>
      <c r="B180" s="2559"/>
      <c r="C180" s="2560"/>
      <c r="D180" s="2708"/>
      <c r="E180" s="2709"/>
      <c r="F180" s="2710"/>
      <c r="G180" s="109"/>
      <c r="H180" s="655"/>
      <c r="I180" s="657"/>
      <c r="J180" s="2594"/>
      <c r="K180" s="2574"/>
      <c r="L180" s="2574"/>
      <c r="M180" s="2594"/>
      <c r="N180" s="2719"/>
      <c r="O180" s="2720"/>
      <c r="P180" s="2573"/>
      <c r="Q180" s="2714"/>
      <c r="R180" s="2715"/>
      <c r="S180" s="2574"/>
      <c r="T180" s="2574"/>
      <c r="U180" s="2728"/>
      <c r="V180" s="1309">
        <v>8000000</v>
      </c>
      <c r="W180" s="2600"/>
      <c r="X180" s="2731"/>
      <c r="Y180" s="2730"/>
      <c r="Z180" s="2730"/>
      <c r="AA180" s="2730"/>
      <c r="AB180" s="2730"/>
      <c r="AC180" s="2730"/>
      <c r="AD180" s="2730"/>
      <c r="AE180" s="2730"/>
      <c r="AF180" s="2730"/>
      <c r="AG180" s="2730"/>
      <c r="AH180" s="2730"/>
      <c r="AI180" s="2730"/>
      <c r="AJ180" s="2730"/>
      <c r="AK180" s="2730"/>
      <c r="AL180" s="2730"/>
      <c r="AM180" s="2730"/>
      <c r="AN180" s="2730"/>
      <c r="AO180" s="2723"/>
      <c r="AP180" s="2723"/>
      <c r="AQ180" s="2592"/>
    </row>
    <row r="181" spans="1:43" ht="15.75" x14ac:dyDescent="0.2">
      <c r="A181" s="126">
        <v>5</v>
      </c>
      <c r="B181" s="127" t="s">
        <v>43</v>
      </c>
      <c r="C181" s="127"/>
      <c r="D181" s="230"/>
      <c r="E181" s="230"/>
      <c r="F181" s="230"/>
      <c r="G181" s="230"/>
      <c r="H181" s="230"/>
      <c r="I181" s="230"/>
      <c r="J181" s="1311"/>
      <c r="K181" s="1312"/>
      <c r="L181" s="1313"/>
      <c r="M181" s="1314"/>
      <c r="N181" s="1202"/>
      <c r="O181" s="1200"/>
      <c r="P181" s="231"/>
      <c r="Q181" s="1315"/>
      <c r="R181" s="1316"/>
      <c r="S181" s="1313"/>
      <c r="T181" s="1312"/>
      <c r="U181" s="1312"/>
      <c r="V181" s="1317"/>
      <c r="W181" s="1207"/>
      <c r="X181" s="1207"/>
      <c r="Y181" s="1207"/>
      <c r="Z181" s="1207"/>
      <c r="AA181" s="1207"/>
      <c r="AB181" s="1207"/>
      <c r="AC181" s="1207"/>
      <c r="AD181" s="1207"/>
      <c r="AE181" s="1207"/>
      <c r="AF181" s="1207"/>
      <c r="AG181" s="1207"/>
      <c r="AH181" s="1207"/>
      <c r="AI181" s="1207"/>
      <c r="AJ181" s="1207"/>
      <c r="AK181" s="1207"/>
      <c r="AL181" s="1207"/>
      <c r="AM181" s="1207"/>
      <c r="AN181" s="1207"/>
      <c r="AO181" s="1207"/>
      <c r="AP181" s="1207"/>
      <c r="AQ181" s="1318"/>
    </row>
    <row r="182" spans="1:43" s="109" customFormat="1" ht="15.75" x14ac:dyDescent="0.2">
      <c r="A182" s="2736"/>
      <c r="B182" s="2737"/>
      <c r="C182" s="2737"/>
      <c r="D182" s="1319">
        <v>26</v>
      </c>
      <c r="E182" s="242" t="s">
        <v>1625</v>
      </c>
      <c r="F182" s="242"/>
      <c r="G182" s="242"/>
      <c r="H182" s="242"/>
      <c r="I182" s="242"/>
      <c r="J182" s="1210"/>
      <c r="K182" s="1211"/>
      <c r="L182" s="243"/>
      <c r="M182" s="242"/>
      <c r="N182" s="1212"/>
      <c r="O182" s="1210"/>
      <c r="P182" s="243"/>
      <c r="Q182" s="1213"/>
      <c r="R182" s="982"/>
      <c r="S182" s="243"/>
      <c r="T182" s="1211"/>
      <c r="U182" s="1211"/>
      <c r="V182" s="1320"/>
      <c r="W182" s="1216"/>
      <c r="X182" s="1216"/>
      <c r="Y182" s="1216"/>
      <c r="Z182" s="1216"/>
      <c r="AA182" s="1216"/>
      <c r="AB182" s="1216"/>
      <c r="AC182" s="1216"/>
      <c r="AD182" s="1216"/>
      <c r="AE182" s="1216"/>
      <c r="AF182" s="1216"/>
      <c r="AG182" s="1216"/>
      <c r="AH182" s="1216"/>
      <c r="AI182" s="1216"/>
      <c r="AJ182" s="1216"/>
      <c r="AK182" s="1216"/>
      <c r="AL182" s="1216"/>
      <c r="AM182" s="243"/>
      <c r="AN182" s="243"/>
      <c r="AO182" s="244"/>
      <c r="AP182" s="244"/>
      <c r="AQ182" s="1218"/>
    </row>
    <row r="183" spans="1:43" s="109" customFormat="1" ht="15.75" x14ac:dyDescent="0.2">
      <c r="A183" s="2736"/>
      <c r="B183" s="2737"/>
      <c r="C183" s="2737"/>
      <c r="D183" s="2740"/>
      <c r="E183" s="2741"/>
      <c r="F183" s="2742"/>
      <c r="G183" s="1321">
        <v>84</v>
      </c>
      <c r="H183" s="152" t="s">
        <v>1626</v>
      </c>
      <c r="I183" s="152"/>
      <c r="J183" s="1222"/>
      <c r="K183" s="731"/>
      <c r="L183" s="598"/>
      <c r="M183" s="152"/>
      <c r="N183" s="713"/>
      <c r="O183" s="1222"/>
      <c r="P183" s="598"/>
      <c r="Q183" s="1322"/>
      <c r="R183" s="620"/>
      <c r="S183" s="598"/>
      <c r="T183" s="731"/>
      <c r="U183" s="731"/>
      <c r="V183" s="1323"/>
      <c r="W183" s="1142"/>
      <c r="X183" s="1142"/>
      <c r="Y183" s="1142"/>
      <c r="Z183" s="1142"/>
      <c r="AA183" s="1142"/>
      <c r="AB183" s="1142"/>
      <c r="AC183" s="1142"/>
      <c r="AD183" s="1142"/>
      <c r="AE183" s="1142"/>
      <c r="AF183" s="1142"/>
      <c r="AG183" s="1142"/>
      <c r="AH183" s="1142"/>
      <c r="AI183" s="1142"/>
      <c r="AJ183" s="1142"/>
      <c r="AK183" s="1142"/>
      <c r="AL183" s="1142"/>
      <c r="AM183" s="1142"/>
      <c r="AN183" s="1142"/>
      <c r="AO183" s="1142"/>
      <c r="AP183" s="1142"/>
      <c r="AQ183" s="1274"/>
    </row>
    <row r="184" spans="1:43" ht="63" customHeight="1" x14ac:dyDescent="0.25">
      <c r="A184" s="2736"/>
      <c r="B184" s="2737"/>
      <c r="C184" s="2737"/>
      <c r="D184" s="2743"/>
      <c r="E184" s="2744"/>
      <c r="F184" s="2744"/>
      <c r="G184" s="1324"/>
      <c r="H184" s="1325"/>
      <c r="I184" s="1326"/>
      <c r="J184" s="2588">
        <v>247</v>
      </c>
      <c r="K184" s="2733" t="s">
        <v>1627</v>
      </c>
      <c r="L184" s="2733" t="s">
        <v>1628</v>
      </c>
      <c r="M184" s="2745">
        <v>1</v>
      </c>
      <c r="N184" s="2732" t="s">
        <v>1629</v>
      </c>
      <c r="O184" s="2720" t="s">
        <v>1630</v>
      </c>
      <c r="P184" s="2733" t="s">
        <v>1631</v>
      </c>
      <c r="Q184" s="2734">
        <f>(R184)/(R184)</f>
        <v>1</v>
      </c>
      <c r="R184" s="2735">
        <f>SUM(V184:V188)</f>
        <v>50000000</v>
      </c>
      <c r="S184" s="2733" t="s">
        <v>1632</v>
      </c>
      <c r="T184" s="2573" t="s">
        <v>1633</v>
      </c>
      <c r="U184" s="1327" t="s">
        <v>1634</v>
      </c>
      <c r="V184" s="1328">
        <v>40700000</v>
      </c>
      <c r="W184" s="2748">
        <v>20</v>
      </c>
      <c r="X184" s="2731" t="s">
        <v>72</v>
      </c>
      <c r="Y184" s="2227">
        <v>357</v>
      </c>
      <c r="Z184" s="2227">
        <v>343</v>
      </c>
      <c r="AA184" s="2227"/>
      <c r="AB184" s="2227"/>
      <c r="AC184" s="2227">
        <v>700</v>
      </c>
      <c r="AD184" s="2227"/>
      <c r="AE184" s="2227"/>
      <c r="AF184" s="2227"/>
      <c r="AG184" s="2227"/>
      <c r="AH184" s="2227"/>
      <c r="AI184" s="2227"/>
      <c r="AJ184" s="2227"/>
      <c r="AK184" s="2227"/>
      <c r="AL184" s="2227"/>
      <c r="AM184" s="2227"/>
      <c r="AN184" s="2227">
        <v>700</v>
      </c>
      <c r="AO184" s="2749">
        <v>43110</v>
      </c>
      <c r="AP184" s="2749">
        <v>43454</v>
      </c>
      <c r="AQ184" s="2724" t="s">
        <v>1392</v>
      </c>
    </row>
    <row r="185" spans="1:43" ht="38.25" customHeight="1" x14ac:dyDescent="0.25">
      <c r="A185" s="2736"/>
      <c r="B185" s="2737"/>
      <c r="C185" s="2737"/>
      <c r="D185" s="2743"/>
      <c r="E185" s="2744"/>
      <c r="F185" s="2744"/>
      <c r="G185" s="1329"/>
      <c r="H185" s="1330"/>
      <c r="I185" s="1331"/>
      <c r="J185" s="2588"/>
      <c r="K185" s="2733"/>
      <c r="L185" s="2733"/>
      <c r="M185" s="2745"/>
      <c r="N185" s="2732"/>
      <c r="O185" s="2720"/>
      <c r="P185" s="2733"/>
      <c r="Q185" s="2734"/>
      <c r="R185" s="2735"/>
      <c r="S185" s="2733"/>
      <c r="T185" s="2573"/>
      <c r="U185" s="1238" t="s">
        <v>1635</v>
      </c>
      <c r="V185" s="1309">
        <v>3300000</v>
      </c>
      <c r="W185" s="2748"/>
      <c r="X185" s="2731"/>
      <c r="Y185" s="2746"/>
      <c r="Z185" s="2746"/>
      <c r="AA185" s="2746"/>
      <c r="AB185" s="2746"/>
      <c r="AC185" s="2746"/>
      <c r="AD185" s="2746"/>
      <c r="AE185" s="2746"/>
      <c r="AF185" s="2746"/>
      <c r="AG185" s="2746"/>
      <c r="AH185" s="2746"/>
      <c r="AI185" s="2746"/>
      <c r="AJ185" s="2746"/>
      <c r="AK185" s="2746"/>
      <c r="AL185" s="2746"/>
      <c r="AM185" s="2746"/>
      <c r="AN185" s="2746"/>
      <c r="AO185" s="2750"/>
      <c r="AP185" s="2750"/>
      <c r="AQ185" s="2592"/>
    </row>
    <row r="186" spans="1:43" ht="96" customHeight="1" x14ac:dyDescent="0.25">
      <c r="A186" s="2736"/>
      <c r="B186" s="2737"/>
      <c r="C186" s="2737"/>
      <c r="D186" s="2743"/>
      <c r="E186" s="2744"/>
      <c r="F186" s="2744"/>
      <c r="G186" s="1329"/>
      <c r="H186" s="1330"/>
      <c r="I186" s="1331"/>
      <c r="J186" s="2588"/>
      <c r="K186" s="2733"/>
      <c r="L186" s="2733"/>
      <c r="M186" s="2745"/>
      <c r="N186" s="2732"/>
      <c r="O186" s="2720"/>
      <c r="P186" s="2733"/>
      <c r="Q186" s="2734"/>
      <c r="R186" s="2735"/>
      <c r="S186" s="2733"/>
      <c r="T186" s="2573"/>
      <c r="U186" s="1238" t="s">
        <v>1636</v>
      </c>
      <c r="V186" s="1309">
        <v>3000000</v>
      </c>
      <c r="W186" s="2748"/>
      <c r="X186" s="2731"/>
      <c r="Y186" s="2746"/>
      <c r="Z186" s="2746"/>
      <c r="AA186" s="2746"/>
      <c r="AB186" s="2746"/>
      <c r="AC186" s="2746"/>
      <c r="AD186" s="2746"/>
      <c r="AE186" s="2746"/>
      <c r="AF186" s="2746"/>
      <c r="AG186" s="2746"/>
      <c r="AH186" s="2746"/>
      <c r="AI186" s="2746"/>
      <c r="AJ186" s="2746"/>
      <c r="AK186" s="2746"/>
      <c r="AL186" s="2746"/>
      <c r="AM186" s="2746"/>
      <c r="AN186" s="2746"/>
      <c r="AO186" s="2750"/>
      <c r="AP186" s="2750"/>
      <c r="AQ186" s="2592"/>
    </row>
    <row r="187" spans="1:43" ht="104.25" customHeight="1" x14ac:dyDescent="0.25">
      <c r="A187" s="2736"/>
      <c r="B187" s="2737"/>
      <c r="C187" s="2737"/>
      <c r="D187" s="2743"/>
      <c r="E187" s="2744"/>
      <c r="F187" s="2744"/>
      <c r="G187" s="1329"/>
      <c r="H187" s="1330"/>
      <c r="I187" s="1331"/>
      <c r="J187" s="2588"/>
      <c r="K187" s="2733"/>
      <c r="L187" s="2733"/>
      <c r="M187" s="2745"/>
      <c r="N187" s="2732"/>
      <c r="O187" s="2720"/>
      <c r="P187" s="2733"/>
      <c r="Q187" s="2734"/>
      <c r="R187" s="2735"/>
      <c r="S187" s="2733"/>
      <c r="T187" s="2573"/>
      <c r="U187" s="1238" t="s">
        <v>1637</v>
      </c>
      <c r="V187" s="1309">
        <v>2000000</v>
      </c>
      <c r="W187" s="2748"/>
      <c r="X187" s="2731"/>
      <c r="Y187" s="2746"/>
      <c r="Z187" s="2746"/>
      <c r="AA187" s="2746"/>
      <c r="AB187" s="2746"/>
      <c r="AC187" s="2746"/>
      <c r="AD187" s="2746"/>
      <c r="AE187" s="2746"/>
      <c r="AF187" s="2746"/>
      <c r="AG187" s="2746"/>
      <c r="AH187" s="2746"/>
      <c r="AI187" s="2746"/>
      <c r="AJ187" s="2746"/>
      <c r="AK187" s="2746"/>
      <c r="AL187" s="2746"/>
      <c r="AM187" s="2746"/>
      <c r="AN187" s="2746"/>
      <c r="AO187" s="2750"/>
      <c r="AP187" s="2750"/>
      <c r="AQ187" s="2592"/>
    </row>
    <row r="188" spans="1:43" ht="36" customHeight="1" thickBot="1" x14ac:dyDescent="0.3">
      <c r="A188" s="2738"/>
      <c r="B188" s="2739"/>
      <c r="C188" s="2739"/>
      <c r="D188" s="2743"/>
      <c r="E188" s="2744"/>
      <c r="F188" s="2744"/>
      <c r="G188" s="1329"/>
      <c r="H188" s="1330"/>
      <c r="I188" s="1331"/>
      <c r="J188" s="2588"/>
      <c r="K188" s="2733"/>
      <c r="L188" s="2733"/>
      <c r="M188" s="2745"/>
      <c r="N188" s="2732"/>
      <c r="O188" s="2720"/>
      <c r="P188" s="2733"/>
      <c r="Q188" s="2734"/>
      <c r="R188" s="2735"/>
      <c r="S188" s="2733"/>
      <c r="T188" s="2573"/>
      <c r="U188" s="1332" t="s">
        <v>1638</v>
      </c>
      <c r="V188" s="1333">
        <v>1000000</v>
      </c>
      <c r="W188" s="2748"/>
      <c r="X188" s="2731"/>
      <c r="Y188" s="2747"/>
      <c r="Z188" s="2747"/>
      <c r="AA188" s="2747"/>
      <c r="AB188" s="2747"/>
      <c r="AC188" s="2747"/>
      <c r="AD188" s="2747"/>
      <c r="AE188" s="2747"/>
      <c r="AF188" s="2747"/>
      <c r="AG188" s="2747"/>
      <c r="AH188" s="2747"/>
      <c r="AI188" s="2747"/>
      <c r="AJ188" s="2747"/>
      <c r="AK188" s="2747"/>
      <c r="AL188" s="2747"/>
      <c r="AM188" s="2747"/>
      <c r="AN188" s="2747"/>
      <c r="AO188" s="2751"/>
      <c r="AP188" s="2751"/>
      <c r="AQ188" s="2752"/>
    </row>
    <row r="189" spans="1:43" s="195" customFormat="1" ht="24" customHeight="1" thickBot="1" x14ac:dyDescent="0.3">
      <c r="A189" s="181"/>
      <c r="B189" s="182"/>
      <c r="C189" s="182"/>
      <c r="D189" s="182"/>
      <c r="E189" s="182"/>
      <c r="F189" s="182"/>
      <c r="G189" s="182"/>
      <c r="H189" s="182"/>
      <c r="I189" s="182"/>
      <c r="J189" s="182"/>
      <c r="K189" s="1334"/>
      <c r="L189" s="192"/>
      <c r="M189" s="1335"/>
      <c r="N189" s="192"/>
      <c r="O189" s="813"/>
      <c r="P189" s="298" t="s">
        <v>221</v>
      </c>
      <c r="Q189" s="1169"/>
      <c r="R189" s="1336">
        <f>R184+R171+R166+R165+R160+R151+R148+R144+R131+R127+R117+R111+R105+R94+R90+R86+R82+R80+R75+R72+R65+R62+R47+R44+R40+R35+R34+R31+R17+R14+R13+R12</f>
        <v>9262555466.3800011</v>
      </c>
      <c r="S189" s="810"/>
      <c r="T189" s="192"/>
      <c r="U189" s="1337"/>
      <c r="V189" s="1338">
        <f>SUM(V12:V188)</f>
        <v>9262555466.3800011</v>
      </c>
      <c r="W189" s="191"/>
      <c r="X189" s="813"/>
      <c r="Y189" s="182"/>
      <c r="Z189" s="182"/>
      <c r="AA189" s="182"/>
      <c r="AB189" s="182"/>
      <c r="AC189" s="182"/>
      <c r="AD189" s="182"/>
      <c r="AE189" s="182"/>
      <c r="AF189" s="182"/>
      <c r="AG189" s="182"/>
      <c r="AH189" s="182"/>
      <c r="AI189" s="182"/>
      <c r="AJ189" s="182"/>
      <c r="AK189" s="182"/>
      <c r="AL189" s="182"/>
      <c r="AM189" s="182"/>
      <c r="AN189" s="182"/>
      <c r="AO189" s="193"/>
      <c r="AP189" s="194"/>
      <c r="AQ189" s="1339"/>
    </row>
    <row r="190" spans="1:43" ht="61.5" customHeight="1" x14ac:dyDescent="0.2">
      <c r="P190" s="1341"/>
    </row>
    <row r="191" spans="1:43" ht="27" customHeight="1" x14ac:dyDescent="0.25">
      <c r="E191" s="307" t="s">
        <v>1639</v>
      </c>
      <c r="F191" s="380"/>
      <c r="G191" s="380"/>
      <c r="H191" s="380"/>
      <c r="I191" s="380"/>
    </row>
    <row r="192" spans="1:43" ht="18" customHeight="1" x14ac:dyDescent="0.25">
      <c r="E192" s="308" t="s">
        <v>1640</v>
      </c>
    </row>
  </sheetData>
  <sheetProtection password="CBEB" sheet="1" objects="1" scenarios="1"/>
  <mergeCells count="501">
    <mergeCell ref="AN184:AN188"/>
    <mergeCell ref="AO184:AO188"/>
    <mergeCell ref="AP184:AP188"/>
    <mergeCell ref="AQ184:AQ188"/>
    <mergeCell ref="AH184:AH188"/>
    <mergeCell ref="AI184:AI188"/>
    <mergeCell ref="AJ184:AJ188"/>
    <mergeCell ref="AK184:AK188"/>
    <mergeCell ref="AL184:AL188"/>
    <mergeCell ref="AM184:AM188"/>
    <mergeCell ref="AB184:AB188"/>
    <mergeCell ref="AC184:AC188"/>
    <mergeCell ref="AD184:AD188"/>
    <mergeCell ref="AE184:AE188"/>
    <mergeCell ref="AF184:AF188"/>
    <mergeCell ref="AG184:AG188"/>
    <mergeCell ref="T184:T188"/>
    <mergeCell ref="W184:W188"/>
    <mergeCell ref="X184:X188"/>
    <mergeCell ref="Y184:Y188"/>
    <mergeCell ref="Z184:Z188"/>
    <mergeCell ref="AA184:AA188"/>
    <mergeCell ref="N184:N188"/>
    <mergeCell ref="O184:O188"/>
    <mergeCell ref="P184:P188"/>
    <mergeCell ref="Q184:Q188"/>
    <mergeCell ref="R184:R188"/>
    <mergeCell ref="S184:S188"/>
    <mergeCell ref="A182:C188"/>
    <mergeCell ref="D183:F188"/>
    <mergeCell ref="J184:J188"/>
    <mergeCell ref="K184:K188"/>
    <mergeCell ref="L184:L188"/>
    <mergeCell ref="M184:M188"/>
    <mergeCell ref="AO171:AO180"/>
    <mergeCell ref="AP171:AP180"/>
    <mergeCell ref="AQ171:AQ180"/>
    <mergeCell ref="U173:U174"/>
    <mergeCell ref="U177:U178"/>
    <mergeCell ref="U179:U180"/>
    <mergeCell ref="AI171:AI180"/>
    <mergeCell ref="AJ171:AJ180"/>
    <mergeCell ref="AK171:AK180"/>
    <mergeCell ref="AL171:AL180"/>
    <mergeCell ref="AM171:AM180"/>
    <mergeCell ref="AN171:AN180"/>
    <mergeCell ref="AC171:AC180"/>
    <mergeCell ref="AD171:AD180"/>
    <mergeCell ref="AE171:AE180"/>
    <mergeCell ref="AF171:AF180"/>
    <mergeCell ref="AG171:AG180"/>
    <mergeCell ref="AH171:AH180"/>
    <mergeCell ref="W171:W180"/>
    <mergeCell ref="X171:X180"/>
    <mergeCell ref="Y171:Y180"/>
    <mergeCell ref="Z171:Z180"/>
    <mergeCell ref="AA171:AA180"/>
    <mergeCell ref="AB171:AB180"/>
    <mergeCell ref="P171:P180"/>
    <mergeCell ref="Q171:Q180"/>
    <mergeCell ref="R171:R180"/>
    <mergeCell ref="S171:S180"/>
    <mergeCell ref="T171:T180"/>
    <mergeCell ref="U171:U172"/>
    <mergeCell ref="J171:J180"/>
    <mergeCell ref="K171:K180"/>
    <mergeCell ref="L171:L180"/>
    <mergeCell ref="M171:M180"/>
    <mergeCell ref="N171:N180"/>
    <mergeCell ref="O171:O180"/>
    <mergeCell ref="AQ151:AQ169"/>
    <mergeCell ref="U157:U158"/>
    <mergeCell ref="J160:J164"/>
    <mergeCell ref="K160:K164"/>
    <mergeCell ref="L160:L164"/>
    <mergeCell ref="M160:M164"/>
    <mergeCell ref="Q160:Q164"/>
    <mergeCell ref="R160:R164"/>
    <mergeCell ref="AI151:AI169"/>
    <mergeCell ref="AJ151:AJ169"/>
    <mergeCell ref="AK151:AK169"/>
    <mergeCell ref="AL151:AL169"/>
    <mergeCell ref="AM151:AM169"/>
    <mergeCell ref="AN151:AN169"/>
    <mergeCell ref="AC151:AC169"/>
    <mergeCell ref="AD151:AD169"/>
    <mergeCell ref="AB151:AB169"/>
    <mergeCell ref="J166:J169"/>
    <mergeCell ref="K166:K169"/>
    <mergeCell ref="L166:L169"/>
    <mergeCell ref="M166:M169"/>
    <mergeCell ref="Q166:Q169"/>
    <mergeCell ref="R166:R169"/>
    <mergeCell ref="AO151:AO169"/>
    <mergeCell ref="AP151:AP169"/>
    <mergeCell ref="P151:P169"/>
    <mergeCell ref="Q151:Q159"/>
    <mergeCell ref="R151:R159"/>
    <mergeCell ref="S151:S169"/>
    <mergeCell ref="T151:T169"/>
    <mergeCell ref="AO144:AO148"/>
    <mergeCell ref="AP144:AP148"/>
    <mergeCell ref="AQ144:AQ148"/>
    <mergeCell ref="U146:U147"/>
    <mergeCell ref="AL144:AL148"/>
    <mergeCell ref="AM144:AM148"/>
    <mergeCell ref="AN144:AN148"/>
    <mergeCell ref="S144:S148"/>
    <mergeCell ref="T144:T148"/>
    <mergeCell ref="U144:U145"/>
    <mergeCell ref="AE151:AE169"/>
    <mergeCell ref="AF151:AF169"/>
    <mergeCell ref="AG151:AG169"/>
    <mergeCell ref="AH151:AH169"/>
    <mergeCell ref="W151:W169"/>
    <mergeCell ref="X151:X169"/>
    <mergeCell ref="Y151:Y169"/>
    <mergeCell ref="Z151:Z169"/>
    <mergeCell ref="AA151:AA169"/>
    <mergeCell ref="W144:W148"/>
    <mergeCell ref="X144:X148"/>
    <mergeCell ref="Y144:Y148"/>
    <mergeCell ref="Z144:Z148"/>
    <mergeCell ref="AA144:AA148"/>
    <mergeCell ref="AB144:AB148"/>
    <mergeCell ref="P144:P148"/>
    <mergeCell ref="Q144:Q147"/>
    <mergeCell ref="R144:R147"/>
    <mergeCell ref="AI144:AI148"/>
    <mergeCell ref="AJ144:AJ148"/>
    <mergeCell ref="AK144:AK148"/>
    <mergeCell ref="AC144:AC148"/>
    <mergeCell ref="AD144:AD148"/>
    <mergeCell ref="AE144:AE148"/>
    <mergeCell ref="AF144:AF148"/>
    <mergeCell ref="AG144:AG148"/>
    <mergeCell ref="AH144:AH148"/>
    <mergeCell ref="L144:L147"/>
    <mergeCell ref="M144:M147"/>
    <mergeCell ref="N144:N148"/>
    <mergeCell ref="O144:O148"/>
    <mergeCell ref="D150:F180"/>
    <mergeCell ref="J151:J159"/>
    <mergeCell ref="K151:K159"/>
    <mergeCell ref="L151:L159"/>
    <mergeCell ref="M151:M159"/>
    <mergeCell ref="N151:N169"/>
    <mergeCell ref="O151:O169"/>
    <mergeCell ref="O105:O142"/>
    <mergeCell ref="P105:P142"/>
    <mergeCell ref="Q105:Q110"/>
    <mergeCell ref="R105:R110"/>
    <mergeCell ref="S105:S142"/>
    <mergeCell ref="T105:T142"/>
    <mergeCell ref="Q111:Q116"/>
    <mergeCell ref="R111:R116"/>
    <mergeCell ref="U127:U128"/>
    <mergeCell ref="U129:U130"/>
    <mergeCell ref="Q131:Q142"/>
    <mergeCell ref="R131:R142"/>
    <mergeCell ref="U131:U132"/>
    <mergeCell ref="U133:U134"/>
    <mergeCell ref="Q127:Q130"/>
    <mergeCell ref="R127:R130"/>
    <mergeCell ref="U135:U136"/>
    <mergeCell ref="U137:U138"/>
    <mergeCell ref="U139:U140"/>
    <mergeCell ref="U141:U142"/>
    <mergeCell ref="Q117:Q126"/>
    <mergeCell ref="R117:R126"/>
    <mergeCell ref="AN105:AN142"/>
    <mergeCell ref="AO105:AO142"/>
    <mergeCell ref="AP105:AP142"/>
    <mergeCell ref="AA105:AA142"/>
    <mergeCell ref="U119:U120"/>
    <mergeCell ref="U121:U122"/>
    <mergeCell ref="U123:U124"/>
    <mergeCell ref="U125:U126"/>
    <mergeCell ref="AQ105:AQ142"/>
    <mergeCell ref="U107:U108"/>
    <mergeCell ref="U109:U110"/>
    <mergeCell ref="U111:U112"/>
    <mergeCell ref="U113:U114"/>
    <mergeCell ref="U115:U116"/>
    <mergeCell ref="U117:U118"/>
    <mergeCell ref="AH105:AH142"/>
    <mergeCell ref="AI105:AI142"/>
    <mergeCell ref="AJ105:AJ142"/>
    <mergeCell ref="AK105:AK142"/>
    <mergeCell ref="AL105:AL142"/>
    <mergeCell ref="AM105:AM142"/>
    <mergeCell ref="AB105:AB142"/>
    <mergeCell ref="AC105:AC142"/>
    <mergeCell ref="AD105:AD142"/>
    <mergeCell ref="AE105:AE142"/>
    <mergeCell ref="AF105:AF142"/>
    <mergeCell ref="AG105:AG142"/>
    <mergeCell ref="U105:U106"/>
    <mergeCell ref="W105:W142"/>
    <mergeCell ref="X105:X142"/>
    <mergeCell ref="Y105:Y142"/>
    <mergeCell ref="Z105:Z142"/>
    <mergeCell ref="D104:F148"/>
    <mergeCell ref="J105:J110"/>
    <mergeCell ref="K105:K110"/>
    <mergeCell ref="L105:L110"/>
    <mergeCell ref="M105:M110"/>
    <mergeCell ref="N105:N142"/>
    <mergeCell ref="J111:J116"/>
    <mergeCell ref="K111:K116"/>
    <mergeCell ref="L111:L116"/>
    <mergeCell ref="M111:M116"/>
    <mergeCell ref="J117:J126"/>
    <mergeCell ref="K117:K126"/>
    <mergeCell ref="L117:L126"/>
    <mergeCell ref="M117:M126"/>
    <mergeCell ref="J131:J142"/>
    <mergeCell ref="K131:K142"/>
    <mergeCell ref="L131:L142"/>
    <mergeCell ref="M131:M142"/>
    <mergeCell ref="J127:J130"/>
    <mergeCell ref="K127:K130"/>
    <mergeCell ref="L127:L130"/>
    <mergeCell ref="M127:M130"/>
    <mergeCell ref="J144:J147"/>
    <mergeCell ref="K144:K147"/>
    <mergeCell ref="AQ90:AQ102"/>
    <mergeCell ref="U92:U93"/>
    <mergeCell ref="J94:J102"/>
    <mergeCell ref="K94:K102"/>
    <mergeCell ref="L94:L102"/>
    <mergeCell ref="M94:M102"/>
    <mergeCell ref="Q94:Q102"/>
    <mergeCell ref="R94:R102"/>
    <mergeCell ref="AI90:AI102"/>
    <mergeCell ref="AJ90:AJ102"/>
    <mergeCell ref="AK90:AK102"/>
    <mergeCell ref="AL90:AL102"/>
    <mergeCell ref="AM90:AM102"/>
    <mergeCell ref="AN90:AN102"/>
    <mergeCell ref="AC90:AC102"/>
    <mergeCell ref="AD90:AD102"/>
    <mergeCell ref="X90:X102"/>
    <mergeCell ref="Q90:Q93"/>
    <mergeCell ref="R90:R93"/>
    <mergeCell ref="S90:S102"/>
    <mergeCell ref="T90:T102"/>
    <mergeCell ref="U90:U91"/>
    <mergeCell ref="U95:U96"/>
    <mergeCell ref="U100:U101"/>
    <mergeCell ref="AB90:AB102"/>
    <mergeCell ref="AO90:AO102"/>
    <mergeCell ref="AP90:AP102"/>
    <mergeCell ref="O90:O102"/>
    <mergeCell ref="AP80:AP88"/>
    <mergeCell ref="AQ80:AQ88"/>
    <mergeCell ref="J82:J85"/>
    <mergeCell ref="K82:K85"/>
    <mergeCell ref="L82:L85"/>
    <mergeCell ref="M82:M85"/>
    <mergeCell ref="Q82:Q85"/>
    <mergeCell ref="R82:R85"/>
    <mergeCell ref="J86:J88"/>
    <mergeCell ref="K86:K88"/>
    <mergeCell ref="AJ80:AJ88"/>
    <mergeCell ref="AK80:AK88"/>
    <mergeCell ref="AL80:AL88"/>
    <mergeCell ref="AM80:AM88"/>
    <mergeCell ref="AN80:AN88"/>
    <mergeCell ref="AO80:AO88"/>
    <mergeCell ref="AD80:AD88"/>
    <mergeCell ref="AE80:AE88"/>
    <mergeCell ref="Y90:Y102"/>
    <mergeCell ref="Z90:Z102"/>
    <mergeCell ref="AA90:AA102"/>
    <mergeCell ref="P90:P102"/>
    <mergeCell ref="AF80:AF88"/>
    <mergeCell ref="AG80:AG88"/>
    <mergeCell ref="AH80:AH88"/>
    <mergeCell ref="AI80:AI88"/>
    <mergeCell ref="X80:X88"/>
    <mergeCell ref="Y80:Y88"/>
    <mergeCell ref="Z80:Z88"/>
    <mergeCell ref="AA80:AA88"/>
    <mergeCell ref="AB80:AB88"/>
    <mergeCell ref="AC80:AC88"/>
    <mergeCell ref="P80:P88"/>
    <mergeCell ref="Q80:Q81"/>
    <mergeCell ref="R80:R81"/>
    <mergeCell ref="S80:S88"/>
    <mergeCell ref="T80:T88"/>
    <mergeCell ref="W80:W88"/>
    <mergeCell ref="Q86:Q88"/>
    <mergeCell ref="R86:R88"/>
    <mergeCell ref="AE90:AE102"/>
    <mergeCell ref="AF90:AF102"/>
    <mergeCell ref="AG90:AG102"/>
    <mergeCell ref="AH90:AH102"/>
    <mergeCell ref="W90:W102"/>
    <mergeCell ref="J80:J81"/>
    <mergeCell ref="K80:K81"/>
    <mergeCell ref="L80:L81"/>
    <mergeCell ref="M80:M81"/>
    <mergeCell ref="N80:N88"/>
    <mergeCell ref="O80:O88"/>
    <mergeCell ref="L86:L88"/>
    <mergeCell ref="M86:M88"/>
    <mergeCell ref="O47:O78"/>
    <mergeCell ref="Q62:Q64"/>
    <mergeCell ref="R62:R64"/>
    <mergeCell ref="J75:J78"/>
    <mergeCell ref="K75:K78"/>
    <mergeCell ref="L75:L78"/>
    <mergeCell ref="M75:M78"/>
    <mergeCell ref="Q75:Q78"/>
    <mergeCell ref="R75:R78"/>
    <mergeCell ref="J72:J74"/>
    <mergeCell ref="K72:K74"/>
    <mergeCell ref="L72:L74"/>
    <mergeCell ref="M72:M74"/>
    <mergeCell ref="Q72:Q74"/>
    <mergeCell ref="R72:R74"/>
    <mergeCell ref="Q65:Q71"/>
    <mergeCell ref="R65:R71"/>
    <mergeCell ref="AN47:AN78"/>
    <mergeCell ref="AO47:AO78"/>
    <mergeCell ref="AP47:AP78"/>
    <mergeCell ref="AA47:AA78"/>
    <mergeCell ref="U66:U67"/>
    <mergeCell ref="U72:U73"/>
    <mergeCell ref="U75:U76"/>
    <mergeCell ref="AQ47:AQ78"/>
    <mergeCell ref="U49:U50"/>
    <mergeCell ref="U51:U52"/>
    <mergeCell ref="U53:U54"/>
    <mergeCell ref="U55:U56"/>
    <mergeCell ref="U57:U58"/>
    <mergeCell ref="U59:U60"/>
    <mergeCell ref="AH47:AH78"/>
    <mergeCell ref="AI47:AI78"/>
    <mergeCell ref="AJ47:AJ78"/>
    <mergeCell ref="AK47:AK78"/>
    <mergeCell ref="AL47:AL78"/>
    <mergeCell ref="AM47:AM78"/>
    <mergeCell ref="AB47:AB78"/>
    <mergeCell ref="AC47:AC78"/>
    <mergeCell ref="AD47:AD78"/>
    <mergeCell ref="AE47:AE78"/>
    <mergeCell ref="Y47:Y78"/>
    <mergeCell ref="Z47:Z78"/>
    <mergeCell ref="D46:F102"/>
    <mergeCell ref="J47:J61"/>
    <mergeCell ref="K47:K61"/>
    <mergeCell ref="L47:L61"/>
    <mergeCell ref="M47:M61"/>
    <mergeCell ref="N47:N78"/>
    <mergeCell ref="J62:J64"/>
    <mergeCell ref="K62:K64"/>
    <mergeCell ref="L62:L64"/>
    <mergeCell ref="M62:M64"/>
    <mergeCell ref="J65:J71"/>
    <mergeCell ref="K65:K71"/>
    <mergeCell ref="L65:L71"/>
    <mergeCell ref="M65:M71"/>
    <mergeCell ref="J90:J93"/>
    <mergeCell ref="K90:K93"/>
    <mergeCell ref="L90:L93"/>
    <mergeCell ref="P47:P78"/>
    <mergeCell ref="Q47:Q61"/>
    <mergeCell ref="R47:R61"/>
    <mergeCell ref="S47:S78"/>
    <mergeCell ref="T47:T78"/>
    <mergeCell ref="M90:M93"/>
    <mergeCell ref="N90:N102"/>
    <mergeCell ref="AQ34:AQ44"/>
    <mergeCell ref="J35:J39"/>
    <mergeCell ref="K35:K39"/>
    <mergeCell ref="L35:L39"/>
    <mergeCell ref="M35:M39"/>
    <mergeCell ref="Q35:Q39"/>
    <mergeCell ref="R35:R39"/>
    <mergeCell ref="U35:U36"/>
    <mergeCell ref="V35:V36"/>
    <mergeCell ref="J40:J43"/>
    <mergeCell ref="AK34:AK44"/>
    <mergeCell ref="AL34:AL44"/>
    <mergeCell ref="AM34:AM44"/>
    <mergeCell ref="AN34:AN44"/>
    <mergeCell ref="AO34:AO44"/>
    <mergeCell ref="AP34:AP44"/>
    <mergeCell ref="AE34:AE44"/>
    <mergeCell ref="AF47:AF78"/>
    <mergeCell ref="AG47:AG78"/>
    <mergeCell ref="U47:U48"/>
    <mergeCell ref="W47:W78"/>
    <mergeCell ref="X47:X78"/>
    <mergeCell ref="K31:K32"/>
    <mergeCell ref="L31:L32"/>
    <mergeCell ref="M31:M32"/>
    <mergeCell ref="Q31:Q32"/>
    <mergeCell ref="R31:R32"/>
    <mergeCell ref="AF34:AF44"/>
    <mergeCell ref="AG34:AG44"/>
    <mergeCell ref="AH34:AH44"/>
    <mergeCell ref="AI34:AI44"/>
    <mergeCell ref="Y34:Y44"/>
    <mergeCell ref="Z34:Z44"/>
    <mergeCell ref="AA34:AA44"/>
    <mergeCell ref="AB34:AB44"/>
    <mergeCell ref="AC34:AC44"/>
    <mergeCell ref="AD34:AD44"/>
    <mergeCell ref="K40:K43"/>
    <mergeCell ref="L40:L43"/>
    <mergeCell ref="M40:M43"/>
    <mergeCell ref="Q40:Q43"/>
    <mergeCell ref="R40:R43"/>
    <mergeCell ref="U40:U41"/>
    <mergeCell ref="U42:U43"/>
    <mergeCell ref="AN12:AN32"/>
    <mergeCell ref="AO12:AO32"/>
    <mergeCell ref="AP12:AP32"/>
    <mergeCell ref="AA12:AA32"/>
    <mergeCell ref="O34:O44"/>
    <mergeCell ref="P34:P44"/>
    <mergeCell ref="S34:S44"/>
    <mergeCell ref="T34:T44"/>
    <mergeCell ref="W34:W44"/>
    <mergeCell ref="X34:X44"/>
    <mergeCell ref="V40:V41"/>
    <mergeCell ref="V42:V43"/>
    <mergeCell ref="AJ34:AJ44"/>
    <mergeCell ref="AQ12:AQ32"/>
    <mergeCell ref="J14:J16"/>
    <mergeCell ref="K14:K16"/>
    <mergeCell ref="L14:L16"/>
    <mergeCell ref="M14:M16"/>
    <mergeCell ref="Q14:Q16"/>
    <mergeCell ref="R14:R16"/>
    <mergeCell ref="AH12:AH32"/>
    <mergeCell ref="AI12:AI32"/>
    <mergeCell ref="AJ12:AJ32"/>
    <mergeCell ref="AK12:AK32"/>
    <mergeCell ref="AL12:AL32"/>
    <mergeCell ref="AM12:AM32"/>
    <mergeCell ref="AB12:AB32"/>
    <mergeCell ref="AC12:AC32"/>
    <mergeCell ref="AD12:AD32"/>
    <mergeCell ref="AE12:AE32"/>
    <mergeCell ref="AF12:AF32"/>
    <mergeCell ref="AG12:AG32"/>
    <mergeCell ref="T12:T32"/>
    <mergeCell ref="W12:W32"/>
    <mergeCell ref="X12:X32"/>
    <mergeCell ref="Y12:Y32"/>
    <mergeCell ref="Z12:Z32"/>
    <mergeCell ref="A10:A180"/>
    <mergeCell ref="B10:C180"/>
    <mergeCell ref="D11:F44"/>
    <mergeCell ref="O12:O32"/>
    <mergeCell ref="P12:P32"/>
    <mergeCell ref="S12:S32"/>
    <mergeCell ref="V7:V8"/>
    <mergeCell ref="W7:W8"/>
    <mergeCell ref="X7:X8"/>
    <mergeCell ref="P7:P8"/>
    <mergeCell ref="Q7:Q8"/>
    <mergeCell ref="R7:R8"/>
    <mergeCell ref="S7:S8"/>
    <mergeCell ref="T7:T8"/>
    <mergeCell ref="U7:U8"/>
    <mergeCell ref="J7:J8"/>
    <mergeCell ref="K7:K8"/>
    <mergeCell ref="J17:J30"/>
    <mergeCell ref="K17:K30"/>
    <mergeCell ref="L17:L30"/>
    <mergeCell ref="M17:M30"/>
    <mergeCell ref="Q17:Q30"/>
    <mergeCell ref="R17:R30"/>
    <mergeCell ref="J31:J32"/>
    <mergeCell ref="L7:L8"/>
    <mergeCell ref="M7:M8"/>
    <mergeCell ref="N7:N8"/>
    <mergeCell ref="O7:O8"/>
    <mergeCell ref="A1:AP4"/>
    <mergeCell ref="A5:M6"/>
    <mergeCell ref="N5:AQ5"/>
    <mergeCell ref="Y6:AM6"/>
    <mergeCell ref="A7:A8"/>
    <mergeCell ref="B7:C8"/>
    <mergeCell ref="D7:D8"/>
    <mergeCell ref="E7:F8"/>
    <mergeCell ref="G7:G8"/>
    <mergeCell ref="H7:I8"/>
    <mergeCell ref="AK7:AM7"/>
    <mergeCell ref="AO7:AO8"/>
    <mergeCell ref="AP7:AP8"/>
    <mergeCell ref="AQ7:AQ8"/>
    <mergeCell ref="Y7:Z7"/>
    <mergeCell ref="AA7:AD7"/>
    <mergeCell ref="AE7:AJ7"/>
    <mergeCell ref="AN7:AN8"/>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E57"/>
  <sheetViews>
    <sheetView showGridLines="0" zoomScale="50" zoomScaleNormal="50" workbookViewId="0">
      <selection sqref="A1:AP4"/>
    </sheetView>
  </sheetViews>
  <sheetFormatPr baseColWidth="10" defaultColWidth="11.42578125" defaultRowHeight="58.5" customHeight="1" x14ac:dyDescent="0.2"/>
  <cols>
    <col min="1" max="1" width="12.42578125" style="110" customWidth="1"/>
    <col min="2" max="3" width="11.42578125" style="110"/>
    <col min="4" max="4" width="15.42578125" style="110" customWidth="1"/>
    <col min="5" max="6" width="11.42578125" style="110"/>
    <col min="7" max="7" width="15.85546875" style="110" customWidth="1"/>
    <col min="8" max="8" width="11.42578125" style="110"/>
    <col min="9" max="9" width="14.5703125" style="110" customWidth="1"/>
    <col min="10" max="10" width="15.85546875" style="110" customWidth="1"/>
    <col min="11" max="11" width="28.7109375" style="1707" customWidth="1"/>
    <col min="12" max="12" width="26.140625" style="1707" customWidth="1"/>
    <col min="13" max="13" width="27" style="110" customWidth="1"/>
    <col min="14" max="14" width="34.28515625" style="110" customWidth="1"/>
    <col min="15" max="15" width="22.5703125" style="110" customWidth="1"/>
    <col min="16" max="16" width="26.140625" style="1707" customWidth="1"/>
    <col min="17" max="17" width="16.85546875" style="110" customWidth="1"/>
    <col min="18" max="18" width="27" style="2027" customWidth="1"/>
    <col min="19" max="19" width="29.42578125" style="1707" customWidth="1"/>
    <col min="20" max="20" width="29" style="1707" customWidth="1"/>
    <col min="21" max="21" width="30.140625" style="1707" customWidth="1"/>
    <col min="22" max="22" width="27.42578125" style="2028" customWidth="1"/>
    <col min="23" max="23" width="12.85546875" style="110" customWidth="1"/>
    <col min="24" max="24" width="19.85546875" style="1729" customWidth="1"/>
    <col min="25" max="25" width="10.140625" style="110" customWidth="1"/>
    <col min="26" max="26" width="11.140625" style="110" customWidth="1"/>
    <col min="27" max="27" width="8.7109375" style="110" customWidth="1"/>
    <col min="28" max="28" width="9.28515625" style="110" customWidth="1"/>
    <col min="29" max="29" width="11" style="110" customWidth="1"/>
    <col min="30" max="30" width="10.5703125" style="110" customWidth="1"/>
    <col min="31" max="31" width="9.85546875" style="110" customWidth="1"/>
    <col min="32" max="32" width="8.5703125" style="110" customWidth="1"/>
    <col min="33" max="39" width="9" style="110" customWidth="1"/>
    <col min="40" max="40" width="12" style="110" customWidth="1"/>
    <col min="41" max="41" width="12.7109375" style="195" bestFit="1" customWidth="1"/>
    <col min="42" max="42" width="12.7109375" style="195" customWidth="1"/>
    <col min="43" max="43" width="23.28515625" style="110" customWidth="1"/>
    <col min="44" max="16384" width="11.42578125" style="110"/>
  </cols>
  <sheetData>
    <row r="1" spans="1:43" ht="21" customHeight="1" x14ac:dyDescent="0.2">
      <c r="A1" s="2323" t="s">
        <v>2504</v>
      </c>
      <c r="B1" s="2324"/>
      <c r="C1" s="2324"/>
      <c r="D1" s="2324"/>
      <c r="E1" s="2324"/>
      <c r="F1" s="2324"/>
      <c r="G1" s="2324"/>
      <c r="H1" s="2324"/>
      <c r="I1" s="2324"/>
      <c r="J1" s="2324"/>
      <c r="K1" s="2324"/>
      <c r="L1" s="2324"/>
      <c r="M1" s="2324"/>
      <c r="N1" s="2324"/>
      <c r="O1" s="2324"/>
      <c r="P1" s="2324"/>
      <c r="Q1" s="2324"/>
      <c r="R1" s="2324"/>
      <c r="S1" s="2324"/>
      <c r="T1" s="2324"/>
      <c r="U1" s="2324"/>
      <c r="V1" s="2324"/>
      <c r="W1" s="2324"/>
      <c r="X1" s="2324"/>
      <c r="Y1" s="2324"/>
      <c r="Z1" s="2324"/>
      <c r="AA1" s="2324"/>
      <c r="AB1" s="2324"/>
      <c r="AC1" s="2324"/>
      <c r="AD1" s="2324"/>
      <c r="AE1" s="2324"/>
      <c r="AF1" s="2324"/>
      <c r="AG1" s="2324"/>
      <c r="AH1" s="2324"/>
      <c r="AI1" s="2324"/>
      <c r="AJ1" s="2324"/>
      <c r="AK1" s="2324"/>
      <c r="AL1" s="2324"/>
      <c r="AM1" s="2324"/>
      <c r="AN1" s="2324"/>
      <c r="AO1" s="2324"/>
      <c r="AP1" s="2325"/>
      <c r="AQ1" s="108" t="s">
        <v>134</v>
      </c>
    </row>
    <row r="2" spans="1:43" ht="21" customHeight="1" x14ac:dyDescent="0.2">
      <c r="A2" s="2326"/>
      <c r="B2" s="2252"/>
      <c r="C2" s="2252"/>
      <c r="D2" s="2252"/>
      <c r="E2" s="2252"/>
      <c r="F2" s="2252"/>
      <c r="G2" s="2252"/>
      <c r="H2" s="2252"/>
      <c r="I2" s="2252"/>
      <c r="J2" s="2252"/>
      <c r="K2" s="2252"/>
      <c r="L2" s="2252"/>
      <c r="M2" s="2252"/>
      <c r="N2" s="2252"/>
      <c r="O2" s="2252"/>
      <c r="P2" s="2252"/>
      <c r="Q2" s="2252"/>
      <c r="R2" s="2252"/>
      <c r="S2" s="2252"/>
      <c r="T2" s="2252"/>
      <c r="U2" s="2252"/>
      <c r="V2" s="2252"/>
      <c r="W2" s="2252"/>
      <c r="X2" s="2252"/>
      <c r="Y2" s="2252"/>
      <c r="Z2" s="2252"/>
      <c r="AA2" s="2252"/>
      <c r="AB2" s="2252"/>
      <c r="AC2" s="2252"/>
      <c r="AD2" s="2252"/>
      <c r="AE2" s="2252"/>
      <c r="AF2" s="2252"/>
      <c r="AG2" s="2252"/>
      <c r="AH2" s="2252"/>
      <c r="AI2" s="2252"/>
      <c r="AJ2" s="2252"/>
      <c r="AK2" s="2252"/>
      <c r="AL2" s="2252"/>
      <c r="AM2" s="2252"/>
      <c r="AN2" s="2252"/>
      <c r="AO2" s="2252"/>
      <c r="AP2" s="2253"/>
      <c r="AQ2" s="1944">
        <v>6</v>
      </c>
    </row>
    <row r="3" spans="1:43" ht="21" customHeight="1" x14ac:dyDescent="0.2">
      <c r="A3" s="2326"/>
      <c r="B3" s="2252"/>
      <c r="C3" s="2252"/>
      <c r="D3" s="2252"/>
      <c r="E3" s="2252"/>
      <c r="F3" s="2252"/>
      <c r="G3" s="2252"/>
      <c r="H3" s="2252"/>
      <c r="I3" s="2252"/>
      <c r="J3" s="2252"/>
      <c r="K3" s="2252"/>
      <c r="L3" s="2252"/>
      <c r="M3" s="2252"/>
      <c r="N3" s="2252"/>
      <c r="O3" s="2252"/>
      <c r="P3" s="2252"/>
      <c r="Q3" s="2252"/>
      <c r="R3" s="2252"/>
      <c r="S3" s="2252"/>
      <c r="T3" s="2252"/>
      <c r="U3" s="2252"/>
      <c r="V3" s="2252"/>
      <c r="W3" s="2252"/>
      <c r="X3" s="2252"/>
      <c r="Y3" s="2252"/>
      <c r="Z3" s="2252"/>
      <c r="AA3" s="2252"/>
      <c r="AB3" s="2252"/>
      <c r="AC3" s="2252"/>
      <c r="AD3" s="2252"/>
      <c r="AE3" s="2252"/>
      <c r="AF3" s="2252"/>
      <c r="AG3" s="2252"/>
      <c r="AH3" s="2252"/>
      <c r="AI3" s="2252"/>
      <c r="AJ3" s="2252"/>
      <c r="AK3" s="2252"/>
      <c r="AL3" s="2252"/>
      <c r="AM3" s="2252"/>
      <c r="AN3" s="2252"/>
      <c r="AO3" s="2252"/>
      <c r="AP3" s="2253"/>
      <c r="AQ3" s="1945" t="s">
        <v>136</v>
      </c>
    </row>
    <row r="4" spans="1:43" s="224" customFormat="1" ht="21" customHeight="1" x14ac:dyDescent="0.2">
      <c r="A4" s="2327"/>
      <c r="B4" s="2254"/>
      <c r="C4" s="2254"/>
      <c r="D4" s="2254"/>
      <c r="E4" s="2254"/>
      <c r="F4" s="2254"/>
      <c r="G4" s="2254"/>
      <c r="H4" s="2254"/>
      <c r="I4" s="2254"/>
      <c r="J4" s="2254"/>
      <c r="K4" s="2254"/>
      <c r="L4" s="2254"/>
      <c r="M4" s="2254"/>
      <c r="N4" s="2254"/>
      <c r="O4" s="2254"/>
      <c r="P4" s="2254"/>
      <c r="Q4" s="2254"/>
      <c r="R4" s="2254"/>
      <c r="S4" s="2254"/>
      <c r="T4" s="2254"/>
      <c r="U4" s="2254"/>
      <c r="V4" s="2254"/>
      <c r="W4" s="2254"/>
      <c r="X4" s="2254"/>
      <c r="Y4" s="2254"/>
      <c r="Z4" s="2254"/>
      <c r="AA4" s="2254"/>
      <c r="AB4" s="2254"/>
      <c r="AC4" s="2254"/>
      <c r="AD4" s="2254"/>
      <c r="AE4" s="2254"/>
      <c r="AF4" s="2254"/>
      <c r="AG4" s="2254"/>
      <c r="AH4" s="2254"/>
      <c r="AI4" s="2254"/>
      <c r="AJ4" s="2254"/>
      <c r="AK4" s="2254"/>
      <c r="AL4" s="2254"/>
      <c r="AM4" s="2254"/>
      <c r="AN4" s="2254"/>
      <c r="AO4" s="2254"/>
      <c r="AP4" s="2255"/>
      <c r="AQ4" s="323" t="s">
        <v>181</v>
      </c>
    </row>
    <row r="5" spans="1:43" ht="27" customHeight="1" x14ac:dyDescent="0.2">
      <c r="A5" s="2753" t="s">
        <v>2</v>
      </c>
      <c r="B5" s="2258"/>
      <c r="C5" s="2258"/>
      <c r="D5" s="2258"/>
      <c r="E5" s="2258"/>
      <c r="F5" s="2258"/>
      <c r="G5" s="2258"/>
      <c r="H5" s="2258"/>
      <c r="I5" s="2258"/>
      <c r="J5" s="2258"/>
      <c r="K5" s="2258"/>
      <c r="L5" s="2258"/>
      <c r="M5" s="2258"/>
      <c r="N5" s="1704"/>
      <c r="O5" s="1704"/>
      <c r="P5" s="2258" t="s">
        <v>3</v>
      </c>
      <c r="Q5" s="2258"/>
      <c r="R5" s="2258"/>
      <c r="S5" s="2258"/>
      <c r="T5" s="2258"/>
      <c r="U5" s="2258"/>
      <c r="V5" s="2258"/>
      <c r="W5" s="2258"/>
      <c r="X5" s="2258"/>
      <c r="Y5" s="2258"/>
      <c r="Z5" s="2258"/>
      <c r="AA5" s="2258"/>
      <c r="AB5" s="2258"/>
      <c r="AC5" s="2258"/>
      <c r="AD5" s="2258"/>
      <c r="AE5" s="2258"/>
      <c r="AF5" s="2258"/>
      <c r="AG5" s="2258"/>
      <c r="AH5" s="2258"/>
      <c r="AI5" s="2258"/>
      <c r="AJ5" s="2258"/>
      <c r="AK5" s="2258"/>
      <c r="AL5" s="2258"/>
      <c r="AM5" s="2258"/>
      <c r="AN5" s="2258"/>
      <c r="AO5" s="2258"/>
      <c r="AP5" s="2258"/>
      <c r="AQ5" s="2332"/>
    </row>
    <row r="6" spans="1:43" ht="27" customHeight="1" x14ac:dyDescent="0.2">
      <c r="A6" s="2753"/>
      <c r="B6" s="2258"/>
      <c r="C6" s="2258"/>
      <c r="D6" s="2258"/>
      <c r="E6" s="2258"/>
      <c r="F6" s="2258"/>
      <c r="G6" s="2258"/>
      <c r="H6" s="2258"/>
      <c r="I6" s="2258"/>
      <c r="J6" s="2258"/>
      <c r="K6" s="2258"/>
      <c r="L6" s="2258"/>
      <c r="M6" s="2258"/>
      <c r="N6" s="1704"/>
      <c r="O6" s="1705"/>
      <c r="P6" s="2259"/>
      <c r="Q6" s="2260"/>
      <c r="R6" s="2260"/>
      <c r="S6" s="2260"/>
      <c r="T6" s="2260"/>
      <c r="U6" s="2260"/>
      <c r="V6" s="2260"/>
      <c r="W6" s="2260"/>
      <c r="X6" s="2261"/>
      <c r="Y6" s="1706"/>
      <c r="Z6" s="1706"/>
      <c r="AA6" s="1706"/>
      <c r="AB6" s="1706"/>
      <c r="AC6" s="1706"/>
      <c r="AD6" s="1706"/>
      <c r="AE6" s="1706"/>
      <c r="AF6" s="1706"/>
      <c r="AG6" s="1706"/>
      <c r="AH6" s="1706"/>
      <c r="AI6" s="1706"/>
      <c r="AJ6" s="1706"/>
      <c r="AK6" s="1706"/>
      <c r="AL6" s="1706"/>
      <c r="AM6" s="1706"/>
      <c r="AN6" s="1706"/>
      <c r="AO6" s="2259"/>
      <c r="AP6" s="2260"/>
      <c r="AQ6" s="2754"/>
    </row>
    <row r="7" spans="1:43" s="1710" customFormat="1" ht="58.5" customHeight="1" x14ac:dyDescent="0.25">
      <c r="A7" s="2335" t="s">
        <v>5</v>
      </c>
      <c r="B7" s="2264" t="s">
        <v>6</v>
      </c>
      <c r="C7" s="2755"/>
      <c r="D7" s="2545" t="s">
        <v>5</v>
      </c>
      <c r="E7" s="2545" t="s">
        <v>7</v>
      </c>
      <c r="F7" s="2545"/>
      <c r="G7" s="2545" t="s">
        <v>5</v>
      </c>
      <c r="H7" s="2545" t="s">
        <v>8</v>
      </c>
      <c r="I7" s="2545"/>
      <c r="J7" s="2545" t="s">
        <v>5</v>
      </c>
      <c r="K7" s="2545" t="s">
        <v>9</v>
      </c>
      <c r="L7" s="2545" t="s">
        <v>10</v>
      </c>
      <c r="M7" s="2545" t="s">
        <v>11</v>
      </c>
      <c r="N7" s="2545" t="s">
        <v>12</v>
      </c>
      <c r="O7" s="2545" t="s">
        <v>13</v>
      </c>
      <c r="P7" s="2545" t="s">
        <v>3</v>
      </c>
      <c r="Q7" s="2576" t="s">
        <v>14</v>
      </c>
      <c r="R7" s="2757" t="s">
        <v>15</v>
      </c>
      <c r="S7" s="2545" t="s">
        <v>16</v>
      </c>
      <c r="T7" s="2545" t="s">
        <v>17</v>
      </c>
      <c r="U7" s="2545" t="s">
        <v>18</v>
      </c>
      <c r="V7" s="2760" t="s">
        <v>15</v>
      </c>
      <c r="W7" s="2575" t="s">
        <v>5</v>
      </c>
      <c r="X7" s="2545" t="s">
        <v>19</v>
      </c>
      <c r="Y7" s="2240" t="s">
        <v>20</v>
      </c>
      <c r="Z7" s="2241"/>
      <c r="AA7" s="2242" t="s">
        <v>21</v>
      </c>
      <c r="AB7" s="2243"/>
      <c r="AC7" s="2243"/>
      <c r="AD7" s="2243"/>
      <c r="AE7" s="2244" t="s">
        <v>22</v>
      </c>
      <c r="AF7" s="2245"/>
      <c r="AG7" s="2245"/>
      <c r="AH7" s="2245"/>
      <c r="AI7" s="2245"/>
      <c r="AJ7" s="2245"/>
      <c r="AK7" s="2242" t="s">
        <v>23</v>
      </c>
      <c r="AL7" s="2243"/>
      <c r="AM7" s="2243"/>
      <c r="AN7" s="2337" t="s">
        <v>24</v>
      </c>
      <c r="AO7" s="2758" t="s">
        <v>25</v>
      </c>
      <c r="AP7" s="2758" t="s">
        <v>26</v>
      </c>
      <c r="AQ7" s="2548" t="s">
        <v>27</v>
      </c>
    </row>
    <row r="8" spans="1:43" s="1710" customFormat="1" ht="117" customHeight="1" x14ac:dyDescent="0.25">
      <c r="A8" s="2336"/>
      <c r="B8" s="2266"/>
      <c r="C8" s="2756"/>
      <c r="D8" s="2545"/>
      <c r="E8" s="2545"/>
      <c r="F8" s="2545"/>
      <c r="G8" s="2545"/>
      <c r="H8" s="2545"/>
      <c r="I8" s="2545"/>
      <c r="J8" s="2545"/>
      <c r="K8" s="2545"/>
      <c r="L8" s="2545"/>
      <c r="M8" s="2545"/>
      <c r="N8" s="2545"/>
      <c r="O8" s="2545"/>
      <c r="P8" s="2545"/>
      <c r="Q8" s="2576"/>
      <c r="R8" s="2757"/>
      <c r="S8" s="2545"/>
      <c r="T8" s="2545"/>
      <c r="U8" s="2545"/>
      <c r="V8" s="2761"/>
      <c r="W8" s="2575"/>
      <c r="X8" s="2545"/>
      <c r="Y8" s="1946" t="s">
        <v>28</v>
      </c>
      <c r="Z8" s="1947" t="s">
        <v>2414</v>
      </c>
      <c r="AA8" s="1948" t="s">
        <v>30</v>
      </c>
      <c r="AB8" s="1948" t="s">
        <v>31</v>
      </c>
      <c r="AC8" s="1948" t="s">
        <v>138</v>
      </c>
      <c r="AD8" s="1948" t="s">
        <v>32</v>
      </c>
      <c r="AE8" s="1949" t="s">
        <v>33</v>
      </c>
      <c r="AF8" s="1950" t="s">
        <v>34</v>
      </c>
      <c r="AG8" s="1949" t="s">
        <v>35</v>
      </c>
      <c r="AH8" s="1950" t="s">
        <v>36</v>
      </c>
      <c r="AI8" s="1949" t="s">
        <v>2415</v>
      </c>
      <c r="AJ8" s="1949" t="s">
        <v>227</v>
      </c>
      <c r="AK8" s="1948" t="s">
        <v>39</v>
      </c>
      <c r="AL8" s="1948" t="s">
        <v>40</v>
      </c>
      <c r="AM8" s="1948" t="s">
        <v>2416</v>
      </c>
      <c r="AN8" s="2338"/>
      <c r="AO8" s="2759"/>
      <c r="AP8" s="2759"/>
      <c r="AQ8" s="2548"/>
    </row>
    <row r="9" spans="1:43" s="308" customFormat="1" ht="33" customHeight="1" x14ac:dyDescent="0.25">
      <c r="A9" s="1951">
        <v>3</v>
      </c>
      <c r="B9" s="1952" t="s">
        <v>2417</v>
      </c>
      <c r="C9" s="1953"/>
      <c r="D9" s="1953"/>
      <c r="E9" s="1953"/>
      <c r="F9" s="1953"/>
      <c r="G9" s="1953"/>
      <c r="H9" s="1953"/>
      <c r="I9" s="1953"/>
      <c r="J9" s="1953"/>
      <c r="K9" s="420"/>
      <c r="L9" s="420"/>
      <c r="M9" s="1953"/>
      <c r="N9" s="1953"/>
      <c r="O9" s="1953"/>
      <c r="P9" s="420"/>
      <c r="Q9" s="1953"/>
      <c r="R9" s="1954"/>
      <c r="S9" s="420"/>
      <c r="T9" s="420"/>
      <c r="U9" s="420"/>
      <c r="V9" s="1955"/>
      <c r="W9" s="1956"/>
      <c r="X9" s="421"/>
      <c r="Y9" s="1953"/>
      <c r="Z9" s="1953"/>
      <c r="AA9" s="1953"/>
      <c r="AB9" s="1953"/>
      <c r="AC9" s="1953"/>
      <c r="AD9" s="1953"/>
      <c r="AE9" s="1953"/>
      <c r="AF9" s="1953"/>
      <c r="AG9" s="1953"/>
      <c r="AH9" s="1953"/>
      <c r="AI9" s="1953"/>
      <c r="AJ9" s="1953"/>
      <c r="AK9" s="1953"/>
      <c r="AL9" s="1953"/>
      <c r="AM9" s="1953"/>
      <c r="AN9" s="1953"/>
      <c r="AO9" s="2762"/>
      <c r="AP9" s="2762"/>
      <c r="AQ9" s="2763"/>
    </row>
    <row r="10" spans="1:43" s="308" customFormat="1" ht="36.75" customHeight="1" x14ac:dyDescent="0.25">
      <c r="A10" s="1957"/>
      <c r="B10" s="1711"/>
      <c r="C10" s="1958"/>
      <c r="D10" s="1959">
        <v>9</v>
      </c>
      <c r="E10" s="2764" t="s">
        <v>2418</v>
      </c>
      <c r="F10" s="2765"/>
      <c r="G10" s="2765"/>
      <c r="H10" s="2765"/>
      <c r="I10" s="2765"/>
      <c r="J10" s="2765"/>
      <c r="K10" s="2765"/>
      <c r="L10" s="1960"/>
      <c r="M10" s="1961"/>
      <c r="N10" s="1961"/>
      <c r="O10" s="1961"/>
      <c r="P10" s="1960"/>
      <c r="Q10" s="1961"/>
      <c r="R10" s="1962"/>
      <c r="S10" s="1960"/>
      <c r="T10" s="1960"/>
      <c r="U10" s="1960"/>
      <c r="V10" s="1963"/>
      <c r="W10" s="1964"/>
      <c r="X10" s="1965"/>
      <c r="Y10" s="1961"/>
      <c r="Z10" s="1961"/>
      <c r="AA10" s="1961"/>
      <c r="AB10" s="1961"/>
      <c r="AC10" s="1961"/>
      <c r="AD10" s="1961"/>
      <c r="AE10" s="1961"/>
      <c r="AF10" s="1961"/>
      <c r="AG10" s="1961"/>
      <c r="AH10" s="1961"/>
      <c r="AI10" s="1961"/>
      <c r="AJ10" s="1961"/>
      <c r="AK10" s="1961"/>
      <c r="AL10" s="1961"/>
      <c r="AM10" s="1961"/>
      <c r="AN10" s="1961"/>
      <c r="AO10" s="2766"/>
      <c r="AP10" s="2766"/>
      <c r="AQ10" s="2767"/>
    </row>
    <row r="11" spans="1:43" ht="34.5" customHeight="1" x14ac:dyDescent="0.2">
      <c r="A11" s="1966"/>
      <c r="B11" s="1713"/>
      <c r="C11" s="1714"/>
      <c r="D11" s="1717"/>
      <c r="E11" s="652"/>
      <c r="F11" s="653"/>
      <c r="G11" s="151">
        <v>29</v>
      </c>
      <c r="H11" s="2768" t="s">
        <v>2419</v>
      </c>
      <c r="I11" s="2769"/>
      <c r="J11" s="2769"/>
      <c r="K11" s="2769"/>
      <c r="L11" s="1967"/>
      <c r="M11" s="1968"/>
      <c r="N11" s="1968"/>
      <c r="O11" s="1968"/>
      <c r="P11" s="1967"/>
      <c r="Q11" s="1968"/>
      <c r="R11" s="1969"/>
      <c r="S11" s="1967"/>
      <c r="T11" s="1967"/>
      <c r="U11" s="1967"/>
      <c r="V11" s="1970"/>
      <c r="W11" s="1971"/>
      <c r="X11" s="1972"/>
      <c r="Y11" s="1968"/>
      <c r="Z11" s="1968"/>
      <c r="AA11" s="1968"/>
      <c r="AB11" s="1968"/>
      <c r="AC11" s="1968"/>
      <c r="AD11" s="1968"/>
      <c r="AE11" s="1968"/>
      <c r="AF11" s="1968"/>
      <c r="AG11" s="1968"/>
      <c r="AH11" s="1968"/>
      <c r="AI11" s="1968"/>
      <c r="AJ11" s="1968"/>
      <c r="AK11" s="1968"/>
      <c r="AL11" s="1968"/>
      <c r="AM11" s="1968"/>
      <c r="AN11" s="1968"/>
      <c r="AO11" s="2770"/>
      <c r="AP11" s="2770"/>
      <c r="AQ11" s="2771"/>
    </row>
    <row r="12" spans="1:43" s="109" customFormat="1" ht="58.5" customHeight="1" x14ac:dyDescent="0.2">
      <c r="A12" s="1973"/>
      <c r="B12" s="1974"/>
      <c r="C12" s="1975"/>
      <c r="D12" s="1049"/>
      <c r="E12" s="1974"/>
      <c r="F12" s="1975"/>
      <c r="G12" s="2772"/>
      <c r="H12" s="2775"/>
      <c r="I12" s="2776"/>
      <c r="J12" s="2781">
        <v>114</v>
      </c>
      <c r="K12" s="2783" t="s">
        <v>2420</v>
      </c>
      <c r="L12" s="2783" t="s">
        <v>2421</v>
      </c>
      <c r="M12" s="2794">
        <v>30</v>
      </c>
      <c r="N12" s="2772" t="s">
        <v>2422</v>
      </c>
      <c r="O12" s="2772" t="s">
        <v>2423</v>
      </c>
      <c r="P12" s="2783" t="s">
        <v>2424</v>
      </c>
      <c r="Q12" s="2803">
        <f>+V12/R12</f>
        <v>1</v>
      </c>
      <c r="R12" s="2800">
        <v>1060557735</v>
      </c>
      <c r="S12" s="2783" t="s">
        <v>2425</v>
      </c>
      <c r="T12" s="2783" t="s">
        <v>2426</v>
      </c>
      <c r="U12" s="2787" t="s">
        <v>2427</v>
      </c>
      <c r="V12" s="2789">
        <f>678800+169021200+890857735</f>
        <v>1060557735</v>
      </c>
      <c r="W12" s="2790"/>
      <c r="X12" s="2772"/>
      <c r="Y12" s="2785">
        <v>26</v>
      </c>
      <c r="Z12" s="2785">
        <v>26</v>
      </c>
      <c r="AA12" s="2772"/>
      <c r="AB12" s="2772"/>
      <c r="AC12" s="2785">
        <v>52</v>
      </c>
      <c r="AD12" s="2785"/>
      <c r="AE12" s="2785"/>
      <c r="AF12" s="2785"/>
      <c r="AG12" s="2785"/>
      <c r="AH12" s="2785"/>
      <c r="AI12" s="2785"/>
      <c r="AJ12" s="2785"/>
      <c r="AK12" s="2785"/>
      <c r="AL12" s="2785"/>
      <c r="AM12" s="2785"/>
      <c r="AN12" s="2785">
        <f>+Y12+Z12</f>
        <v>52</v>
      </c>
      <c r="AO12" s="2810">
        <v>43101</v>
      </c>
      <c r="AP12" s="2810">
        <v>43465</v>
      </c>
      <c r="AQ12" s="2808" t="s">
        <v>2428</v>
      </c>
    </row>
    <row r="13" spans="1:43" s="109" customFormat="1" ht="58.5" customHeight="1" x14ac:dyDescent="0.2">
      <c r="A13" s="1973"/>
      <c r="B13" s="1974"/>
      <c r="C13" s="1975"/>
      <c r="D13" s="1049"/>
      <c r="E13" s="1974"/>
      <c r="F13" s="1975"/>
      <c r="G13" s="2773"/>
      <c r="H13" s="2777"/>
      <c r="I13" s="2778"/>
      <c r="J13" s="2782"/>
      <c r="K13" s="2784"/>
      <c r="L13" s="2784"/>
      <c r="M13" s="2796"/>
      <c r="N13" s="2774"/>
      <c r="O13" s="2774"/>
      <c r="P13" s="2784"/>
      <c r="Q13" s="2805"/>
      <c r="R13" s="2802"/>
      <c r="S13" s="2784"/>
      <c r="T13" s="2784"/>
      <c r="U13" s="2788"/>
      <c r="V13" s="2789"/>
      <c r="W13" s="2791"/>
      <c r="X13" s="2774"/>
      <c r="Y13" s="2786"/>
      <c r="Z13" s="2786"/>
      <c r="AA13" s="2774"/>
      <c r="AB13" s="2774"/>
      <c r="AC13" s="2786"/>
      <c r="AD13" s="2786"/>
      <c r="AE13" s="2786"/>
      <c r="AF13" s="2786"/>
      <c r="AG13" s="2786"/>
      <c r="AH13" s="2786"/>
      <c r="AI13" s="2786"/>
      <c r="AJ13" s="2786"/>
      <c r="AK13" s="2786"/>
      <c r="AL13" s="2786"/>
      <c r="AM13" s="2786"/>
      <c r="AN13" s="2786"/>
      <c r="AO13" s="2811"/>
      <c r="AP13" s="2811"/>
      <c r="AQ13" s="2809"/>
    </row>
    <row r="14" spans="1:43" s="109" customFormat="1" ht="58.5" customHeight="1" x14ac:dyDescent="0.2">
      <c r="A14" s="1973"/>
      <c r="B14" s="1974"/>
      <c r="C14" s="1975"/>
      <c r="D14" s="1049"/>
      <c r="E14" s="1974"/>
      <c r="F14" s="1975"/>
      <c r="G14" s="2773"/>
      <c r="H14" s="2777"/>
      <c r="I14" s="2778"/>
      <c r="J14" s="2781">
        <v>114</v>
      </c>
      <c r="K14" s="2783" t="s">
        <v>2429</v>
      </c>
      <c r="L14" s="2783" t="s">
        <v>2430</v>
      </c>
      <c r="M14" s="2794">
        <v>30</v>
      </c>
      <c r="N14" s="2772" t="s">
        <v>2431</v>
      </c>
      <c r="O14" s="2772" t="s">
        <v>2432</v>
      </c>
      <c r="P14" s="2783" t="s">
        <v>2433</v>
      </c>
      <c r="Q14" s="2797">
        <f>(V14+V16+V17)/R14</f>
        <v>0.45551998929828352</v>
      </c>
      <c r="R14" s="2800">
        <f>V14+V16+V17+V18+V20+V21+V22+V24+V25</f>
        <v>3183175347</v>
      </c>
      <c r="S14" s="2783" t="s">
        <v>2434</v>
      </c>
      <c r="T14" s="2148" t="s">
        <v>2435</v>
      </c>
      <c r="U14" s="2787" t="s">
        <v>2436</v>
      </c>
      <c r="V14" s="2789">
        <v>323600000</v>
      </c>
      <c r="W14" s="1726"/>
      <c r="X14" s="1717"/>
      <c r="Y14" s="2772">
        <v>85275</v>
      </c>
      <c r="Z14" s="2772">
        <v>85275</v>
      </c>
      <c r="AA14" s="2785">
        <v>25580</v>
      </c>
      <c r="AB14" s="2398">
        <v>42638</v>
      </c>
      <c r="AC14" s="2398">
        <v>68221</v>
      </c>
      <c r="AD14" s="2398">
        <v>17055</v>
      </c>
      <c r="AE14" s="2398">
        <v>8528</v>
      </c>
      <c r="AF14" s="2398">
        <v>8527.5</v>
      </c>
      <c r="AG14" s="2812"/>
      <c r="AH14" s="2812"/>
      <c r="AI14" s="2812"/>
      <c r="AJ14" s="2812"/>
      <c r="AK14" s="2812"/>
      <c r="AL14" s="2819"/>
      <c r="AM14" s="2812"/>
      <c r="AN14" s="2398">
        <f>Y14+Z14</f>
        <v>170550</v>
      </c>
      <c r="AO14" s="2813">
        <v>43101</v>
      </c>
      <c r="AP14" s="2813">
        <v>43465</v>
      </c>
      <c r="AQ14" s="2808" t="s">
        <v>2428</v>
      </c>
    </row>
    <row r="15" spans="1:43" s="109" customFormat="1" ht="58.5" customHeight="1" x14ac:dyDescent="0.2">
      <c r="A15" s="1973"/>
      <c r="B15" s="1974"/>
      <c r="C15" s="1975"/>
      <c r="D15" s="1049"/>
      <c r="E15" s="1974"/>
      <c r="F15" s="1975"/>
      <c r="G15" s="2773"/>
      <c r="H15" s="2777"/>
      <c r="I15" s="2778"/>
      <c r="J15" s="2792"/>
      <c r="K15" s="2793"/>
      <c r="L15" s="2793"/>
      <c r="M15" s="2795"/>
      <c r="N15" s="2773"/>
      <c r="O15" s="2773"/>
      <c r="P15" s="2793"/>
      <c r="Q15" s="2798"/>
      <c r="R15" s="2801"/>
      <c r="S15" s="2793"/>
      <c r="T15" s="2218"/>
      <c r="U15" s="2788"/>
      <c r="V15" s="2789"/>
      <c r="W15" s="1976"/>
      <c r="X15" s="1049"/>
      <c r="Y15" s="2773"/>
      <c r="Z15" s="2773"/>
      <c r="AA15" s="2822"/>
      <c r="AB15" s="2399"/>
      <c r="AC15" s="2399"/>
      <c r="AD15" s="2399"/>
      <c r="AE15" s="2399"/>
      <c r="AF15" s="2399"/>
      <c r="AG15" s="2396"/>
      <c r="AH15" s="2396"/>
      <c r="AI15" s="2396"/>
      <c r="AJ15" s="2396"/>
      <c r="AK15" s="2396"/>
      <c r="AL15" s="2820"/>
      <c r="AM15" s="2396"/>
      <c r="AN15" s="2399"/>
      <c r="AO15" s="2814"/>
      <c r="AP15" s="2814"/>
      <c r="AQ15" s="2816"/>
    </row>
    <row r="16" spans="1:43" s="109" customFormat="1" ht="58.5" customHeight="1" x14ac:dyDescent="0.2">
      <c r="A16" s="1973"/>
      <c r="B16" s="1974"/>
      <c r="C16" s="1975"/>
      <c r="D16" s="1049"/>
      <c r="E16" s="1974"/>
      <c r="F16" s="1975"/>
      <c r="G16" s="2773"/>
      <c r="H16" s="2777"/>
      <c r="I16" s="2778"/>
      <c r="J16" s="2792"/>
      <c r="K16" s="2793"/>
      <c r="L16" s="2793"/>
      <c r="M16" s="2795"/>
      <c r="N16" s="2773"/>
      <c r="O16" s="2773"/>
      <c r="P16" s="2793"/>
      <c r="Q16" s="2798"/>
      <c r="R16" s="2801"/>
      <c r="S16" s="2793"/>
      <c r="T16" s="2218"/>
      <c r="U16" s="1722" t="s">
        <v>2437</v>
      </c>
      <c r="V16" s="1977">
        <v>1036000000</v>
      </c>
      <c r="W16" s="1727"/>
      <c r="X16" s="1716"/>
      <c r="Y16" s="2773"/>
      <c r="Z16" s="2773"/>
      <c r="AA16" s="2822"/>
      <c r="AB16" s="2399"/>
      <c r="AC16" s="2399"/>
      <c r="AD16" s="2399"/>
      <c r="AE16" s="2399"/>
      <c r="AF16" s="2399"/>
      <c r="AG16" s="2396"/>
      <c r="AH16" s="2396"/>
      <c r="AI16" s="2396"/>
      <c r="AJ16" s="2396"/>
      <c r="AK16" s="2396"/>
      <c r="AL16" s="2820"/>
      <c r="AM16" s="2396"/>
      <c r="AN16" s="2399"/>
      <c r="AO16" s="2814"/>
      <c r="AP16" s="2814"/>
      <c r="AQ16" s="2816"/>
    </row>
    <row r="17" spans="1:43" s="109" customFormat="1" ht="58.5" customHeight="1" x14ac:dyDescent="0.2">
      <c r="A17" s="1973"/>
      <c r="B17" s="1974"/>
      <c r="C17" s="1975"/>
      <c r="D17" s="1049"/>
      <c r="E17" s="1974"/>
      <c r="F17" s="1975"/>
      <c r="G17" s="2773"/>
      <c r="H17" s="2777"/>
      <c r="I17" s="2778"/>
      <c r="J17" s="2782"/>
      <c r="K17" s="2784"/>
      <c r="L17" s="2784"/>
      <c r="M17" s="2796"/>
      <c r="N17" s="2773"/>
      <c r="O17" s="2773"/>
      <c r="P17" s="2793"/>
      <c r="Q17" s="2799"/>
      <c r="R17" s="2801"/>
      <c r="S17" s="2793"/>
      <c r="T17" s="2179"/>
      <c r="U17" s="1708" t="s">
        <v>2438</v>
      </c>
      <c r="V17" s="1977">
        <v>90400000</v>
      </c>
      <c r="W17" s="1727">
        <v>20</v>
      </c>
      <c r="X17" s="1716" t="s">
        <v>72</v>
      </c>
      <c r="Y17" s="2773"/>
      <c r="Z17" s="2773"/>
      <c r="AA17" s="2822"/>
      <c r="AB17" s="2399"/>
      <c r="AC17" s="2399"/>
      <c r="AD17" s="2399"/>
      <c r="AE17" s="2399"/>
      <c r="AF17" s="2399"/>
      <c r="AG17" s="2396"/>
      <c r="AH17" s="2396"/>
      <c r="AI17" s="2396"/>
      <c r="AJ17" s="2396"/>
      <c r="AK17" s="2396"/>
      <c r="AL17" s="2820"/>
      <c r="AM17" s="2396"/>
      <c r="AN17" s="2399"/>
      <c r="AO17" s="2814"/>
      <c r="AP17" s="2814"/>
      <c r="AQ17" s="2816"/>
    </row>
    <row r="18" spans="1:43" s="109" customFormat="1" ht="58.5" customHeight="1" x14ac:dyDescent="0.2">
      <c r="A18" s="1973"/>
      <c r="B18" s="1974"/>
      <c r="C18" s="1975"/>
      <c r="D18" s="1049"/>
      <c r="E18" s="1974"/>
      <c r="F18" s="1975"/>
      <c r="G18" s="2773"/>
      <c r="H18" s="2777"/>
      <c r="I18" s="2778"/>
      <c r="J18" s="2781">
        <v>115</v>
      </c>
      <c r="K18" s="2118" t="s">
        <v>2439</v>
      </c>
      <c r="L18" s="2783" t="s">
        <v>2430</v>
      </c>
      <c r="M18" s="2794">
        <v>35</v>
      </c>
      <c r="N18" s="2773"/>
      <c r="O18" s="2773"/>
      <c r="P18" s="2793"/>
      <c r="Q18" s="2803">
        <f>(V18+V20+V21)/R14</f>
        <v>0.45215734136558705</v>
      </c>
      <c r="R18" s="2801"/>
      <c r="S18" s="2793"/>
      <c r="T18" s="2148" t="s">
        <v>2440</v>
      </c>
      <c r="U18" s="2806" t="s">
        <v>2441</v>
      </c>
      <c r="V18" s="2789">
        <v>76365000</v>
      </c>
      <c r="W18" s="2807">
        <v>39</v>
      </c>
      <c r="X18" s="2773" t="s">
        <v>2442</v>
      </c>
      <c r="Y18" s="2773"/>
      <c r="Z18" s="2773"/>
      <c r="AA18" s="2822"/>
      <c r="AB18" s="2399"/>
      <c r="AC18" s="2399"/>
      <c r="AD18" s="2399"/>
      <c r="AE18" s="2399"/>
      <c r="AF18" s="2399"/>
      <c r="AG18" s="2396"/>
      <c r="AH18" s="2396"/>
      <c r="AI18" s="2396"/>
      <c r="AJ18" s="2396"/>
      <c r="AK18" s="2396"/>
      <c r="AL18" s="2820"/>
      <c r="AM18" s="2396"/>
      <c r="AN18" s="2399"/>
      <c r="AO18" s="2814"/>
      <c r="AP18" s="2814"/>
      <c r="AQ18" s="2816"/>
    </row>
    <row r="19" spans="1:43" s="109" customFormat="1" ht="58.5" customHeight="1" x14ac:dyDescent="0.2">
      <c r="A19" s="1973"/>
      <c r="B19" s="1974"/>
      <c r="C19" s="1975"/>
      <c r="D19" s="1049"/>
      <c r="E19" s="1974"/>
      <c r="F19" s="1975"/>
      <c r="G19" s="2773"/>
      <c r="H19" s="2777"/>
      <c r="I19" s="2778"/>
      <c r="J19" s="2792"/>
      <c r="K19" s="2818"/>
      <c r="L19" s="2793"/>
      <c r="M19" s="2795"/>
      <c r="N19" s="2773"/>
      <c r="O19" s="2773"/>
      <c r="P19" s="2793"/>
      <c r="Q19" s="2804"/>
      <c r="R19" s="2801"/>
      <c r="S19" s="2793"/>
      <c r="T19" s="2218"/>
      <c r="U19" s="2193"/>
      <c r="V19" s="2789"/>
      <c r="W19" s="2807"/>
      <c r="X19" s="2773"/>
      <c r="Y19" s="2773"/>
      <c r="Z19" s="2773"/>
      <c r="AA19" s="2822"/>
      <c r="AB19" s="2399"/>
      <c r="AC19" s="2399"/>
      <c r="AD19" s="2399"/>
      <c r="AE19" s="2399"/>
      <c r="AF19" s="2399"/>
      <c r="AG19" s="2396"/>
      <c r="AH19" s="2396"/>
      <c r="AI19" s="2396"/>
      <c r="AJ19" s="2396"/>
      <c r="AK19" s="2396"/>
      <c r="AL19" s="2820"/>
      <c r="AM19" s="2396"/>
      <c r="AN19" s="2399"/>
      <c r="AO19" s="2814"/>
      <c r="AP19" s="2814"/>
      <c r="AQ19" s="2816"/>
    </row>
    <row r="20" spans="1:43" s="109" customFormat="1" ht="58.5" customHeight="1" x14ac:dyDescent="0.2">
      <c r="A20" s="1973"/>
      <c r="B20" s="1974"/>
      <c r="C20" s="1975"/>
      <c r="D20" s="1049"/>
      <c r="E20" s="1974"/>
      <c r="F20" s="1975"/>
      <c r="G20" s="2773"/>
      <c r="H20" s="2777"/>
      <c r="I20" s="2778"/>
      <c r="J20" s="2792"/>
      <c r="K20" s="2818"/>
      <c r="L20" s="2793"/>
      <c r="M20" s="2795"/>
      <c r="N20" s="2773"/>
      <c r="O20" s="2773"/>
      <c r="P20" s="2793"/>
      <c r="Q20" s="2804"/>
      <c r="R20" s="2801"/>
      <c r="S20" s="2793"/>
      <c r="T20" s="2218"/>
      <c r="U20" s="1709" t="s">
        <v>2443</v>
      </c>
      <c r="V20" s="1977">
        <v>72060000</v>
      </c>
      <c r="W20" s="1727">
        <v>41</v>
      </c>
      <c r="X20" s="1716" t="s">
        <v>2444</v>
      </c>
      <c r="Y20" s="2773"/>
      <c r="Z20" s="2773"/>
      <c r="AA20" s="2822"/>
      <c r="AB20" s="2399"/>
      <c r="AC20" s="2399"/>
      <c r="AD20" s="2399"/>
      <c r="AE20" s="2399"/>
      <c r="AF20" s="2399"/>
      <c r="AG20" s="2396"/>
      <c r="AH20" s="2396"/>
      <c r="AI20" s="2396"/>
      <c r="AJ20" s="2396"/>
      <c r="AK20" s="2396"/>
      <c r="AL20" s="2820"/>
      <c r="AM20" s="2396"/>
      <c r="AN20" s="2399"/>
      <c r="AO20" s="2814"/>
      <c r="AP20" s="2814"/>
      <c r="AQ20" s="2816"/>
    </row>
    <row r="21" spans="1:43" s="109" customFormat="1" ht="58.5" customHeight="1" x14ac:dyDescent="0.2">
      <c r="A21" s="1973"/>
      <c r="B21" s="1974"/>
      <c r="C21" s="1975"/>
      <c r="D21" s="1049"/>
      <c r="E21" s="1974"/>
      <c r="F21" s="1975"/>
      <c r="G21" s="2773"/>
      <c r="H21" s="2777"/>
      <c r="I21" s="2778"/>
      <c r="J21" s="2782"/>
      <c r="K21" s="2119"/>
      <c r="L21" s="2793"/>
      <c r="M21" s="2796"/>
      <c r="N21" s="2773"/>
      <c r="O21" s="2773"/>
      <c r="P21" s="2793"/>
      <c r="Q21" s="2805"/>
      <c r="R21" s="2801"/>
      <c r="S21" s="2793"/>
      <c r="T21" s="2179"/>
      <c r="U21" s="1715" t="s">
        <v>2445</v>
      </c>
      <c r="V21" s="1977">
        <v>1290871102</v>
      </c>
      <c r="W21" s="1727">
        <v>83</v>
      </c>
      <c r="X21" s="1716" t="s">
        <v>2446</v>
      </c>
      <c r="Y21" s="2773"/>
      <c r="Z21" s="2773"/>
      <c r="AA21" s="2822"/>
      <c r="AB21" s="2399"/>
      <c r="AC21" s="2399"/>
      <c r="AD21" s="2399"/>
      <c r="AE21" s="2399"/>
      <c r="AF21" s="2399"/>
      <c r="AG21" s="2396"/>
      <c r="AH21" s="2396"/>
      <c r="AI21" s="2396"/>
      <c r="AJ21" s="2396"/>
      <c r="AK21" s="2396"/>
      <c r="AL21" s="2820"/>
      <c r="AM21" s="2396"/>
      <c r="AN21" s="2399"/>
      <c r="AO21" s="2814"/>
      <c r="AP21" s="2814"/>
      <c r="AQ21" s="2816"/>
    </row>
    <row r="22" spans="1:43" s="109" customFormat="1" ht="58.5" customHeight="1" x14ac:dyDescent="0.2">
      <c r="A22" s="1973"/>
      <c r="B22" s="1974"/>
      <c r="C22" s="1975"/>
      <c r="D22" s="1049"/>
      <c r="E22" s="1974"/>
      <c r="F22" s="1975"/>
      <c r="G22" s="2773"/>
      <c r="H22" s="2777"/>
      <c r="I22" s="2778"/>
      <c r="J22" s="2781">
        <v>116</v>
      </c>
      <c r="K22" s="2148" t="s">
        <v>2447</v>
      </c>
      <c r="L22" s="2823" t="s">
        <v>2430</v>
      </c>
      <c r="M22" s="2794">
        <v>10</v>
      </c>
      <c r="N22" s="2773"/>
      <c r="O22" s="2773"/>
      <c r="P22" s="2793"/>
      <c r="Q22" s="2803">
        <f>(V22+V24+V25)/R14</f>
        <v>9.2322669336129412E-2</v>
      </c>
      <c r="R22" s="2801"/>
      <c r="S22" s="2793"/>
      <c r="T22" s="2148" t="s">
        <v>2448</v>
      </c>
      <c r="U22" s="2787" t="s">
        <v>2441</v>
      </c>
      <c r="V22" s="2789">
        <v>47630000</v>
      </c>
      <c r="W22" s="2807">
        <v>88</v>
      </c>
      <c r="X22" s="2773" t="s">
        <v>2444</v>
      </c>
      <c r="Y22" s="2773"/>
      <c r="Z22" s="2773"/>
      <c r="AA22" s="2822"/>
      <c r="AB22" s="2399"/>
      <c r="AC22" s="2399"/>
      <c r="AD22" s="2399"/>
      <c r="AE22" s="2399"/>
      <c r="AF22" s="2399"/>
      <c r="AG22" s="2396"/>
      <c r="AH22" s="2396"/>
      <c r="AI22" s="2396"/>
      <c r="AJ22" s="2396"/>
      <c r="AK22" s="2396"/>
      <c r="AL22" s="2820"/>
      <c r="AM22" s="2396"/>
      <c r="AN22" s="2399"/>
      <c r="AO22" s="2814"/>
      <c r="AP22" s="2814"/>
      <c r="AQ22" s="2816"/>
    </row>
    <row r="23" spans="1:43" s="109" customFormat="1" ht="58.5" customHeight="1" x14ac:dyDescent="0.2">
      <c r="A23" s="1973"/>
      <c r="B23" s="1974"/>
      <c r="C23" s="1975"/>
      <c r="D23" s="1049"/>
      <c r="E23" s="1974"/>
      <c r="F23" s="1975"/>
      <c r="G23" s="2773"/>
      <c r="H23" s="2777"/>
      <c r="I23" s="2778"/>
      <c r="J23" s="2792"/>
      <c r="K23" s="2218"/>
      <c r="L23" s="2823"/>
      <c r="M23" s="2795"/>
      <c r="N23" s="2773"/>
      <c r="O23" s="2773"/>
      <c r="P23" s="2793"/>
      <c r="Q23" s="2804"/>
      <c r="R23" s="2801"/>
      <c r="S23" s="2793"/>
      <c r="T23" s="2218"/>
      <c r="U23" s="2788"/>
      <c r="V23" s="2789"/>
      <c r="W23" s="2807"/>
      <c r="X23" s="2773"/>
      <c r="Y23" s="2773"/>
      <c r="Z23" s="2773"/>
      <c r="AA23" s="2822"/>
      <c r="AB23" s="2399"/>
      <c r="AC23" s="2399"/>
      <c r="AD23" s="2399"/>
      <c r="AE23" s="2399"/>
      <c r="AF23" s="2399"/>
      <c r="AG23" s="2396"/>
      <c r="AH23" s="2396"/>
      <c r="AI23" s="2396"/>
      <c r="AJ23" s="2396"/>
      <c r="AK23" s="2396"/>
      <c r="AL23" s="2820"/>
      <c r="AM23" s="2396"/>
      <c r="AN23" s="2399"/>
      <c r="AO23" s="2814"/>
      <c r="AP23" s="2814"/>
      <c r="AQ23" s="2816"/>
    </row>
    <row r="24" spans="1:43" s="109" customFormat="1" ht="58.5" customHeight="1" x14ac:dyDescent="0.2">
      <c r="A24" s="1973"/>
      <c r="B24" s="1974"/>
      <c r="C24" s="1975"/>
      <c r="D24" s="1049"/>
      <c r="E24" s="1974"/>
      <c r="F24" s="1975"/>
      <c r="G24" s="2773"/>
      <c r="H24" s="2777"/>
      <c r="I24" s="2778"/>
      <c r="J24" s="2792"/>
      <c r="K24" s="2218"/>
      <c r="L24" s="2823"/>
      <c r="M24" s="2795"/>
      <c r="N24" s="2773"/>
      <c r="O24" s="2773"/>
      <c r="P24" s="2793"/>
      <c r="Q24" s="2804"/>
      <c r="R24" s="2801"/>
      <c r="S24" s="2793"/>
      <c r="T24" s="2218"/>
      <c r="U24" s="1722" t="s">
        <v>2449</v>
      </c>
      <c r="V24" s="1977">
        <v>35637000</v>
      </c>
      <c r="W24" s="1976"/>
      <c r="X24" s="1049"/>
      <c r="Y24" s="2773"/>
      <c r="Z24" s="2773"/>
      <c r="AA24" s="2822"/>
      <c r="AB24" s="2399"/>
      <c r="AC24" s="2399"/>
      <c r="AD24" s="2399"/>
      <c r="AE24" s="2399"/>
      <c r="AF24" s="2399"/>
      <c r="AG24" s="2396"/>
      <c r="AH24" s="2396"/>
      <c r="AI24" s="2396"/>
      <c r="AJ24" s="2396"/>
      <c r="AK24" s="2396"/>
      <c r="AL24" s="2820"/>
      <c r="AM24" s="2396"/>
      <c r="AN24" s="2399"/>
      <c r="AO24" s="2814"/>
      <c r="AP24" s="2814"/>
      <c r="AQ24" s="2816"/>
    </row>
    <row r="25" spans="1:43" s="109" customFormat="1" ht="58.5" customHeight="1" x14ac:dyDescent="0.2">
      <c r="A25" s="1973"/>
      <c r="B25" s="1974"/>
      <c r="C25" s="1975"/>
      <c r="D25" s="1049"/>
      <c r="E25" s="1974"/>
      <c r="F25" s="1975"/>
      <c r="G25" s="2774"/>
      <c r="H25" s="2779"/>
      <c r="I25" s="2780"/>
      <c r="J25" s="2782"/>
      <c r="K25" s="2179"/>
      <c r="L25" s="2823"/>
      <c r="M25" s="2796"/>
      <c r="N25" s="2774"/>
      <c r="O25" s="2774"/>
      <c r="P25" s="2784"/>
      <c r="Q25" s="2805"/>
      <c r="R25" s="2802"/>
      <c r="S25" s="2784"/>
      <c r="T25" s="2179"/>
      <c r="U25" s="1722" t="s">
        <v>2445</v>
      </c>
      <c r="V25" s="1977">
        <v>210612245</v>
      </c>
      <c r="W25" s="1978"/>
      <c r="X25" s="1979"/>
      <c r="Y25" s="2774"/>
      <c r="Z25" s="2774"/>
      <c r="AA25" s="2786"/>
      <c r="AB25" s="2400"/>
      <c r="AC25" s="2400"/>
      <c r="AD25" s="2400"/>
      <c r="AE25" s="2400"/>
      <c r="AF25" s="2400"/>
      <c r="AG25" s="2397"/>
      <c r="AH25" s="2397"/>
      <c r="AI25" s="2397"/>
      <c r="AJ25" s="2397"/>
      <c r="AK25" s="2397"/>
      <c r="AL25" s="2821"/>
      <c r="AM25" s="2397"/>
      <c r="AN25" s="2400"/>
      <c r="AO25" s="2815"/>
      <c r="AP25" s="2815"/>
      <c r="AQ25" s="2817"/>
    </row>
    <row r="26" spans="1:43" ht="58.5" customHeight="1" x14ac:dyDescent="0.2">
      <c r="A26" s="1973"/>
      <c r="B26" s="1974"/>
      <c r="C26" s="1975"/>
      <c r="D26" s="1049"/>
      <c r="E26" s="1974"/>
      <c r="F26" s="1975"/>
      <c r="G26" s="151">
        <v>30</v>
      </c>
      <c r="H26" s="2768" t="s">
        <v>2450</v>
      </c>
      <c r="I26" s="2769"/>
      <c r="J26" s="2769"/>
      <c r="K26" s="2769"/>
      <c r="L26" s="1967"/>
      <c r="M26" s="1980"/>
      <c r="N26" s="1968"/>
      <c r="O26" s="1968"/>
      <c r="P26" s="1967"/>
      <c r="Q26" s="1968"/>
      <c r="R26" s="1981"/>
      <c r="S26" s="1967"/>
      <c r="T26" s="1967"/>
      <c r="U26" s="1967"/>
      <c r="V26" s="1982"/>
      <c r="W26" s="1971"/>
      <c r="X26" s="1972"/>
      <c r="Y26" s="1968"/>
      <c r="Z26" s="1968"/>
      <c r="AA26" s="1968"/>
      <c r="AB26" s="1968"/>
      <c r="AC26" s="1968"/>
      <c r="AD26" s="1968"/>
      <c r="AE26" s="1968"/>
      <c r="AF26" s="1968"/>
      <c r="AG26" s="1968"/>
      <c r="AH26" s="1968"/>
      <c r="AI26" s="1968"/>
      <c r="AJ26" s="1968"/>
      <c r="AK26" s="1968"/>
      <c r="AL26" s="1968"/>
      <c r="AM26" s="1968"/>
      <c r="AN26" s="1968"/>
      <c r="AO26" s="1968"/>
      <c r="AP26" s="1968"/>
      <c r="AQ26" s="1983"/>
    </row>
    <row r="27" spans="1:43" s="109" customFormat="1" ht="58.5" customHeight="1" x14ac:dyDescent="0.2">
      <c r="A27" s="1973"/>
      <c r="B27" s="1974"/>
      <c r="C27" s="1975"/>
      <c r="D27" s="1049"/>
      <c r="E27" s="1974"/>
      <c r="F27" s="1975"/>
      <c r="G27" s="450"/>
      <c r="H27" s="2775"/>
      <c r="I27" s="2776"/>
      <c r="J27" s="2781">
        <v>117</v>
      </c>
      <c r="K27" s="2783" t="s">
        <v>2451</v>
      </c>
      <c r="L27" s="2783" t="s">
        <v>2430</v>
      </c>
      <c r="M27" s="2794">
        <v>2</v>
      </c>
      <c r="N27" s="2772" t="s">
        <v>2452</v>
      </c>
      <c r="O27" s="2772" t="s">
        <v>2453</v>
      </c>
      <c r="P27" s="2783" t="s">
        <v>2454</v>
      </c>
      <c r="Q27" s="2797">
        <f>(V27+V30)/R27</f>
        <v>1</v>
      </c>
      <c r="R27" s="2824">
        <f>+V27+V30</f>
        <v>80000000</v>
      </c>
      <c r="S27" s="2783" t="s">
        <v>2455</v>
      </c>
      <c r="T27" s="2783" t="s">
        <v>2456</v>
      </c>
      <c r="U27" s="2787" t="s">
        <v>2457</v>
      </c>
      <c r="V27" s="2828">
        <v>70000000</v>
      </c>
      <c r="W27" s="2831">
        <v>20</v>
      </c>
      <c r="X27" s="2772" t="s">
        <v>72</v>
      </c>
      <c r="Y27" s="2772">
        <v>75</v>
      </c>
      <c r="Z27" s="2772">
        <v>75</v>
      </c>
      <c r="AA27" s="2785"/>
      <c r="AB27" s="2785"/>
      <c r="AC27" s="2785">
        <v>150</v>
      </c>
      <c r="AD27" s="2785"/>
      <c r="AE27" s="2785"/>
      <c r="AF27" s="2785"/>
      <c r="AG27" s="2785"/>
      <c r="AH27" s="2785"/>
      <c r="AI27" s="2785"/>
      <c r="AJ27" s="2785"/>
      <c r="AK27" s="2785"/>
      <c r="AL27" s="2785"/>
      <c r="AM27" s="2785"/>
      <c r="AN27" s="2785">
        <v>150</v>
      </c>
      <c r="AO27" s="2813">
        <v>43101</v>
      </c>
      <c r="AP27" s="2813">
        <v>43465</v>
      </c>
      <c r="AQ27" s="2808" t="s">
        <v>2428</v>
      </c>
    </row>
    <row r="28" spans="1:43" s="109" customFormat="1" ht="58.5" customHeight="1" x14ac:dyDescent="0.2">
      <c r="A28" s="1973"/>
      <c r="B28" s="1974"/>
      <c r="C28" s="1975"/>
      <c r="D28" s="1049"/>
      <c r="E28" s="1974"/>
      <c r="F28" s="1975"/>
      <c r="G28" s="450"/>
      <c r="H28" s="2777"/>
      <c r="I28" s="2778"/>
      <c r="J28" s="2792"/>
      <c r="K28" s="2793"/>
      <c r="L28" s="2793"/>
      <c r="M28" s="2795"/>
      <c r="N28" s="2773"/>
      <c r="O28" s="2773"/>
      <c r="P28" s="2793"/>
      <c r="Q28" s="2798"/>
      <c r="R28" s="2825"/>
      <c r="S28" s="2793"/>
      <c r="T28" s="2793"/>
      <c r="U28" s="2827"/>
      <c r="V28" s="2829"/>
      <c r="W28" s="2832"/>
      <c r="X28" s="2773"/>
      <c r="Y28" s="2773"/>
      <c r="Z28" s="2773"/>
      <c r="AA28" s="2822"/>
      <c r="AB28" s="2822"/>
      <c r="AC28" s="2822"/>
      <c r="AD28" s="2822"/>
      <c r="AE28" s="2822"/>
      <c r="AF28" s="2822"/>
      <c r="AG28" s="2822"/>
      <c r="AH28" s="2822"/>
      <c r="AI28" s="2822"/>
      <c r="AJ28" s="2822"/>
      <c r="AK28" s="2822"/>
      <c r="AL28" s="2822"/>
      <c r="AM28" s="2822"/>
      <c r="AN28" s="2822"/>
      <c r="AO28" s="2814"/>
      <c r="AP28" s="2814"/>
      <c r="AQ28" s="2816"/>
    </row>
    <row r="29" spans="1:43" s="109" customFormat="1" ht="58.5" customHeight="1" x14ac:dyDescent="0.2">
      <c r="A29" s="1973"/>
      <c r="B29" s="1974"/>
      <c r="C29" s="1975"/>
      <c r="D29" s="1049"/>
      <c r="E29" s="1974"/>
      <c r="F29" s="1975"/>
      <c r="G29" s="450"/>
      <c r="H29" s="2777"/>
      <c r="I29" s="2778"/>
      <c r="J29" s="2792"/>
      <c r="K29" s="2793"/>
      <c r="L29" s="2793"/>
      <c r="M29" s="2795"/>
      <c r="N29" s="2773"/>
      <c r="O29" s="2773"/>
      <c r="P29" s="2793"/>
      <c r="Q29" s="2798"/>
      <c r="R29" s="2825"/>
      <c r="S29" s="2793"/>
      <c r="T29" s="2793"/>
      <c r="U29" s="2788"/>
      <c r="V29" s="2830"/>
      <c r="W29" s="2832"/>
      <c r="X29" s="2773"/>
      <c r="Y29" s="2773"/>
      <c r="Z29" s="2773"/>
      <c r="AA29" s="2822"/>
      <c r="AB29" s="2822"/>
      <c r="AC29" s="2822"/>
      <c r="AD29" s="2822"/>
      <c r="AE29" s="2822"/>
      <c r="AF29" s="2822"/>
      <c r="AG29" s="2822"/>
      <c r="AH29" s="2822"/>
      <c r="AI29" s="2822"/>
      <c r="AJ29" s="2822"/>
      <c r="AK29" s="2822"/>
      <c r="AL29" s="2822"/>
      <c r="AM29" s="2822"/>
      <c r="AN29" s="2822"/>
      <c r="AO29" s="2814"/>
      <c r="AP29" s="2814"/>
      <c r="AQ29" s="2816"/>
    </row>
    <row r="30" spans="1:43" s="109" customFormat="1" ht="58.5" customHeight="1" x14ac:dyDescent="0.2">
      <c r="A30" s="1973"/>
      <c r="B30" s="1974"/>
      <c r="C30" s="1975"/>
      <c r="D30" s="1049"/>
      <c r="E30" s="1974"/>
      <c r="F30" s="1975"/>
      <c r="G30" s="450"/>
      <c r="H30" s="2779"/>
      <c r="I30" s="2780"/>
      <c r="J30" s="2782"/>
      <c r="K30" s="2784"/>
      <c r="L30" s="2784"/>
      <c r="M30" s="2796"/>
      <c r="N30" s="2774"/>
      <c r="O30" s="2774"/>
      <c r="P30" s="2784"/>
      <c r="Q30" s="2799"/>
      <c r="R30" s="2826"/>
      <c r="S30" s="2784"/>
      <c r="T30" s="2784"/>
      <c r="U30" s="1715" t="s">
        <v>2458</v>
      </c>
      <c r="V30" s="1984">
        <v>10000000</v>
      </c>
      <c r="W30" s="2833"/>
      <c r="X30" s="2774"/>
      <c r="Y30" s="2774"/>
      <c r="Z30" s="2774"/>
      <c r="AA30" s="2786"/>
      <c r="AB30" s="2786"/>
      <c r="AC30" s="2786"/>
      <c r="AD30" s="2786"/>
      <c r="AE30" s="2786"/>
      <c r="AF30" s="2786"/>
      <c r="AG30" s="2786"/>
      <c r="AH30" s="2786"/>
      <c r="AI30" s="2786"/>
      <c r="AJ30" s="2786"/>
      <c r="AK30" s="2786"/>
      <c r="AL30" s="2786"/>
      <c r="AM30" s="2786"/>
      <c r="AN30" s="2786"/>
      <c r="AO30" s="2815"/>
      <c r="AP30" s="2815"/>
      <c r="AQ30" s="2817"/>
    </row>
    <row r="31" spans="1:43" ht="58.5" customHeight="1" x14ac:dyDescent="0.2">
      <c r="A31" s="1973"/>
      <c r="B31" s="1974"/>
      <c r="C31" s="1975"/>
      <c r="D31" s="1049"/>
      <c r="E31" s="1974"/>
      <c r="F31" s="1975"/>
      <c r="G31" s="151">
        <v>31</v>
      </c>
      <c r="H31" s="2768" t="s">
        <v>2459</v>
      </c>
      <c r="I31" s="2769"/>
      <c r="J31" s="2769"/>
      <c r="K31" s="2769"/>
      <c r="L31" s="1967"/>
      <c r="M31" s="1980"/>
      <c r="N31" s="1968"/>
      <c r="O31" s="1968"/>
      <c r="P31" s="1967"/>
      <c r="Q31" s="1968"/>
      <c r="R31" s="1981"/>
      <c r="S31" s="1967"/>
      <c r="T31" s="1967"/>
      <c r="U31" s="1967"/>
      <c r="V31" s="1982"/>
      <c r="W31" s="1971"/>
      <c r="X31" s="1972"/>
      <c r="Y31" s="1968"/>
      <c r="Z31" s="1968"/>
      <c r="AA31" s="1968"/>
      <c r="AB31" s="1968"/>
      <c r="AC31" s="1968"/>
      <c r="AD31" s="1968"/>
      <c r="AE31" s="1968"/>
      <c r="AF31" s="1968"/>
      <c r="AG31" s="1968"/>
      <c r="AH31" s="1968"/>
      <c r="AI31" s="1968"/>
      <c r="AJ31" s="1968"/>
      <c r="AK31" s="1968"/>
      <c r="AL31" s="1968"/>
      <c r="AM31" s="1968"/>
      <c r="AN31" s="1968"/>
      <c r="AO31" s="1968"/>
      <c r="AP31" s="1968"/>
      <c r="AQ31" s="1983"/>
    </row>
    <row r="32" spans="1:43" s="109" customFormat="1" ht="58.5" customHeight="1" x14ac:dyDescent="0.2">
      <c r="A32" s="1973"/>
      <c r="B32" s="1974"/>
      <c r="C32" s="1975"/>
      <c r="D32" s="1049"/>
      <c r="E32" s="1974"/>
      <c r="F32" s="1975"/>
      <c r="G32" s="450"/>
      <c r="H32" s="2775"/>
      <c r="I32" s="2776"/>
      <c r="J32" s="2781">
        <v>118</v>
      </c>
      <c r="K32" s="2148" t="s">
        <v>2460</v>
      </c>
      <c r="L32" s="2783" t="s">
        <v>2430</v>
      </c>
      <c r="M32" s="2794">
        <v>6</v>
      </c>
      <c r="N32" s="2772" t="s">
        <v>2461</v>
      </c>
      <c r="O32" s="2772" t="s">
        <v>2462</v>
      </c>
      <c r="P32" s="2148" t="s">
        <v>2463</v>
      </c>
      <c r="Q32" s="2834">
        <f>(V32+V34+V35+V36)/R32</f>
        <v>0.25995300508408675</v>
      </c>
      <c r="R32" s="2824">
        <f>SUM(V32:V39)</f>
        <v>170030733</v>
      </c>
      <c r="S32" s="2783" t="s">
        <v>2464</v>
      </c>
      <c r="T32" s="2148" t="s">
        <v>2465</v>
      </c>
      <c r="U32" s="2787" t="s">
        <v>2466</v>
      </c>
      <c r="V32" s="2828">
        <v>20200000</v>
      </c>
      <c r="W32" s="2831" t="s">
        <v>2467</v>
      </c>
      <c r="X32" s="2772" t="s">
        <v>2468</v>
      </c>
      <c r="Y32" s="2785">
        <v>50476</v>
      </c>
      <c r="Z32" s="2785">
        <v>50476</v>
      </c>
      <c r="AA32" s="2785">
        <v>42400</v>
      </c>
      <c r="AB32" s="2785">
        <v>30286</v>
      </c>
      <c r="AC32" s="2812">
        <v>18171</v>
      </c>
      <c r="AD32" s="2812">
        <v>10095</v>
      </c>
      <c r="AE32" s="2812"/>
      <c r="AF32" s="2819"/>
      <c r="AG32" s="2812"/>
      <c r="AH32" s="2812"/>
      <c r="AI32" s="2812"/>
      <c r="AJ32" s="2812"/>
      <c r="AK32" s="2819"/>
      <c r="AL32" s="2819"/>
      <c r="AM32" s="2812"/>
      <c r="AN32" s="2785">
        <f>+Y32+Z32</f>
        <v>100952</v>
      </c>
      <c r="AO32" s="2813">
        <v>43101</v>
      </c>
      <c r="AP32" s="2813">
        <v>43465</v>
      </c>
      <c r="AQ32" s="2398" t="s">
        <v>2428</v>
      </c>
    </row>
    <row r="33" spans="1:43" s="109" customFormat="1" ht="58.5" customHeight="1" x14ac:dyDescent="0.2">
      <c r="A33" s="1973"/>
      <c r="B33" s="1974"/>
      <c r="C33" s="1975"/>
      <c r="D33" s="1049"/>
      <c r="E33" s="1974"/>
      <c r="F33" s="1975"/>
      <c r="G33" s="450"/>
      <c r="H33" s="2777"/>
      <c r="I33" s="2778"/>
      <c r="J33" s="2792"/>
      <c r="K33" s="2218"/>
      <c r="L33" s="2793"/>
      <c r="M33" s="2795"/>
      <c r="N33" s="2773"/>
      <c r="O33" s="2773"/>
      <c r="P33" s="2218"/>
      <c r="Q33" s="2834"/>
      <c r="R33" s="2825"/>
      <c r="S33" s="2793"/>
      <c r="T33" s="2218"/>
      <c r="U33" s="2788"/>
      <c r="V33" s="2830"/>
      <c r="W33" s="2832"/>
      <c r="X33" s="2773"/>
      <c r="Y33" s="2822"/>
      <c r="Z33" s="2822"/>
      <c r="AA33" s="2822"/>
      <c r="AB33" s="2822"/>
      <c r="AC33" s="2396"/>
      <c r="AD33" s="2396"/>
      <c r="AE33" s="2396"/>
      <c r="AF33" s="2820"/>
      <c r="AG33" s="2396"/>
      <c r="AH33" s="2396"/>
      <c r="AI33" s="2396"/>
      <c r="AJ33" s="2396"/>
      <c r="AK33" s="2820"/>
      <c r="AL33" s="2820"/>
      <c r="AM33" s="2396"/>
      <c r="AN33" s="2822"/>
      <c r="AO33" s="2814"/>
      <c r="AP33" s="2814"/>
      <c r="AQ33" s="2399"/>
    </row>
    <row r="34" spans="1:43" s="109" customFormat="1" ht="58.5" customHeight="1" x14ac:dyDescent="0.2">
      <c r="A34" s="1973"/>
      <c r="B34" s="1974"/>
      <c r="C34" s="1975"/>
      <c r="D34" s="1049"/>
      <c r="E34" s="1974"/>
      <c r="F34" s="1975"/>
      <c r="G34" s="450"/>
      <c r="H34" s="2777"/>
      <c r="I34" s="2778"/>
      <c r="J34" s="2792"/>
      <c r="K34" s="2218"/>
      <c r="L34" s="2793"/>
      <c r="M34" s="2795"/>
      <c r="N34" s="2773"/>
      <c r="O34" s="2773"/>
      <c r="P34" s="2218"/>
      <c r="Q34" s="2834"/>
      <c r="R34" s="2825"/>
      <c r="S34" s="2793"/>
      <c r="T34" s="2218"/>
      <c r="U34" s="1715" t="s">
        <v>2469</v>
      </c>
      <c r="V34" s="1984">
        <v>10000000</v>
      </c>
      <c r="W34" s="2832"/>
      <c r="X34" s="2773"/>
      <c r="Y34" s="2822"/>
      <c r="Z34" s="2822"/>
      <c r="AA34" s="2822"/>
      <c r="AB34" s="2822"/>
      <c r="AC34" s="2396"/>
      <c r="AD34" s="2396"/>
      <c r="AE34" s="2396"/>
      <c r="AF34" s="2820"/>
      <c r="AG34" s="2396"/>
      <c r="AH34" s="2396"/>
      <c r="AI34" s="2396"/>
      <c r="AJ34" s="2396"/>
      <c r="AK34" s="2820"/>
      <c r="AL34" s="2820"/>
      <c r="AM34" s="2396"/>
      <c r="AN34" s="2822"/>
      <c r="AO34" s="2814"/>
      <c r="AP34" s="2814"/>
      <c r="AQ34" s="2399"/>
    </row>
    <row r="35" spans="1:43" s="109" customFormat="1" ht="58.5" customHeight="1" x14ac:dyDescent="0.2">
      <c r="A35" s="1973"/>
      <c r="B35" s="1974"/>
      <c r="C35" s="1975"/>
      <c r="D35" s="1049"/>
      <c r="E35" s="1974"/>
      <c r="F35" s="1975"/>
      <c r="G35" s="450"/>
      <c r="H35" s="2777"/>
      <c r="I35" s="2778"/>
      <c r="J35" s="2792"/>
      <c r="K35" s="2218"/>
      <c r="L35" s="2793"/>
      <c r="M35" s="2795"/>
      <c r="N35" s="2773"/>
      <c r="O35" s="2773"/>
      <c r="P35" s="2218"/>
      <c r="Q35" s="2834"/>
      <c r="R35" s="2825"/>
      <c r="S35" s="2793"/>
      <c r="T35" s="2218"/>
      <c r="U35" s="1715" t="s">
        <v>2470</v>
      </c>
      <c r="V35" s="1984">
        <v>14000000</v>
      </c>
      <c r="W35" s="2832"/>
      <c r="X35" s="2773"/>
      <c r="Y35" s="2822"/>
      <c r="Z35" s="2822"/>
      <c r="AA35" s="2822"/>
      <c r="AB35" s="2822"/>
      <c r="AC35" s="2396"/>
      <c r="AD35" s="2396"/>
      <c r="AE35" s="2396"/>
      <c r="AF35" s="2820"/>
      <c r="AG35" s="2396"/>
      <c r="AH35" s="2396"/>
      <c r="AI35" s="2396"/>
      <c r="AJ35" s="2396"/>
      <c r="AK35" s="2820"/>
      <c r="AL35" s="2820"/>
      <c r="AM35" s="2396"/>
      <c r="AN35" s="2822"/>
      <c r="AO35" s="2814"/>
      <c r="AP35" s="2814"/>
      <c r="AQ35" s="2399"/>
    </row>
    <row r="36" spans="1:43" s="109" customFormat="1" ht="58.5" customHeight="1" x14ac:dyDescent="0.2">
      <c r="A36" s="1973"/>
      <c r="B36" s="1974"/>
      <c r="C36" s="1975"/>
      <c r="D36" s="1049"/>
      <c r="E36" s="1974"/>
      <c r="F36" s="1975"/>
      <c r="G36" s="450"/>
      <c r="H36" s="2777"/>
      <c r="I36" s="2778"/>
      <c r="J36" s="2792"/>
      <c r="K36" s="2218"/>
      <c r="L36" s="2793"/>
      <c r="M36" s="2795"/>
      <c r="N36" s="2773"/>
      <c r="O36" s="2773"/>
      <c r="P36" s="2218"/>
      <c r="Q36" s="2834"/>
      <c r="R36" s="2825"/>
      <c r="S36" s="2793"/>
      <c r="T36" s="2179"/>
      <c r="U36" s="1715" t="s">
        <v>2471</v>
      </c>
      <c r="V36" s="1984">
        <v>0</v>
      </c>
      <c r="W36" s="2832"/>
      <c r="X36" s="2773"/>
      <c r="Y36" s="2822"/>
      <c r="Z36" s="2822"/>
      <c r="AA36" s="2822"/>
      <c r="AB36" s="2822"/>
      <c r="AC36" s="2396"/>
      <c r="AD36" s="2396"/>
      <c r="AE36" s="2396"/>
      <c r="AF36" s="2820"/>
      <c r="AG36" s="2396"/>
      <c r="AH36" s="2396"/>
      <c r="AI36" s="2396"/>
      <c r="AJ36" s="2396"/>
      <c r="AK36" s="2820"/>
      <c r="AL36" s="2820"/>
      <c r="AM36" s="2396"/>
      <c r="AN36" s="2822"/>
      <c r="AO36" s="2814"/>
      <c r="AP36" s="2814"/>
      <c r="AQ36" s="2399"/>
    </row>
    <row r="37" spans="1:43" s="109" customFormat="1" ht="58.5" customHeight="1" x14ac:dyDescent="0.2">
      <c r="A37" s="1973"/>
      <c r="B37" s="1974"/>
      <c r="C37" s="1975"/>
      <c r="D37" s="1049"/>
      <c r="E37" s="1974"/>
      <c r="F37" s="1975"/>
      <c r="G37" s="450"/>
      <c r="H37" s="2777"/>
      <c r="I37" s="2778"/>
      <c r="J37" s="2792"/>
      <c r="K37" s="2218"/>
      <c r="L37" s="2793"/>
      <c r="M37" s="2795"/>
      <c r="N37" s="2773"/>
      <c r="O37" s="2773"/>
      <c r="P37" s="2218"/>
      <c r="Q37" s="2797">
        <f>(V37+V39)/R32</f>
        <v>0.74004699491591319</v>
      </c>
      <c r="R37" s="2825"/>
      <c r="S37" s="2793"/>
      <c r="T37" s="2148" t="s">
        <v>2472</v>
      </c>
      <c r="U37" s="2787" t="s">
        <v>2473</v>
      </c>
      <c r="V37" s="2828">
        <v>20000000</v>
      </c>
      <c r="W37" s="2832"/>
      <c r="X37" s="2773"/>
      <c r="Y37" s="2822"/>
      <c r="Z37" s="2822"/>
      <c r="AA37" s="2822"/>
      <c r="AB37" s="2822"/>
      <c r="AC37" s="2396"/>
      <c r="AD37" s="2396"/>
      <c r="AE37" s="2396"/>
      <c r="AF37" s="2820"/>
      <c r="AG37" s="2396"/>
      <c r="AH37" s="2396"/>
      <c r="AI37" s="2396"/>
      <c r="AJ37" s="2396"/>
      <c r="AK37" s="2820"/>
      <c r="AL37" s="2820"/>
      <c r="AM37" s="2396"/>
      <c r="AN37" s="2822"/>
      <c r="AO37" s="2814"/>
      <c r="AP37" s="2814"/>
      <c r="AQ37" s="2399"/>
    </row>
    <row r="38" spans="1:43" s="109" customFormat="1" ht="58.5" customHeight="1" x14ac:dyDescent="0.2">
      <c r="A38" s="1973"/>
      <c r="B38" s="1974"/>
      <c r="C38" s="1975"/>
      <c r="D38" s="1049"/>
      <c r="E38" s="1974"/>
      <c r="F38" s="1975"/>
      <c r="G38" s="450"/>
      <c r="H38" s="2777"/>
      <c r="I38" s="2778"/>
      <c r="J38" s="2792"/>
      <c r="K38" s="2218"/>
      <c r="L38" s="2793"/>
      <c r="M38" s="2795"/>
      <c r="N38" s="2773"/>
      <c r="O38" s="2773"/>
      <c r="P38" s="2218"/>
      <c r="Q38" s="2798"/>
      <c r="R38" s="2825"/>
      <c r="S38" s="2793"/>
      <c r="T38" s="2218"/>
      <c r="U38" s="2788"/>
      <c r="V38" s="2830"/>
      <c r="W38" s="2832"/>
      <c r="X38" s="2773"/>
      <c r="Y38" s="2822"/>
      <c r="Z38" s="2822"/>
      <c r="AA38" s="2822"/>
      <c r="AB38" s="2822"/>
      <c r="AC38" s="2396"/>
      <c r="AD38" s="2396"/>
      <c r="AE38" s="2396"/>
      <c r="AF38" s="2820"/>
      <c r="AG38" s="2396"/>
      <c r="AH38" s="2396"/>
      <c r="AI38" s="2396"/>
      <c r="AJ38" s="2396"/>
      <c r="AK38" s="2820"/>
      <c r="AL38" s="2820"/>
      <c r="AM38" s="2396"/>
      <c r="AN38" s="2822"/>
      <c r="AO38" s="2814"/>
      <c r="AP38" s="2814"/>
      <c r="AQ38" s="2399"/>
    </row>
    <row r="39" spans="1:43" s="109" customFormat="1" ht="58.5" customHeight="1" x14ac:dyDescent="0.2">
      <c r="A39" s="1973"/>
      <c r="B39" s="1974"/>
      <c r="C39" s="1975"/>
      <c r="D39" s="1049"/>
      <c r="E39" s="1974"/>
      <c r="F39" s="1975"/>
      <c r="G39" s="450"/>
      <c r="H39" s="2779"/>
      <c r="I39" s="2780"/>
      <c r="J39" s="2782"/>
      <c r="K39" s="2179"/>
      <c r="L39" s="2784"/>
      <c r="M39" s="2796"/>
      <c r="N39" s="2774"/>
      <c r="O39" s="2774"/>
      <c r="P39" s="2179"/>
      <c r="Q39" s="2799"/>
      <c r="R39" s="2826"/>
      <c r="S39" s="2784"/>
      <c r="T39" s="2179"/>
      <c r="U39" s="1722" t="s">
        <v>2474</v>
      </c>
      <c r="V39" s="1985">
        <v>105830733</v>
      </c>
      <c r="W39" s="2833"/>
      <c r="X39" s="2774"/>
      <c r="Y39" s="2786"/>
      <c r="Z39" s="2786"/>
      <c r="AA39" s="2786"/>
      <c r="AB39" s="2786"/>
      <c r="AC39" s="2397"/>
      <c r="AD39" s="2397"/>
      <c r="AE39" s="2397"/>
      <c r="AF39" s="2821"/>
      <c r="AG39" s="2397"/>
      <c r="AH39" s="2397"/>
      <c r="AI39" s="2397"/>
      <c r="AJ39" s="2397"/>
      <c r="AK39" s="2821"/>
      <c r="AL39" s="2821"/>
      <c r="AM39" s="2397"/>
      <c r="AN39" s="2786"/>
      <c r="AO39" s="2815"/>
      <c r="AP39" s="2815"/>
      <c r="AQ39" s="2400"/>
    </row>
    <row r="40" spans="1:43" s="308" customFormat="1" ht="58.5" customHeight="1" x14ac:dyDescent="0.25">
      <c r="A40" s="1957"/>
      <c r="B40" s="1711"/>
      <c r="C40" s="1958"/>
      <c r="D40" s="1959">
        <v>10</v>
      </c>
      <c r="E40" s="2764" t="s">
        <v>2475</v>
      </c>
      <c r="F40" s="2765"/>
      <c r="G40" s="2765"/>
      <c r="H40" s="2765"/>
      <c r="I40" s="2765"/>
      <c r="J40" s="2765"/>
      <c r="K40" s="2765"/>
      <c r="L40" s="1960"/>
      <c r="M40" s="1986"/>
      <c r="N40" s="1961"/>
      <c r="O40" s="1961"/>
      <c r="P40" s="1960"/>
      <c r="Q40" s="1961"/>
      <c r="R40" s="1987"/>
      <c r="S40" s="1960"/>
      <c r="T40" s="1960"/>
      <c r="U40" s="1960"/>
      <c r="V40" s="1988"/>
      <c r="W40" s="1964"/>
      <c r="X40" s="1965"/>
      <c r="Y40" s="1961"/>
      <c r="Z40" s="1961"/>
      <c r="AA40" s="1961"/>
      <c r="AB40" s="1961"/>
      <c r="AC40" s="1961"/>
      <c r="AD40" s="1961"/>
      <c r="AE40" s="1961"/>
      <c r="AF40" s="1961"/>
      <c r="AG40" s="1961"/>
      <c r="AH40" s="1961"/>
      <c r="AI40" s="1961"/>
      <c r="AJ40" s="1961"/>
      <c r="AK40" s="1961"/>
      <c r="AL40" s="1961"/>
      <c r="AM40" s="1961"/>
      <c r="AN40" s="1961"/>
      <c r="AO40" s="1961"/>
      <c r="AP40" s="1961"/>
      <c r="AQ40" s="1989"/>
    </row>
    <row r="41" spans="1:43" s="308" customFormat="1" ht="58.5" customHeight="1" x14ac:dyDescent="0.25">
      <c r="A41" s="1990"/>
      <c r="B41" s="1712"/>
      <c r="C41" s="1712"/>
      <c r="D41" s="1991"/>
      <c r="E41" s="1992"/>
      <c r="F41" s="1958"/>
      <c r="G41" s="151">
        <v>32</v>
      </c>
      <c r="H41" s="2768" t="s">
        <v>2476</v>
      </c>
      <c r="I41" s="2769"/>
      <c r="J41" s="2769"/>
      <c r="K41" s="2769"/>
      <c r="L41" s="2769"/>
      <c r="M41" s="1443"/>
      <c r="N41" s="1077"/>
      <c r="O41" s="1077"/>
      <c r="P41" s="731"/>
      <c r="Q41" s="1077"/>
      <c r="R41" s="1993"/>
      <c r="S41" s="731"/>
      <c r="T41" s="731"/>
      <c r="U41" s="731"/>
      <c r="V41" s="1994"/>
      <c r="W41" s="629"/>
      <c r="X41" s="1078"/>
      <c r="Y41" s="1077"/>
      <c r="Z41" s="1077"/>
      <c r="AA41" s="1077"/>
      <c r="AB41" s="1077"/>
      <c r="AC41" s="1077"/>
      <c r="AD41" s="1077"/>
      <c r="AE41" s="1077"/>
      <c r="AF41" s="1077"/>
      <c r="AG41" s="1077"/>
      <c r="AH41" s="1077"/>
      <c r="AI41" s="1077"/>
      <c r="AJ41" s="1077"/>
      <c r="AK41" s="1077"/>
      <c r="AL41" s="1077"/>
      <c r="AM41" s="1077"/>
      <c r="AN41" s="1077"/>
      <c r="AO41" s="1077"/>
      <c r="AP41" s="1077"/>
      <c r="AQ41" s="1995"/>
    </row>
    <row r="42" spans="1:43" s="109" customFormat="1" ht="58.5" customHeight="1" x14ac:dyDescent="0.2">
      <c r="A42" s="1973"/>
      <c r="B42" s="1974"/>
      <c r="C42" s="1974"/>
      <c r="D42" s="1049"/>
      <c r="E42" s="2777"/>
      <c r="F42" s="2778"/>
      <c r="G42" s="450"/>
      <c r="H42" s="2775"/>
      <c r="I42" s="2776"/>
      <c r="J42" s="2781">
        <v>119</v>
      </c>
      <c r="K42" s="2783" t="s">
        <v>2477</v>
      </c>
      <c r="L42" s="2783" t="s">
        <v>2430</v>
      </c>
      <c r="M42" s="2794">
        <v>9</v>
      </c>
      <c r="N42" s="2772" t="s">
        <v>2478</v>
      </c>
      <c r="O42" s="2772" t="s">
        <v>2479</v>
      </c>
      <c r="P42" s="2783" t="s">
        <v>2480</v>
      </c>
      <c r="Q42" s="2797">
        <f>(V42+V43+V44+V45)/R42</f>
        <v>1</v>
      </c>
      <c r="R42" s="2800">
        <f>SUM(V42:V45)</f>
        <v>550956761</v>
      </c>
      <c r="S42" s="2783" t="s">
        <v>2481</v>
      </c>
      <c r="T42" s="2783" t="s">
        <v>2482</v>
      </c>
      <c r="U42" s="1715" t="s">
        <v>2483</v>
      </c>
      <c r="V42" s="1984">
        <v>306456761</v>
      </c>
      <c r="W42" s="2831">
        <v>20</v>
      </c>
      <c r="X42" s="2772" t="s">
        <v>72</v>
      </c>
      <c r="Y42" s="2772">
        <v>85278</v>
      </c>
      <c r="Z42" s="2772">
        <v>85277</v>
      </c>
      <c r="AA42" s="2785">
        <v>17056</v>
      </c>
      <c r="AB42" s="2785">
        <v>34111</v>
      </c>
      <c r="AC42" s="2785">
        <v>85278</v>
      </c>
      <c r="AD42" s="2785">
        <v>25582</v>
      </c>
      <c r="AE42" s="2785">
        <v>4263.875</v>
      </c>
      <c r="AF42" s="2785">
        <v>4264</v>
      </c>
      <c r="AG42" s="2785"/>
      <c r="AH42" s="2785"/>
      <c r="AI42" s="2785"/>
      <c r="AJ42" s="1718"/>
      <c r="AK42" s="1718"/>
      <c r="AL42" s="1718"/>
      <c r="AM42" s="1718"/>
      <c r="AN42" s="2785">
        <v>170555</v>
      </c>
      <c r="AO42" s="2813">
        <v>43101</v>
      </c>
      <c r="AP42" s="2813">
        <v>43465</v>
      </c>
      <c r="AQ42" s="2398" t="s">
        <v>2428</v>
      </c>
    </row>
    <row r="43" spans="1:43" s="109" customFormat="1" ht="58.5" customHeight="1" x14ac:dyDescent="0.2">
      <c r="A43" s="1973"/>
      <c r="B43" s="1974"/>
      <c r="C43" s="1974"/>
      <c r="D43" s="1049"/>
      <c r="E43" s="2777"/>
      <c r="F43" s="2778"/>
      <c r="G43" s="450"/>
      <c r="H43" s="2777"/>
      <c r="I43" s="2778"/>
      <c r="J43" s="2792"/>
      <c r="K43" s="2793"/>
      <c r="L43" s="2793"/>
      <c r="M43" s="2795"/>
      <c r="N43" s="2773"/>
      <c r="O43" s="2773"/>
      <c r="P43" s="2793"/>
      <c r="Q43" s="2798"/>
      <c r="R43" s="2801"/>
      <c r="S43" s="2793"/>
      <c r="T43" s="2793"/>
      <c r="U43" s="1709" t="s">
        <v>2484</v>
      </c>
      <c r="V43" s="1996">
        <v>1</v>
      </c>
      <c r="W43" s="2832"/>
      <c r="X43" s="2773"/>
      <c r="Y43" s="2773"/>
      <c r="Z43" s="2773"/>
      <c r="AA43" s="2822"/>
      <c r="AB43" s="2822"/>
      <c r="AC43" s="2822"/>
      <c r="AD43" s="2822"/>
      <c r="AE43" s="2822"/>
      <c r="AF43" s="2822"/>
      <c r="AG43" s="2822"/>
      <c r="AH43" s="2822"/>
      <c r="AI43" s="2822"/>
      <c r="AJ43" s="1719"/>
      <c r="AK43" s="1719"/>
      <c r="AL43" s="1719"/>
      <c r="AM43" s="1719"/>
      <c r="AN43" s="2822"/>
      <c r="AO43" s="2814"/>
      <c r="AP43" s="2814"/>
      <c r="AQ43" s="2399"/>
    </row>
    <row r="44" spans="1:43" s="109" customFormat="1" ht="58.5" customHeight="1" x14ac:dyDescent="0.2">
      <c r="A44" s="1973"/>
      <c r="B44" s="1974"/>
      <c r="C44" s="1974"/>
      <c r="D44" s="1049"/>
      <c r="E44" s="2777"/>
      <c r="F44" s="2778"/>
      <c r="G44" s="450"/>
      <c r="H44" s="2777"/>
      <c r="I44" s="2778"/>
      <c r="J44" s="2792"/>
      <c r="K44" s="2793"/>
      <c r="L44" s="2793"/>
      <c r="M44" s="2795"/>
      <c r="N44" s="2773"/>
      <c r="O44" s="2773"/>
      <c r="P44" s="2793"/>
      <c r="Q44" s="2798"/>
      <c r="R44" s="2801"/>
      <c r="S44" s="2793"/>
      <c r="T44" s="2784"/>
      <c r="U44" s="1715" t="s">
        <v>2485</v>
      </c>
      <c r="V44" s="1997">
        <v>122249999</v>
      </c>
      <c r="W44" s="2832"/>
      <c r="X44" s="2773"/>
      <c r="Y44" s="2773"/>
      <c r="Z44" s="2773"/>
      <c r="AA44" s="2822"/>
      <c r="AB44" s="2822"/>
      <c r="AC44" s="2822"/>
      <c r="AD44" s="2822"/>
      <c r="AE44" s="2822"/>
      <c r="AF44" s="2822"/>
      <c r="AG44" s="2822"/>
      <c r="AH44" s="2822"/>
      <c r="AI44" s="2822"/>
      <c r="AJ44" s="1719"/>
      <c r="AK44" s="1719"/>
      <c r="AL44" s="1719"/>
      <c r="AM44" s="1719"/>
      <c r="AN44" s="2822"/>
      <c r="AO44" s="2814"/>
      <c r="AP44" s="2814"/>
      <c r="AQ44" s="2399"/>
    </row>
    <row r="45" spans="1:43" s="109" customFormat="1" ht="58.5" customHeight="1" x14ac:dyDescent="0.2">
      <c r="A45" s="1973"/>
      <c r="B45" s="1974"/>
      <c r="C45" s="1974"/>
      <c r="D45" s="1049"/>
      <c r="E45" s="2777"/>
      <c r="F45" s="2778"/>
      <c r="G45" s="450"/>
      <c r="H45" s="2779"/>
      <c r="I45" s="2780"/>
      <c r="J45" s="2782"/>
      <c r="K45" s="2784"/>
      <c r="L45" s="2784"/>
      <c r="M45" s="2796"/>
      <c r="N45" s="2774"/>
      <c r="O45" s="2774"/>
      <c r="P45" s="2784"/>
      <c r="Q45" s="2799"/>
      <c r="R45" s="2802"/>
      <c r="S45" s="2784"/>
      <c r="T45" s="1724" t="s">
        <v>2486</v>
      </c>
      <c r="U45" s="1721" t="s">
        <v>2487</v>
      </c>
      <c r="V45" s="1997">
        <v>122250000</v>
      </c>
      <c r="W45" s="2833"/>
      <c r="X45" s="2774"/>
      <c r="Y45" s="2774"/>
      <c r="Z45" s="2774"/>
      <c r="AA45" s="2786"/>
      <c r="AB45" s="2786"/>
      <c r="AC45" s="2786"/>
      <c r="AD45" s="2786"/>
      <c r="AE45" s="2786"/>
      <c r="AF45" s="2786"/>
      <c r="AG45" s="2786"/>
      <c r="AH45" s="2786"/>
      <c r="AI45" s="2786"/>
      <c r="AJ45" s="1720"/>
      <c r="AK45" s="1720"/>
      <c r="AL45" s="1720"/>
      <c r="AM45" s="1720"/>
      <c r="AN45" s="2786"/>
      <c r="AO45" s="2815"/>
      <c r="AP45" s="2815"/>
      <c r="AQ45" s="2400"/>
    </row>
    <row r="46" spans="1:43" ht="58.5" customHeight="1" x14ac:dyDescent="0.2">
      <c r="A46" s="1966"/>
      <c r="B46" s="1713"/>
      <c r="C46" s="1713"/>
      <c r="D46" s="1716"/>
      <c r="E46" s="2777"/>
      <c r="F46" s="2778"/>
      <c r="G46" s="151">
        <v>32</v>
      </c>
      <c r="H46" s="2768" t="s">
        <v>2476</v>
      </c>
      <c r="I46" s="2769"/>
      <c r="J46" s="2769"/>
      <c r="K46" s="2769"/>
      <c r="L46" s="2769"/>
      <c r="M46" s="1980"/>
      <c r="N46" s="1968"/>
      <c r="O46" s="1968"/>
      <c r="P46" s="1967"/>
      <c r="Q46" s="1968"/>
      <c r="R46" s="1981"/>
      <c r="S46" s="1967"/>
      <c r="T46" s="1967"/>
      <c r="U46" s="1967"/>
      <c r="V46" s="1982"/>
      <c r="W46" s="1971"/>
      <c r="X46" s="1972"/>
      <c r="Y46" s="1968"/>
      <c r="Z46" s="1968"/>
      <c r="AA46" s="1968"/>
      <c r="AB46" s="1968"/>
      <c r="AC46" s="1968"/>
      <c r="AD46" s="1968"/>
      <c r="AE46" s="1968"/>
      <c r="AF46" s="1968"/>
      <c r="AG46" s="1968"/>
      <c r="AH46" s="1968"/>
      <c r="AI46" s="1968"/>
      <c r="AJ46" s="1968"/>
      <c r="AK46" s="1968"/>
      <c r="AL46" s="1968"/>
      <c r="AM46" s="1968"/>
      <c r="AN46" s="1968"/>
      <c r="AO46" s="1968"/>
      <c r="AP46" s="1968"/>
      <c r="AQ46" s="1983"/>
    </row>
    <row r="47" spans="1:43" s="109" customFormat="1" ht="58.5" customHeight="1" x14ac:dyDescent="0.2">
      <c r="A47" s="1973"/>
      <c r="B47" s="1974"/>
      <c r="C47" s="1974"/>
      <c r="D47" s="1049"/>
      <c r="E47" s="2777"/>
      <c r="F47" s="2778"/>
      <c r="G47" s="450"/>
      <c r="H47" s="2775"/>
      <c r="I47" s="2776"/>
      <c r="J47" s="2781">
        <v>120</v>
      </c>
      <c r="K47" s="2118" t="s">
        <v>2488</v>
      </c>
      <c r="L47" s="2783" t="s">
        <v>2430</v>
      </c>
      <c r="M47" s="2794">
        <v>3</v>
      </c>
      <c r="N47" s="2772" t="s">
        <v>2489</v>
      </c>
      <c r="O47" s="2772" t="s">
        <v>2490</v>
      </c>
      <c r="P47" s="2783" t="s">
        <v>2491</v>
      </c>
      <c r="Q47" s="2797">
        <f>(V47+V48)/R47</f>
        <v>0.86223636363636369</v>
      </c>
      <c r="R47" s="2800">
        <f>V47+V51+V48+V49+V50</f>
        <v>550000000</v>
      </c>
      <c r="S47" s="2783" t="s">
        <v>2492</v>
      </c>
      <c r="T47" s="2147" t="s">
        <v>2493</v>
      </c>
      <c r="U47" s="1715" t="s">
        <v>2494</v>
      </c>
      <c r="V47" s="1998">
        <v>24229999</v>
      </c>
      <c r="W47" s="2831">
        <v>20</v>
      </c>
      <c r="X47" s="2772" t="s">
        <v>72</v>
      </c>
      <c r="Y47" s="2772">
        <v>142127</v>
      </c>
      <c r="Z47" s="2772">
        <v>142127</v>
      </c>
      <c r="AA47" s="2785">
        <v>85276</v>
      </c>
      <c r="AB47" s="2785">
        <v>85276</v>
      </c>
      <c r="AC47" s="2785">
        <v>99489</v>
      </c>
      <c r="AD47" s="2785">
        <v>14213</v>
      </c>
      <c r="AE47" s="2785"/>
      <c r="AF47" s="2785"/>
      <c r="AG47" s="2785"/>
      <c r="AH47" s="2785"/>
      <c r="AI47" s="2785"/>
      <c r="AJ47" s="1718"/>
      <c r="AK47" s="1718"/>
      <c r="AL47" s="1718"/>
      <c r="AM47" s="1718"/>
      <c r="AN47" s="2785">
        <f>+Y47+Z47</f>
        <v>284254</v>
      </c>
      <c r="AO47" s="2813">
        <v>43101</v>
      </c>
      <c r="AP47" s="2813">
        <v>43465</v>
      </c>
      <c r="AQ47" s="2398" t="s">
        <v>2428</v>
      </c>
    </row>
    <row r="48" spans="1:43" s="109" customFormat="1" ht="58.5" customHeight="1" x14ac:dyDescent="0.2">
      <c r="A48" s="1973"/>
      <c r="B48" s="1974"/>
      <c r="C48" s="1974"/>
      <c r="D48" s="1049"/>
      <c r="E48" s="2777"/>
      <c r="F48" s="2778"/>
      <c r="G48" s="450"/>
      <c r="H48" s="2777"/>
      <c r="I48" s="2778"/>
      <c r="J48" s="2792"/>
      <c r="K48" s="2818"/>
      <c r="L48" s="2793"/>
      <c r="M48" s="2795"/>
      <c r="N48" s="2773"/>
      <c r="O48" s="2773"/>
      <c r="P48" s="2793"/>
      <c r="Q48" s="2798"/>
      <c r="R48" s="2801"/>
      <c r="S48" s="2793"/>
      <c r="T48" s="2147"/>
      <c r="U48" s="1722" t="s">
        <v>2495</v>
      </c>
      <c r="V48" s="1999">
        <f>1+450000000</f>
        <v>450000001</v>
      </c>
      <c r="W48" s="2832"/>
      <c r="X48" s="2773"/>
      <c r="Y48" s="2773"/>
      <c r="Z48" s="2773"/>
      <c r="AA48" s="2822"/>
      <c r="AB48" s="2822"/>
      <c r="AC48" s="2822"/>
      <c r="AD48" s="2822"/>
      <c r="AE48" s="2822"/>
      <c r="AF48" s="2822"/>
      <c r="AG48" s="2822"/>
      <c r="AH48" s="2822"/>
      <c r="AI48" s="2822"/>
      <c r="AJ48" s="1719"/>
      <c r="AK48" s="1719"/>
      <c r="AL48" s="1719"/>
      <c r="AM48" s="1719"/>
      <c r="AN48" s="2822"/>
      <c r="AO48" s="2814"/>
      <c r="AP48" s="2814"/>
      <c r="AQ48" s="2399"/>
    </row>
    <row r="49" spans="1:57" s="109" customFormat="1" ht="58.5" customHeight="1" x14ac:dyDescent="0.2">
      <c r="A49" s="1973"/>
      <c r="B49" s="1974"/>
      <c r="C49" s="1974"/>
      <c r="D49" s="1049"/>
      <c r="E49" s="2777"/>
      <c r="F49" s="2778"/>
      <c r="G49" s="450"/>
      <c r="H49" s="2777"/>
      <c r="I49" s="2778"/>
      <c r="J49" s="2781">
        <v>121</v>
      </c>
      <c r="K49" s="2118" t="s">
        <v>2496</v>
      </c>
      <c r="L49" s="2793"/>
      <c r="M49" s="2794">
        <v>4</v>
      </c>
      <c r="N49" s="2773"/>
      <c r="O49" s="2773"/>
      <c r="P49" s="2793"/>
      <c r="Q49" s="2797">
        <f>(V49+V50+V51)/R47</f>
        <v>0.13776363636363637</v>
      </c>
      <c r="R49" s="2801"/>
      <c r="S49" s="2793"/>
      <c r="T49" s="2148" t="s">
        <v>2497</v>
      </c>
      <c r="U49" s="1722" t="s">
        <v>2498</v>
      </c>
      <c r="V49" s="1999">
        <v>0</v>
      </c>
      <c r="W49" s="2832"/>
      <c r="X49" s="2773"/>
      <c r="Y49" s="2773"/>
      <c r="Z49" s="2773"/>
      <c r="AA49" s="2822"/>
      <c r="AB49" s="2822"/>
      <c r="AC49" s="2822"/>
      <c r="AD49" s="2822"/>
      <c r="AE49" s="2822"/>
      <c r="AF49" s="2822"/>
      <c r="AG49" s="2822"/>
      <c r="AH49" s="2822"/>
      <c r="AI49" s="2822"/>
      <c r="AJ49" s="1719"/>
      <c r="AK49" s="1719"/>
      <c r="AL49" s="1719"/>
      <c r="AM49" s="1719"/>
      <c r="AN49" s="2822"/>
      <c r="AO49" s="2814"/>
      <c r="AP49" s="2814"/>
      <c r="AQ49" s="2399"/>
    </row>
    <row r="50" spans="1:57" s="109" customFormat="1" ht="58.5" customHeight="1" x14ac:dyDescent="0.2">
      <c r="A50" s="1973"/>
      <c r="B50" s="1974"/>
      <c r="C50" s="1974"/>
      <c r="D50" s="1049"/>
      <c r="E50" s="2777"/>
      <c r="F50" s="2778"/>
      <c r="G50" s="450"/>
      <c r="H50" s="2777"/>
      <c r="I50" s="2778"/>
      <c r="J50" s="2792"/>
      <c r="K50" s="2818"/>
      <c r="L50" s="2793"/>
      <c r="M50" s="2795"/>
      <c r="N50" s="2773"/>
      <c r="O50" s="2773"/>
      <c r="P50" s="2793"/>
      <c r="Q50" s="2798"/>
      <c r="R50" s="2801"/>
      <c r="S50" s="2793"/>
      <c r="T50" s="2218"/>
      <c r="U50" s="1722" t="s">
        <v>2499</v>
      </c>
      <c r="V50" s="1999">
        <v>55770000</v>
      </c>
      <c r="W50" s="2832"/>
      <c r="X50" s="2773"/>
      <c r="Y50" s="2773"/>
      <c r="Z50" s="2773"/>
      <c r="AA50" s="2822"/>
      <c r="AB50" s="2822"/>
      <c r="AC50" s="2822"/>
      <c r="AD50" s="2822"/>
      <c r="AE50" s="2822"/>
      <c r="AF50" s="2822"/>
      <c r="AG50" s="2822"/>
      <c r="AH50" s="2822"/>
      <c r="AI50" s="2822"/>
      <c r="AJ50" s="1719"/>
      <c r="AK50" s="1719"/>
      <c r="AL50" s="1719"/>
      <c r="AM50" s="1719"/>
      <c r="AN50" s="2822"/>
      <c r="AO50" s="2814"/>
      <c r="AP50" s="2814"/>
      <c r="AQ50" s="2399"/>
    </row>
    <row r="51" spans="1:57" ht="58.5" customHeight="1" thickBot="1" x14ac:dyDescent="0.25">
      <c r="A51" s="1973"/>
      <c r="B51" s="1974"/>
      <c r="C51" s="1974"/>
      <c r="D51" s="1049"/>
      <c r="E51" s="2777"/>
      <c r="F51" s="2778"/>
      <c r="G51" s="450"/>
      <c r="H51" s="2777"/>
      <c r="I51" s="2778"/>
      <c r="J51" s="2792"/>
      <c r="K51" s="2818"/>
      <c r="L51" s="2793"/>
      <c r="M51" s="2795"/>
      <c r="N51" s="2773"/>
      <c r="O51" s="2773"/>
      <c r="P51" s="2793"/>
      <c r="Q51" s="2798"/>
      <c r="R51" s="2801"/>
      <c r="S51" s="2793"/>
      <c r="T51" s="2218"/>
      <c r="U51" s="1723" t="s">
        <v>2500</v>
      </c>
      <c r="V51" s="2000">
        <v>20000000</v>
      </c>
      <c r="W51" s="2832"/>
      <c r="X51" s="2773"/>
      <c r="Y51" s="2773"/>
      <c r="Z51" s="2773"/>
      <c r="AA51" s="2822"/>
      <c r="AB51" s="2822"/>
      <c r="AC51" s="2822"/>
      <c r="AD51" s="2822"/>
      <c r="AE51" s="2822"/>
      <c r="AF51" s="2822"/>
      <c r="AG51" s="2822"/>
      <c r="AH51" s="2822"/>
      <c r="AI51" s="2822"/>
      <c r="AJ51" s="1719"/>
      <c r="AK51" s="1719"/>
      <c r="AL51" s="1719"/>
      <c r="AM51" s="1719"/>
      <c r="AN51" s="2822"/>
      <c r="AO51" s="2814"/>
      <c r="AP51" s="2814"/>
      <c r="AQ51" s="2399"/>
    </row>
    <row r="52" spans="1:57" ht="58.5" customHeight="1" thickBot="1" x14ac:dyDescent="0.25">
      <c r="A52" s="2001"/>
      <c r="B52" s="2002"/>
      <c r="C52" s="2002"/>
      <c r="D52" s="2002"/>
      <c r="E52" s="2002"/>
      <c r="F52" s="2002"/>
      <c r="G52" s="2002"/>
      <c r="H52" s="2002"/>
      <c r="I52" s="2002"/>
      <c r="J52" s="2003"/>
      <c r="K52" s="2004"/>
      <c r="L52" s="2004"/>
      <c r="M52" s="2002"/>
      <c r="N52" s="183"/>
      <c r="O52" s="2002"/>
      <c r="P52" s="2005" t="s">
        <v>221</v>
      </c>
      <c r="Q52" s="2006"/>
      <c r="R52" s="2007">
        <f>SUM(R12:R51)</f>
        <v>5594720576</v>
      </c>
      <c r="S52" s="2008"/>
      <c r="T52" s="2004"/>
      <c r="U52" s="2004"/>
      <c r="V52" s="2009">
        <f>SUM(V12:V51)</f>
        <v>5594720576</v>
      </c>
      <c r="W52" s="2010"/>
      <c r="X52" s="2002"/>
      <c r="Y52" s="2002"/>
      <c r="Z52" s="2002"/>
      <c r="AA52" s="2011"/>
      <c r="AB52" s="2012"/>
      <c r="AC52" s="2011"/>
      <c r="AD52" s="2011"/>
      <c r="AE52" s="2011"/>
      <c r="AF52" s="2011"/>
      <c r="AG52" s="2011"/>
      <c r="AH52" s="2011"/>
      <c r="AI52" s="2011"/>
      <c r="AJ52" s="2011"/>
      <c r="AK52" s="2011"/>
      <c r="AL52" s="2011"/>
      <c r="AM52" s="2011"/>
      <c r="AN52" s="2011"/>
      <c r="AO52" s="182"/>
      <c r="AP52" s="182"/>
      <c r="AQ52" s="681"/>
    </row>
    <row r="53" spans="1:57" ht="58.5" customHeight="1" x14ac:dyDescent="0.2">
      <c r="K53" s="1340"/>
      <c r="L53" s="1340"/>
      <c r="M53" s="109"/>
      <c r="N53" s="1016"/>
      <c r="O53" s="109"/>
      <c r="P53" s="1340"/>
      <c r="Q53" s="691"/>
      <c r="R53" s="2013"/>
      <c r="S53" s="1340"/>
      <c r="T53" s="1340"/>
      <c r="U53" s="1340"/>
      <c r="V53" s="2014"/>
      <c r="W53" s="209"/>
      <c r="X53" s="1713"/>
      <c r="Y53" s="210"/>
      <c r="Z53" s="210"/>
    </row>
    <row r="54" spans="1:57" ht="58.5" customHeight="1" x14ac:dyDescent="0.2">
      <c r="K54" s="1340"/>
      <c r="L54" s="1340"/>
      <c r="M54" s="109"/>
      <c r="N54" s="1016"/>
      <c r="O54" s="109"/>
      <c r="P54" s="1340"/>
      <c r="Q54" s="691"/>
      <c r="R54" s="2013"/>
      <c r="S54" s="1340"/>
      <c r="T54" s="1340"/>
      <c r="U54" s="1340"/>
      <c r="V54" s="2014"/>
      <c r="W54" s="209"/>
      <c r="X54" s="1713"/>
      <c r="Y54" s="210"/>
      <c r="Z54" s="210"/>
    </row>
    <row r="55" spans="1:57" ht="58.5" customHeight="1" x14ac:dyDescent="0.2">
      <c r="K55" s="1340"/>
      <c r="L55" s="1340"/>
      <c r="M55" s="109"/>
      <c r="N55" s="1016"/>
      <c r="O55" s="109"/>
      <c r="P55" s="1340"/>
      <c r="Q55" s="691"/>
      <c r="R55" s="2013"/>
      <c r="S55" s="1340"/>
      <c r="T55" s="1340"/>
      <c r="U55" s="1340"/>
      <c r="V55" s="2014"/>
      <c r="W55" s="209"/>
      <c r="X55" s="1713"/>
      <c r="Y55" s="210"/>
      <c r="Z55" s="210"/>
    </row>
    <row r="56" spans="1:57" ht="58.5" customHeight="1" x14ac:dyDescent="0.25">
      <c r="A56" s="109"/>
      <c r="B56" s="109"/>
      <c r="C56" s="109"/>
      <c r="D56" s="2835" t="s">
        <v>2501</v>
      </c>
      <c r="E56" s="2835"/>
      <c r="F56" s="2835"/>
      <c r="G56" s="2835"/>
      <c r="H56" s="2835"/>
      <c r="I56" s="2835"/>
      <c r="J56" s="109"/>
      <c r="K56" s="1340"/>
      <c r="L56" s="1340"/>
      <c r="M56" s="1725"/>
      <c r="N56" s="2015"/>
      <c r="O56" s="109"/>
      <c r="P56" s="1340"/>
      <c r="Q56" s="109"/>
      <c r="R56" s="2016"/>
      <c r="S56" s="2017"/>
      <c r="T56" s="1340"/>
      <c r="U56" s="1340"/>
      <c r="V56" s="2014"/>
      <c r="W56" s="209"/>
      <c r="X56" s="2018"/>
      <c r="Y56" s="2019"/>
      <c r="Z56" s="2019"/>
      <c r="AA56" s="2019"/>
      <c r="AB56" s="2020"/>
      <c r="AC56" s="210"/>
      <c r="AE56" s="1109"/>
      <c r="AF56" s="1109"/>
      <c r="AH56" s="1109"/>
      <c r="AR56" s="1109"/>
      <c r="AT56" s="1109"/>
      <c r="BA56" s="2021"/>
      <c r="BB56" s="2022"/>
      <c r="BC56" s="2023"/>
      <c r="BD56" s="2024"/>
      <c r="BE56" s="1110"/>
    </row>
    <row r="57" spans="1:57" ht="24" customHeight="1" x14ac:dyDescent="0.2">
      <c r="A57" s="109"/>
      <c r="B57" s="109"/>
      <c r="C57" s="109"/>
      <c r="D57" s="2836" t="s">
        <v>2502</v>
      </c>
      <c r="E57" s="2836"/>
      <c r="F57" s="2836"/>
      <c r="G57" s="2836"/>
      <c r="H57" s="2836"/>
      <c r="I57" s="2836"/>
      <c r="J57" s="109"/>
      <c r="K57" s="1340"/>
      <c r="L57" s="1340"/>
      <c r="M57" s="1725"/>
      <c r="N57" s="2015"/>
      <c r="O57" s="109"/>
      <c r="P57" s="1340"/>
      <c r="Q57" s="109"/>
      <c r="R57" s="2016"/>
      <c r="S57" s="2017"/>
      <c r="T57" s="1340"/>
      <c r="U57" s="1340"/>
      <c r="V57" s="2025"/>
      <c r="W57" s="209"/>
      <c r="X57" s="2018"/>
      <c r="Y57" s="2019"/>
      <c r="Z57" s="2019"/>
      <c r="AA57" s="2019"/>
      <c r="AB57" s="2020"/>
      <c r="AC57" s="210"/>
      <c r="AE57" s="1109"/>
      <c r="AF57" s="1109"/>
      <c r="AH57" s="1109"/>
      <c r="AR57" s="1109"/>
      <c r="AT57" s="1109"/>
      <c r="AV57" s="2026"/>
      <c r="AW57" s="2026"/>
      <c r="BA57" s="2021"/>
      <c r="BB57" s="2022"/>
      <c r="BC57" s="2023"/>
      <c r="BD57" s="2024"/>
      <c r="BE57" s="1110"/>
    </row>
  </sheetData>
  <sheetProtection password="CBEB" sheet="1" objects="1" scenarios="1"/>
  <mergeCells count="272">
    <mergeCell ref="D56:I56"/>
    <mergeCell ref="D57:I57"/>
    <mergeCell ref="AO47:AO51"/>
    <mergeCell ref="AP47:AP51"/>
    <mergeCell ref="AQ47:AQ51"/>
    <mergeCell ref="J49:J51"/>
    <mergeCell ref="K49:K51"/>
    <mergeCell ref="M49:M51"/>
    <mergeCell ref="Q49:Q51"/>
    <mergeCell ref="T49:T51"/>
    <mergeCell ref="AE47:AE51"/>
    <mergeCell ref="AF47:AF51"/>
    <mergeCell ref="AG47:AG51"/>
    <mergeCell ref="AH47:AH51"/>
    <mergeCell ref="AI47:AI51"/>
    <mergeCell ref="AN47:AN51"/>
    <mergeCell ref="Y47:Y51"/>
    <mergeCell ref="Z47:Z51"/>
    <mergeCell ref="AA47:AA51"/>
    <mergeCell ref="AB47:AB51"/>
    <mergeCell ref="AC47:AC51"/>
    <mergeCell ref="AD47:AD51"/>
    <mergeCell ref="Q47:Q48"/>
    <mergeCell ref="R47:R51"/>
    <mergeCell ref="X47:X51"/>
    <mergeCell ref="AQ42:AQ45"/>
    <mergeCell ref="H46:L46"/>
    <mergeCell ref="H47:I51"/>
    <mergeCell ref="J47:J48"/>
    <mergeCell ref="K47:K48"/>
    <mergeCell ref="L47:L51"/>
    <mergeCell ref="M47:M48"/>
    <mergeCell ref="N47:N51"/>
    <mergeCell ref="O47:O51"/>
    <mergeCell ref="P47:P51"/>
    <mergeCell ref="AG42:AG45"/>
    <mergeCell ref="AH42:AH45"/>
    <mergeCell ref="AI42:AI45"/>
    <mergeCell ref="AN42:AN45"/>
    <mergeCell ref="AO42:AO45"/>
    <mergeCell ref="AP42:AP45"/>
    <mergeCell ref="AA42:AA45"/>
    <mergeCell ref="AB42:AB45"/>
    <mergeCell ref="AC42:AC45"/>
    <mergeCell ref="AD42:AD45"/>
    <mergeCell ref="M42:M45"/>
    <mergeCell ref="N42:N45"/>
    <mergeCell ref="O42:O45"/>
    <mergeCell ref="S47:S51"/>
    <mergeCell ref="T47:T48"/>
    <mergeCell ref="W47:W51"/>
    <mergeCell ref="E40:K40"/>
    <mergeCell ref="H41:L41"/>
    <mergeCell ref="E42:F51"/>
    <mergeCell ref="H42:I45"/>
    <mergeCell ref="J42:J45"/>
    <mergeCell ref="K42:K45"/>
    <mergeCell ref="L42:L45"/>
    <mergeCell ref="O32:O39"/>
    <mergeCell ref="P32:P39"/>
    <mergeCell ref="Q32:Q36"/>
    <mergeCell ref="R32:R39"/>
    <mergeCell ref="S32:S39"/>
    <mergeCell ref="T32:T36"/>
    <mergeCell ref="P42:P45"/>
    <mergeCell ref="Q42:Q45"/>
    <mergeCell ref="R42:R45"/>
    <mergeCell ref="AE42:AE45"/>
    <mergeCell ref="AF42:AF45"/>
    <mergeCell ref="S42:S45"/>
    <mergeCell ref="T42:T44"/>
    <mergeCell ref="W42:W45"/>
    <mergeCell ref="X42:X45"/>
    <mergeCell ref="Y42:Y45"/>
    <mergeCell ref="Z42:Z45"/>
    <mergeCell ref="AO32:AO39"/>
    <mergeCell ref="AM32:AM39"/>
    <mergeCell ref="AN32:AN39"/>
    <mergeCell ref="Z32:Z39"/>
    <mergeCell ref="AP32:AP39"/>
    <mergeCell ref="AQ32:AQ39"/>
    <mergeCell ref="Q37:Q39"/>
    <mergeCell ref="T37:T39"/>
    <mergeCell ref="U37:U38"/>
    <mergeCell ref="V37:V38"/>
    <mergeCell ref="AG32:AG39"/>
    <mergeCell ref="AH32:AH39"/>
    <mergeCell ref="AI32:AI39"/>
    <mergeCell ref="AJ32:AJ39"/>
    <mergeCell ref="AK32:AK39"/>
    <mergeCell ref="AL32:AL39"/>
    <mergeCell ref="AA32:AA39"/>
    <mergeCell ref="AB32:AB39"/>
    <mergeCell ref="AC32:AC39"/>
    <mergeCell ref="AD32:AD39"/>
    <mergeCell ref="AE32:AE39"/>
    <mergeCell ref="AF32:AF39"/>
    <mergeCell ref="U32:U33"/>
    <mergeCell ref="V32:V33"/>
    <mergeCell ref="W32:W39"/>
    <mergeCell ref="X32:X39"/>
    <mergeCell ref="Y32:Y39"/>
    <mergeCell ref="AO27:AO30"/>
    <mergeCell ref="AP27:AP30"/>
    <mergeCell ref="AQ27:AQ30"/>
    <mergeCell ref="H31:K31"/>
    <mergeCell ref="H32:I39"/>
    <mergeCell ref="J32:J39"/>
    <mergeCell ref="K32:K39"/>
    <mergeCell ref="L32:L39"/>
    <mergeCell ref="M32:M39"/>
    <mergeCell ref="N32:N39"/>
    <mergeCell ref="AI27:AI30"/>
    <mergeCell ref="AJ27:AJ30"/>
    <mergeCell ref="AK27:AK30"/>
    <mergeCell ref="AL27:AL30"/>
    <mergeCell ref="AM27:AM30"/>
    <mergeCell ref="AN27:AN30"/>
    <mergeCell ref="AC27:AC30"/>
    <mergeCell ref="AD27:AD30"/>
    <mergeCell ref="AE27:AE30"/>
    <mergeCell ref="AF27:AF30"/>
    <mergeCell ref="AG27:AG30"/>
    <mergeCell ref="AH27:AH30"/>
    <mergeCell ref="W27:W30"/>
    <mergeCell ref="X27:X30"/>
    <mergeCell ref="P27:P30"/>
    <mergeCell ref="Y27:Y30"/>
    <mergeCell ref="Z27:Z30"/>
    <mergeCell ref="AA27:AA30"/>
    <mergeCell ref="AB27:AB30"/>
    <mergeCell ref="Q27:Q30"/>
    <mergeCell ref="R27:R30"/>
    <mergeCell ref="S27:S30"/>
    <mergeCell ref="T27:T30"/>
    <mergeCell ref="U27:U29"/>
    <mergeCell ref="V27:V29"/>
    <mergeCell ref="J22:J25"/>
    <mergeCell ref="H26:K26"/>
    <mergeCell ref="H27:I30"/>
    <mergeCell ref="J27:J30"/>
    <mergeCell ref="K27:K30"/>
    <mergeCell ref="L27:L30"/>
    <mergeCell ref="M27:M30"/>
    <mergeCell ref="N27:N30"/>
    <mergeCell ref="O27:O30"/>
    <mergeCell ref="K22:K25"/>
    <mergeCell ref="L22:L25"/>
    <mergeCell ref="O14:O25"/>
    <mergeCell ref="AA12:AA13"/>
    <mergeCell ref="AM14:AM25"/>
    <mergeCell ref="AN14:AN25"/>
    <mergeCell ref="AO14:AO25"/>
    <mergeCell ref="AP14:AP25"/>
    <mergeCell ref="AQ14:AQ25"/>
    <mergeCell ref="J18:J21"/>
    <mergeCell ref="K18:K21"/>
    <mergeCell ref="L18:L21"/>
    <mergeCell ref="M18:M21"/>
    <mergeCell ref="Q18:Q21"/>
    <mergeCell ref="AG14:AG25"/>
    <mergeCell ref="AH14:AH25"/>
    <mergeCell ref="AI14:AI25"/>
    <mergeCell ref="AJ14:AJ25"/>
    <mergeCell ref="AK14:AK25"/>
    <mergeCell ref="AL14:AL25"/>
    <mergeCell ref="AA14:AA25"/>
    <mergeCell ref="AB14:AB25"/>
    <mergeCell ref="AC14:AC25"/>
    <mergeCell ref="AD14:AD25"/>
    <mergeCell ref="AE14:AE25"/>
    <mergeCell ref="AF14:AF25"/>
    <mergeCell ref="S14:S25"/>
    <mergeCell ref="AQ12:AQ13"/>
    <mergeCell ref="AK12:AK13"/>
    <mergeCell ref="AL12:AL13"/>
    <mergeCell ref="AM12:AM13"/>
    <mergeCell ref="AN12:AN13"/>
    <mergeCell ref="AO12:AO13"/>
    <mergeCell ref="AP12:AP13"/>
    <mergeCell ref="AE12:AE13"/>
    <mergeCell ref="AF12:AF13"/>
    <mergeCell ref="AG12:AG13"/>
    <mergeCell ref="AH12:AH13"/>
    <mergeCell ref="AI12:AI13"/>
    <mergeCell ref="AJ12:AJ13"/>
    <mergeCell ref="Y14:Y25"/>
    <mergeCell ref="Z14:Z25"/>
    <mergeCell ref="T18:T21"/>
    <mergeCell ref="U18:U19"/>
    <mergeCell ref="V18:V19"/>
    <mergeCell ref="W18:W19"/>
    <mergeCell ref="Y12:Y13"/>
    <mergeCell ref="Z12:Z13"/>
    <mergeCell ref="T14:T17"/>
    <mergeCell ref="X18:X19"/>
    <mergeCell ref="T22:T25"/>
    <mergeCell ref="U22:U23"/>
    <mergeCell ref="V22:V23"/>
    <mergeCell ref="W22:W23"/>
    <mergeCell ref="X22:X23"/>
    <mergeCell ref="P14:P25"/>
    <mergeCell ref="Q14:Q17"/>
    <mergeCell ref="R14:R25"/>
    <mergeCell ref="U14:U15"/>
    <mergeCell ref="V14:V15"/>
    <mergeCell ref="M12:M13"/>
    <mergeCell ref="N12:N13"/>
    <mergeCell ref="O12:O13"/>
    <mergeCell ref="M22:M25"/>
    <mergeCell ref="Q22:Q25"/>
    <mergeCell ref="P12:P13"/>
    <mergeCell ref="Q12:Q13"/>
    <mergeCell ref="R12:R13"/>
    <mergeCell ref="AO9:AQ9"/>
    <mergeCell ref="E10:K10"/>
    <mergeCell ref="AO10:AQ10"/>
    <mergeCell ref="H11:K11"/>
    <mergeCell ref="AO11:AQ11"/>
    <mergeCell ref="G12:G25"/>
    <mergeCell ref="H12:I25"/>
    <mergeCell ref="J12:J13"/>
    <mergeCell ref="K12:K13"/>
    <mergeCell ref="L12:L13"/>
    <mergeCell ref="AB12:AB13"/>
    <mergeCell ref="AC12:AC13"/>
    <mergeCell ref="AD12:AD13"/>
    <mergeCell ref="S12:S13"/>
    <mergeCell ref="T12:T13"/>
    <mergeCell ref="U12:U13"/>
    <mergeCell ref="V12:V13"/>
    <mergeCell ref="W12:W13"/>
    <mergeCell ref="X12:X13"/>
    <mergeCell ref="J14:J17"/>
    <mergeCell ref="K14:K17"/>
    <mergeCell ref="L14:L17"/>
    <mergeCell ref="M14:M17"/>
    <mergeCell ref="N14:N25"/>
    <mergeCell ref="AN7:AN8"/>
    <mergeCell ref="AO7:AO8"/>
    <mergeCell ref="AP7:AP8"/>
    <mergeCell ref="AQ7:AQ8"/>
    <mergeCell ref="U7:U8"/>
    <mergeCell ref="V7:V8"/>
    <mergeCell ref="W7:W8"/>
    <mergeCell ref="X7:X8"/>
    <mergeCell ref="Y7:Z7"/>
    <mergeCell ref="AA7:AD7"/>
    <mergeCell ref="A1:AP4"/>
    <mergeCell ref="A5:M6"/>
    <mergeCell ref="P5:AQ5"/>
    <mergeCell ref="P6:X6"/>
    <mergeCell ref="AO6:AQ6"/>
    <mergeCell ref="A7:A8"/>
    <mergeCell ref="B7:C8"/>
    <mergeCell ref="D7:D8"/>
    <mergeCell ref="E7:F8"/>
    <mergeCell ref="G7:G8"/>
    <mergeCell ref="O7:O8"/>
    <mergeCell ref="P7:P8"/>
    <mergeCell ref="Q7:Q8"/>
    <mergeCell ref="R7:R8"/>
    <mergeCell ref="S7:S8"/>
    <mergeCell ref="T7:T8"/>
    <mergeCell ref="H7:I8"/>
    <mergeCell ref="J7:J8"/>
    <mergeCell ref="K7:K8"/>
    <mergeCell ref="L7:L8"/>
    <mergeCell ref="M7:M8"/>
    <mergeCell ref="N7:N8"/>
    <mergeCell ref="AE7:AJ7"/>
    <mergeCell ref="AK7:AM7"/>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K95"/>
  <sheetViews>
    <sheetView showGridLines="0" zoomScale="50" zoomScaleNormal="50" workbookViewId="0">
      <selection activeCell="J22" sqref="J22:J24"/>
    </sheetView>
  </sheetViews>
  <sheetFormatPr baseColWidth="10" defaultColWidth="11.42578125" defaultRowHeight="11.25" customHeight="1" x14ac:dyDescent="0.2"/>
  <cols>
    <col min="1" max="1" width="13.140625" style="202" customWidth="1"/>
    <col min="2" max="2" width="4" style="110" customWidth="1"/>
    <col min="3" max="3" width="15.5703125" style="110" customWidth="1"/>
    <col min="4" max="4" width="14.42578125" style="110" customWidth="1"/>
    <col min="5" max="5" width="10" style="110" customWidth="1"/>
    <col min="6" max="6" width="8.140625" style="110" customWidth="1"/>
    <col min="7" max="7" width="17.28515625" style="110" customWidth="1"/>
    <col min="8" max="8" width="8.5703125" style="110" customWidth="1"/>
    <col min="9" max="9" width="15.7109375" style="110" customWidth="1"/>
    <col min="10" max="10" width="18.5703125" style="110" customWidth="1"/>
    <col min="11" max="11" width="24.7109375" style="210" customWidth="1"/>
    <col min="12" max="12" width="20.28515625" style="199" customWidth="1"/>
    <col min="13" max="13" width="17.140625" style="109" customWidth="1"/>
    <col min="14" max="14" width="32.28515625" style="109" customWidth="1"/>
    <col min="15" max="15" width="21.28515625" style="902" customWidth="1"/>
    <col min="16" max="16" width="30.140625" style="210" customWidth="1"/>
    <col min="17" max="17" width="12.7109375" style="214" customWidth="1"/>
    <col min="18" max="18" width="27.140625" style="1174" customWidth="1"/>
    <col min="19" max="19" width="23.5703125" style="210" customWidth="1"/>
    <col min="20" max="20" width="34.5703125" style="210" customWidth="1"/>
    <col min="21" max="21" width="36.85546875" style="210" customWidth="1"/>
    <col min="22" max="22" width="29.5703125" style="1178" customWidth="1"/>
    <col min="23" max="23" width="12.5703125" style="209" customWidth="1"/>
    <col min="24" max="24" width="17.28515625" style="691" customWidth="1"/>
    <col min="25" max="25" width="11" style="1175" customWidth="1"/>
    <col min="26" max="26" width="11.85546875" style="1175" customWidth="1"/>
    <col min="27" max="28" width="7.5703125" style="110" customWidth="1"/>
    <col min="29" max="29" width="13.5703125" style="110" customWidth="1"/>
    <col min="30" max="30" width="10.42578125" style="110" customWidth="1"/>
    <col min="31" max="39" width="7.5703125" style="110" customWidth="1"/>
    <col min="40" max="40" width="11.28515625" style="1175" customWidth="1"/>
    <col min="41" max="41" width="16.28515625" style="1176" customWidth="1"/>
    <col min="42" max="42" width="16.85546875" style="1176" customWidth="1"/>
    <col min="43" max="43" width="24" style="204" customWidth="1"/>
    <col min="44" max="56" width="11.42578125" style="110" customWidth="1"/>
    <col min="57" max="256" width="11.42578125" style="110"/>
    <col min="257" max="257" width="13.140625" style="110" customWidth="1"/>
    <col min="258" max="258" width="4" style="110" customWidth="1"/>
    <col min="259" max="259" width="12.85546875" style="110" customWidth="1"/>
    <col min="260" max="260" width="14.7109375" style="110" customWidth="1"/>
    <col min="261" max="261" width="10" style="110" customWidth="1"/>
    <col min="262" max="262" width="6.28515625" style="110" customWidth="1"/>
    <col min="263" max="263" width="12.28515625" style="110" customWidth="1"/>
    <col min="264" max="264" width="8.5703125" style="110" customWidth="1"/>
    <col min="265" max="265" width="13.7109375" style="110" customWidth="1"/>
    <col min="266" max="266" width="11.5703125" style="110" customWidth="1"/>
    <col min="267" max="267" width="24.7109375" style="110" customWidth="1"/>
    <col min="268" max="268" width="17.42578125" style="110" customWidth="1"/>
    <col min="269" max="269" width="20.85546875" style="110" customWidth="1"/>
    <col min="270" max="270" width="26.85546875" style="110" customWidth="1"/>
    <col min="271" max="271" width="8" style="110" customWidth="1"/>
    <col min="272" max="272" width="25" style="110" customWidth="1"/>
    <col min="273" max="273" width="12.7109375" style="110" customWidth="1"/>
    <col min="274" max="274" width="16.42578125" style="110" customWidth="1"/>
    <col min="275" max="275" width="23.5703125" style="110" customWidth="1"/>
    <col min="276" max="276" width="33.7109375" style="110" customWidth="1"/>
    <col min="277" max="277" width="31.140625" style="110" customWidth="1"/>
    <col min="278" max="278" width="19.28515625" style="110" customWidth="1"/>
    <col min="279" max="279" width="11.7109375" style="110" customWidth="1"/>
    <col min="280" max="280" width="15.42578125" style="110" customWidth="1"/>
    <col min="281" max="281" width="5.5703125" style="110" customWidth="1"/>
    <col min="282" max="282" width="4.7109375" style="110" customWidth="1"/>
    <col min="283" max="284" width="7.28515625" style="110" customWidth="1"/>
    <col min="285" max="285" width="8.42578125" style="110" customWidth="1"/>
    <col min="286" max="286" width="9.5703125" style="110" customWidth="1"/>
    <col min="287" max="287" width="6.28515625" style="110" customWidth="1"/>
    <col min="288" max="288" width="5.85546875" style="110" customWidth="1"/>
    <col min="289" max="290" width="4.42578125" style="110" customWidth="1"/>
    <col min="291" max="291" width="5" style="110" customWidth="1"/>
    <col min="292" max="292" width="5.85546875" style="110" customWidth="1"/>
    <col min="293" max="293" width="6.140625" style="110" customWidth="1"/>
    <col min="294" max="294" width="6.28515625" style="110" customWidth="1"/>
    <col min="295" max="295" width="4.85546875" style="110" customWidth="1"/>
    <col min="296" max="296" width="8.140625" style="110" customWidth="1"/>
    <col min="297" max="297" width="11.5703125" style="110" customWidth="1"/>
    <col min="298" max="298" width="13.7109375" style="110" customWidth="1"/>
    <col min="299" max="299" width="20.85546875" style="110" customWidth="1"/>
    <col min="300" max="512" width="11.42578125" style="110"/>
    <col min="513" max="513" width="13.140625" style="110" customWidth="1"/>
    <col min="514" max="514" width="4" style="110" customWidth="1"/>
    <col min="515" max="515" width="12.85546875" style="110" customWidth="1"/>
    <col min="516" max="516" width="14.7109375" style="110" customWidth="1"/>
    <col min="517" max="517" width="10" style="110" customWidth="1"/>
    <col min="518" max="518" width="6.28515625" style="110" customWidth="1"/>
    <col min="519" max="519" width="12.28515625" style="110" customWidth="1"/>
    <col min="520" max="520" width="8.5703125" style="110" customWidth="1"/>
    <col min="521" max="521" width="13.7109375" style="110" customWidth="1"/>
    <col min="522" max="522" width="11.5703125" style="110" customWidth="1"/>
    <col min="523" max="523" width="24.7109375" style="110" customWidth="1"/>
    <col min="524" max="524" width="17.42578125" style="110" customWidth="1"/>
    <col min="525" max="525" width="20.85546875" style="110" customWidth="1"/>
    <col min="526" max="526" width="26.85546875" style="110" customWidth="1"/>
    <col min="527" max="527" width="8" style="110" customWidth="1"/>
    <col min="528" max="528" width="25" style="110" customWidth="1"/>
    <col min="529" max="529" width="12.7109375" style="110" customWidth="1"/>
    <col min="530" max="530" width="16.42578125" style="110" customWidth="1"/>
    <col min="531" max="531" width="23.5703125" style="110" customWidth="1"/>
    <col min="532" max="532" width="33.7109375" style="110" customWidth="1"/>
    <col min="533" max="533" width="31.140625" style="110" customWidth="1"/>
    <col min="534" max="534" width="19.28515625" style="110" customWidth="1"/>
    <col min="535" max="535" width="11.7109375" style="110" customWidth="1"/>
    <col min="536" max="536" width="15.42578125" style="110" customWidth="1"/>
    <col min="537" max="537" width="5.5703125" style="110" customWidth="1"/>
    <col min="538" max="538" width="4.7109375" style="110" customWidth="1"/>
    <col min="539" max="540" width="7.28515625" style="110" customWidth="1"/>
    <col min="541" max="541" width="8.42578125" style="110" customWidth="1"/>
    <col min="542" max="542" width="9.5703125" style="110" customWidth="1"/>
    <col min="543" max="543" width="6.28515625" style="110" customWidth="1"/>
    <col min="544" max="544" width="5.85546875" style="110" customWidth="1"/>
    <col min="545" max="546" width="4.42578125" style="110" customWidth="1"/>
    <col min="547" max="547" width="5" style="110" customWidth="1"/>
    <col min="548" max="548" width="5.85546875" style="110" customWidth="1"/>
    <col min="549" max="549" width="6.140625" style="110" customWidth="1"/>
    <col min="550" max="550" width="6.28515625" style="110" customWidth="1"/>
    <col min="551" max="551" width="4.85546875" style="110" customWidth="1"/>
    <col min="552" max="552" width="8.140625" style="110" customWidth="1"/>
    <col min="553" max="553" width="11.5703125" style="110" customWidth="1"/>
    <col min="554" max="554" width="13.7109375" style="110" customWidth="1"/>
    <col min="555" max="555" width="20.85546875" style="110" customWidth="1"/>
    <col min="556" max="768" width="11.42578125" style="110"/>
    <col min="769" max="769" width="13.140625" style="110" customWidth="1"/>
    <col min="770" max="770" width="4" style="110" customWidth="1"/>
    <col min="771" max="771" width="12.85546875" style="110" customWidth="1"/>
    <col min="772" max="772" width="14.7109375" style="110" customWidth="1"/>
    <col min="773" max="773" width="10" style="110" customWidth="1"/>
    <col min="774" max="774" width="6.28515625" style="110" customWidth="1"/>
    <col min="775" max="775" width="12.28515625" style="110" customWidth="1"/>
    <col min="776" max="776" width="8.5703125" style="110" customWidth="1"/>
    <col min="777" max="777" width="13.7109375" style="110" customWidth="1"/>
    <col min="778" max="778" width="11.5703125" style="110" customWidth="1"/>
    <col min="779" max="779" width="24.7109375" style="110" customWidth="1"/>
    <col min="780" max="780" width="17.42578125" style="110" customWidth="1"/>
    <col min="781" max="781" width="20.85546875" style="110" customWidth="1"/>
    <col min="782" max="782" width="26.85546875" style="110" customWidth="1"/>
    <col min="783" max="783" width="8" style="110" customWidth="1"/>
    <col min="784" max="784" width="25" style="110" customWidth="1"/>
    <col min="785" max="785" width="12.7109375" style="110" customWidth="1"/>
    <col min="786" max="786" width="16.42578125" style="110" customWidth="1"/>
    <col min="787" max="787" width="23.5703125" style="110" customWidth="1"/>
    <col min="788" max="788" width="33.7109375" style="110" customWidth="1"/>
    <col min="789" max="789" width="31.140625" style="110" customWidth="1"/>
    <col min="790" max="790" width="19.28515625" style="110" customWidth="1"/>
    <col min="791" max="791" width="11.7109375" style="110" customWidth="1"/>
    <col min="792" max="792" width="15.42578125" style="110" customWidth="1"/>
    <col min="793" max="793" width="5.5703125" style="110" customWidth="1"/>
    <col min="794" max="794" width="4.7109375" style="110" customWidth="1"/>
    <col min="795" max="796" width="7.28515625" style="110" customWidth="1"/>
    <col min="797" max="797" width="8.42578125" style="110" customWidth="1"/>
    <col min="798" max="798" width="9.5703125" style="110" customWidth="1"/>
    <col min="799" max="799" width="6.28515625" style="110" customWidth="1"/>
    <col min="800" max="800" width="5.85546875" style="110" customWidth="1"/>
    <col min="801" max="802" width="4.42578125" style="110" customWidth="1"/>
    <col min="803" max="803" width="5" style="110" customWidth="1"/>
    <col min="804" max="804" width="5.85546875" style="110" customWidth="1"/>
    <col min="805" max="805" width="6.140625" style="110" customWidth="1"/>
    <col min="806" max="806" width="6.28515625" style="110" customWidth="1"/>
    <col min="807" max="807" width="4.85546875" style="110" customWidth="1"/>
    <col min="808" max="808" width="8.140625" style="110" customWidth="1"/>
    <col min="809" max="809" width="11.5703125" style="110" customWidth="1"/>
    <col min="810" max="810" width="13.7109375" style="110" customWidth="1"/>
    <col min="811" max="811" width="20.85546875" style="110" customWidth="1"/>
    <col min="812" max="1024" width="11.42578125" style="110"/>
    <col min="1025" max="1025" width="13.140625" style="110" customWidth="1"/>
    <col min="1026" max="1026" width="4" style="110" customWidth="1"/>
    <col min="1027" max="1027" width="12.85546875" style="110" customWidth="1"/>
    <col min="1028" max="1028" width="14.7109375" style="110" customWidth="1"/>
    <col min="1029" max="1029" width="10" style="110" customWidth="1"/>
    <col min="1030" max="1030" width="6.28515625" style="110" customWidth="1"/>
    <col min="1031" max="1031" width="12.28515625" style="110" customWidth="1"/>
    <col min="1032" max="1032" width="8.5703125" style="110" customWidth="1"/>
    <col min="1033" max="1033" width="13.7109375" style="110" customWidth="1"/>
    <col min="1034" max="1034" width="11.5703125" style="110" customWidth="1"/>
    <col min="1035" max="1035" width="24.7109375" style="110" customWidth="1"/>
    <col min="1036" max="1036" width="17.42578125" style="110" customWidth="1"/>
    <col min="1037" max="1037" width="20.85546875" style="110" customWidth="1"/>
    <col min="1038" max="1038" width="26.85546875" style="110" customWidth="1"/>
    <col min="1039" max="1039" width="8" style="110" customWidth="1"/>
    <col min="1040" max="1040" width="25" style="110" customWidth="1"/>
    <col min="1041" max="1041" width="12.7109375" style="110" customWidth="1"/>
    <col min="1042" max="1042" width="16.42578125" style="110" customWidth="1"/>
    <col min="1043" max="1043" width="23.5703125" style="110" customWidth="1"/>
    <col min="1044" max="1044" width="33.7109375" style="110" customWidth="1"/>
    <col min="1045" max="1045" width="31.140625" style="110" customWidth="1"/>
    <col min="1046" max="1046" width="19.28515625" style="110" customWidth="1"/>
    <col min="1047" max="1047" width="11.7109375" style="110" customWidth="1"/>
    <col min="1048" max="1048" width="15.42578125" style="110" customWidth="1"/>
    <col min="1049" max="1049" width="5.5703125" style="110" customWidth="1"/>
    <col min="1050" max="1050" width="4.7109375" style="110" customWidth="1"/>
    <col min="1051" max="1052" width="7.28515625" style="110" customWidth="1"/>
    <col min="1053" max="1053" width="8.42578125" style="110" customWidth="1"/>
    <col min="1054" max="1054" width="9.5703125" style="110" customWidth="1"/>
    <col min="1055" max="1055" width="6.28515625" style="110" customWidth="1"/>
    <col min="1056" max="1056" width="5.85546875" style="110" customWidth="1"/>
    <col min="1057" max="1058" width="4.42578125" style="110" customWidth="1"/>
    <col min="1059" max="1059" width="5" style="110" customWidth="1"/>
    <col min="1060" max="1060" width="5.85546875" style="110" customWidth="1"/>
    <col min="1061" max="1061" width="6.140625" style="110" customWidth="1"/>
    <col min="1062" max="1062" width="6.28515625" style="110" customWidth="1"/>
    <col min="1063" max="1063" width="4.85546875" style="110" customWidth="1"/>
    <col min="1064" max="1064" width="8.140625" style="110" customWidth="1"/>
    <col min="1065" max="1065" width="11.5703125" style="110" customWidth="1"/>
    <col min="1066" max="1066" width="13.7109375" style="110" customWidth="1"/>
    <col min="1067" max="1067" width="20.85546875" style="110" customWidth="1"/>
    <col min="1068" max="1280" width="11.42578125" style="110"/>
    <col min="1281" max="1281" width="13.140625" style="110" customWidth="1"/>
    <col min="1282" max="1282" width="4" style="110" customWidth="1"/>
    <col min="1283" max="1283" width="12.85546875" style="110" customWidth="1"/>
    <col min="1284" max="1284" width="14.7109375" style="110" customWidth="1"/>
    <col min="1285" max="1285" width="10" style="110" customWidth="1"/>
    <col min="1286" max="1286" width="6.28515625" style="110" customWidth="1"/>
    <col min="1287" max="1287" width="12.28515625" style="110" customWidth="1"/>
    <col min="1288" max="1288" width="8.5703125" style="110" customWidth="1"/>
    <col min="1289" max="1289" width="13.7109375" style="110" customWidth="1"/>
    <col min="1290" max="1290" width="11.5703125" style="110" customWidth="1"/>
    <col min="1291" max="1291" width="24.7109375" style="110" customWidth="1"/>
    <col min="1292" max="1292" width="17.42578125" style="110" customWidth="1"/>
    <col min="1293" max="1293" width="20.85546875" style="110" customWidth="1"/>
    <col min="1294" max="1294" width="26.85546875" style="110" customWidth="1"/>
    <col min="1295" max="1295" width="8" style="110" customWidth="1"/>
    <col min="1296" max="1296" width="25" style="110" customWidth="1"/>
    <col min="1297" max="1297" width="12.7109375" style="110" customWidth="1"/>
    <col min="1298" max="1298" width="16.42578125" style="110" customWidth="1"/>
    <col min="1299" max="1299" width="23.5703125" style="110" customWidth="1"/>
    <col min="1300" max="1300" width="33.7109375" style="110" customWidth="1"/>
    <col min="1301" max="1301" width="31.140625" style="110" customWidth="1"/>
    <col min="1302" max="1302" width="19.28515625" style="110" customWidth="1"/>
    <col min="1303" max="1303" width="11.7109375" style="110" customWidth="1"/>
    <col min="1304" max="1304" width="15.42578125" style="110" customWidth="1"/>
    <col min="1305" max="1305" width="5.5703125" style="110" customWidth="1"/>
    <col min="1306" max="1306" width="4.7109375" style="110" customWidth="1"/>
    <col min="1307" max="1308" width="7.28515625" style="110" customWidth="1"/>
    <col min="1309" max="1309" width="8.42578125" style="110" customWidth="1"/>
    <col min="1310" max="1310" width="9.5703125" style="110" customWidth="1"/>
    <col min="1311" max="1311" width="6.28515625" style="110" customWidth="1"/>
    <col min="1312" max="1312" width="5.85546875" style="110" customWidth="1"/>
    <col min="1313" max="1314" width="4.42578125" style="110" customWidth="1"/>
    <col min="1315" max="1315" width="5" style="110" customWidth="1"/>
    <col min="1316" max="1316" width="5.85546875" style="110" customWidth="1"/>
    <col min="1317" max="1317" width="6.140625" style="110" customWidth="1"/>
    <col min="1318" max="1318" width="6.28515625" style="110" customWidth="1"/>
    <col min="1319" max="1319" width="4.85546875" style="110" customWidth="1"/>
    <col min="1320" max="1320" width="8.140625" style="110" customWidth="1"/>
    <col min="1321" max="1321" width="11.5703125" style="110" customWidth="1"/>
    <col min="1322" max="1322" width="13.7109375" style="110" customWidth="1"/>
    <col min="1323" max="1323" width="20.85546875" style="110" customWidth="1"/>
    <col min="1324" max="1536" width="11.42578125" style="110"/>
    <col min="1537" max="1537" width="13.140625" style="110" customWidth="1"/>
    <col min="1538" max="1538" width="4" style="110" customWidth="1"/>
    <col min="1539" max="1539" width="12.85546875" style="110" customWidth="1"/>
    <col min="1540" max="1540" width="14.7109375" style="110" customWidth="1"/>
    <col min="1541" max="1541" width="10" style="110" customWidth="1"/>
    <col min="1542" max="1542" width="6.28515625" style="110" customWidth="1"/>
    <col min="1543" max="1543" width="12.28515625" style="110" customWidth="1"/>
    <col min="1544" max="1544" width="8.5703125" style="110" customWidth="1"/>
    <col min="1545" max="1545" width="13.7109375" style="110" customWidth="1"/>
    <col min="1546" max="1546" width="11.5703125" style="110" customWidth="1"/>
    <col min="1547" max="1547" width="24.7109375" style="110" customWidth="1"/>
    <col min="1548" max="1548" width="17.42578125" style="110" customWidth="1"/>
    <col min="1549" max="1549" width="20.85546875" style="110" customWidth="1"/>
    <col min="1550" max="1550" width="26.85546875" style="110" customWidth="1"/>
    <col min="1551" max="1551" width="8" style="110" customWidth="1"/>
    <col min="1552" max="1552" width="25" style="110" customWidth="1"/>
    <col min="1553" max="1553" width="12.7109375" style="110" customWidth="1"/>
    <col min="1554" max="1554" width="16.42578125" style="110" customWidth="1"/>
    <col min="1555" max="1555" width="23.5703125" style="110" customWidth="1"/>
    <col min="1556" max="1556" width="33.7109375" style="110" customWidth="1"/>
    <col min="1557" max="1557" width="31.140625" style="110" customWidth="1"/>
    <col min="1558" max="1558" width="19.28515625" style="110" customWidth="1"/>
    <col min="1559" max="1559" width="11.7109375" style="110" customWidth="1"/>
    <col min="1560" max="1560" width="15.42578125" style="110" customWidth="1"/>
    <col min="1561" max="1561" width="5.5703125" style="110" customWidth="1"/>
    <col min="1562" max="1562" width="4.7109375" style="110" customWidth="1"/>
    <col min="1563" max="1564" width="7.28515625" style="110" customWidth="1"/>
    <col min="1565" max="1565" width="8.42578125" style="110" customWidth="1"/>
    <col min="1566" max="1566" width="9.5703125" style="110" customWidth="1"/>
    <col min="1567" max="1567" width="6.28515625" style="110" customWidth="1"/>
    <col min="1568" max="1568" width="5.85546875" style="110" customWidth="1"/>
    <col min="1569" max="1570" width="4.42578125" style="110" customWidth="1"/>
    <col min="1571" max="1571" width="5" style="110" customWidth="1"/>
    <col min="1572" max="1572" width="5.85546875" style="110" customWidth="1"/>
    <col min="1573" max="1573" width="6.140625" style="110" customWidth="1"/>
    <col min="1574" max="1574" width="6.28515625" style="110" customWidth="1"/>
    <col min="1575" max="1575" width="4.85546875" style="110" customWidth="1"/>
    <col min="1576" max="1576" width="8.140625" style="110" customWidth="1"/>
    <col min="1577" max="1577" width="11.5703125" style="110" customWidth="1"/>
    <col min="1578" max="1578" width="13.7109375" style="110" customWidth="1"/>
    <col min="1579" max="1579" width="20.85546875" style="110" customWidth="1"/>
    <col min="1580" max="1792" width="11.42578125" style="110"/>
    <col min="1793" max="1793" width="13.140625" style="110" customWidth="1"/>
    <col min="1794" max="1794" width="4" style="110" customWidth="1"/>
    <col min="1795" max="1795" width="12.85546875" style="110" customWidth="1"/>
    <col min="1796" max="1796" width="14.7109375" style="110" customWidth="1"/>
    <col min="1797" max="1797" width="10" style="110" customWidth="1"/>
    <col min="1798" max="1798" width="6.28515625" style="110" customWidth="1"/>
    <col min="1799" max="1799" width="12.28515625" style="110" customWidth="1"/>
    <col min="1800" max="1800" width="8.5703125" style="110" customWidth="1"/>
    <col min="1801" max="1801" width="13.7109375" style="110" customWidth="1"/>
    <col min="1802" max="1802" width="11.5703125" style="110" customWidth="1"/>
    <col min="1803" max="1803" width="24.7109375" style="110" customWidth="1"/>
    <col min="1804" max="1804" width="17.42578125" style="110" customWidth="1"/>
    <col min="1805" max="1805" width="20.85546875" style="110" customWidth="1"/>
    <col min="1806" max="1806" width="26.85546875" style="110" customWidth="1"/>
    <col min="1807" max="1807" width="8" style="110" customWidth="1"/>
    <col min="1808" max="1808" width="25" style="110" customWidth="1"/>
    <col min="1809" max="1809" width="12.7109375" style="110" customWidth="1"/>
    <col min="1810" max="1810" width="16.42578125" style="110" customWidth="1"/>
    <col min="1811" max="1811" width="23.5703125" style="110" customWidth="1"/>
    <col min="1812" max="1812" width="33.7109375" style="110" customWidth="1"/>
    <col min="1813" max="1813" width="31.140625" style="110" customWidth="1"/>
    <col min="1814" max="1814" width="19.28515625" style="110" customWidth="1"/>
    <col min="1815" max="1815" width="11.7109375" style="110" customWidth="1"/>
    <col min="1816" max="1816" width="15.42578125" style="110" customWidth="1"/>
    <col min="1817" max="1817" width="5.5703125" style="110" customWidth="1"/>
    <col min="1818" max="1818" width="4.7109375" style="110" customWidth="1"/>
    <col min="1819" max="1820" width="7.28515625" style="110" customWidth="1"/>
    <col min="1821" max="1821" width="8.42578125" style="110" customWidth="1"/>
    <col min="1822" max="1822" width="9.5703125" style="110" customWidth="1"/>
    <col min="1823" max="1823" width="6.28515625" style="110" customWidth="1"/>
    <col min="1824" max="1824" width="5.85546875" style="110" customWidth="1"/>
    <col min="1825" max="1826" width="4.42578125" style="110" customWidth="1"/>
    <col min="1827" max="1827" width="5" style="110" customWidth="1"/>
    <col min="1828" max="1828" width="5.85546875" style="110" customWidth="1"/>
    <col min="1829" max="1829" width="6.140625" style="110" customWidth="1"/>
    <col min="1830" max="1830" width="6.28515625" style="110" customWidth="1"/>
    <col min="1831" max="1831" width="4.85546875" style="110" customWidth="1"/>
    <col min="1832" max="1832" width="8.140625" style="110" customWidth="1"/>
    <col min="1833" max="1833" width="11.5703125" style="110" customWidth="1"/>
    <col min="1834" max="1834" width="13.7109375" style="110" customWidth="1"/>
    <col min="1835" max="1835" width="20.85546875" style="110" customWidth="1"/>
    <col min="1836" max="2048" width="11.42578125" style="110"/>
    <col min="2049" max="2049" width="13.140625" style="110" customWidth="1"/>
    <col min="2050" max="2050" width="4" style="110" customWidth="1"/>
    <col min="2051" max="2051" width="12.85546875" style="110" customWidth="1"/>
    <col min="2052" max="2052" width="14.7109375" style="110" customWidth="1"/>
    <col min="2053" max="2053" width="10" style="110" customWidth="1"/>
    <col min="2054" max="2054" width="6.28515625" style="110" customWidth="1"/>
    <col min="2055" max="2055" width="12.28515625" style="110" customWidth="1"/>
    <col min="2056" max="2056" width="8.5703125" style="110" customWidth="1"/>
    <col min="2057" max="2057" width="13.7109375" style="110" customWidth="1"/>
    <col min="2058" max="2058" width="11.5703125" style="110" customWidth="1"/>
    <col min="2059" max="2059" width="24.7109375" style="110" customWidth="1"/>
    <col min="2060" max="2060" width="17.42578125" style="110" customWidth="1"/>
    <col min="2061" max="2061" width="20.85546875" style="110" customWidth="1"/>
    <col min="2062" max="2062" width="26.85546875" style="110" customWidth="1"/>
    <col min="2063" max="2063" width="8" style="110" customWidth="1"/>
    <col min="2064" max="2064" width="25" style="110" customWidth="1"/>
    <col min="2065" max="2065" width="12.7109375" style="110" customWidth="1"/>
    <col min="2066" max="2066" width="16.42578125" style="110" customWidth="1"/>
    <col min="2067" max="2067" width="23.5703125" style="110" customWidth="1"/>
    <col min="2068" max="2068" width="33.7109375" style="110" customWidth="1"/>
    <col min="2069" max="2069" width="31.140625" style="110" customWidth="1"/>
    <col min="2070" max="2070" width="19.28515625" style="110" customWidth="1"/>
    <col min="2071" max="2071" width="11.7109375" style="110" customWidth="1"/>
    <col min="2072" max="2072" width="15.42578125" style="110" customWidth="1"/>
    <col min="2073" max="2073" width="5.5703125" style="110" customWidth="1"/>
    <col min="2074" max="2074" width="4.7109375" style="110" customWidth="1"/>
    <col min="2075" max="2076" width="7.28515625" style="110" customWidth="1"/>
    <col min="2077" max="2077" width="8.42578125" style="110" customWidth="1"/>
    <col min="2078" max="2078" width="9.5703125" style="110" customWidth="1"/>
    <col min="2079" max="2079" width="6.28515625" style="110" customWidth="1"/>
    <col min="2080" max="2080" width="5.85546875" style="110" customWidth="1"/>
    <col min="2081" max="2082" width="4.42578125" style="110" customWidth="1"/>
    <col min="2083" max="2083" width="5" style="110" customWidth="1"/>
    <col min="2084" max="2084" width="5.85546875" style="110" customWidth="1"/>
    <col min="2085" max="2085" width="6.140625" style="110" customWidth="1"/>
    <col min="2086" max="2086" width="6.28515625" style="110" customWidth="1"/>
    <col min="2087" max="2087" width="4.85546875" style="110" customWidth="1"/>
    <col min="2088" max="2088" width="8.140625" style="110" customWidth="1"/>
    <col min="2089" max="2089" width="11.5703125" style="110" customWidth="1"/>
    <col min="2090" max="2090" width="13.7109375" style="110" customWidth="1"/>
    <col min="2091" max="2091" width="20.85546875" style="110" customWidth="1"/>
    <col min="2092" max="2304" width="11.42578125" style="110"/>
    <col min="2305" max="2305" width="13.140625" style="110" customWidth="1"/>
    <col min="2306" max="2306" width="4" style="110" customWidth="1"/>
    <col min="2307" max="2307" width="12.85546875" style="110" customWidth="1"/>
    <col min="2308" max="2308" width="14.7109375" style="110" customWidth="1"/>
    <col min="2309" max="2309" width="10" style="110" customWidth="1"/>
    <col min="2310" max="2310" width="6.28515625" style="110" customWidth="1"/>
    <col min="2311" max="2311" width="12.28515625" style="110" customWidth="1"/>
    <col min="2312" max="2312" width="8.5703125" style="110" customWidth="1"/>
    <col min="2313" max="2313" width="13.7109375" style="110" customWidth="1"/>
    <col min="2314" max="2314" width="11.5703125" style="110" customWidth="1"/>
    <col min="2315" max="2315" width="24.7109375" style="110" customWidth="1"/>
    <col min="2316" max="2316" width="17.42578125" style="110" customWidth="1"/>
    <col min="2317" max="2317" width="20.85546875" style="110" customWidth="1"/>
    <col min="2318" max="2318" width="26.85546875" style="110" customWidth="1"/>
    <col min="2319" max="2319" width="8" style="110" customWidth="1"/>
    <col min="2320" max="2320" width="25" style="110" customWidth="1"/>
    <col min="2321" max="2321" width="12.7109375" style="110" customWidth="1"/>
    <col min="2322" max="2322" width="16.42578125" style="110" customWidth="1"/>
    <col min="2323" max="2323" width="23.5703125" style="110" customWidth="1"/>
    <col min="2324" max="2324" width="33.7109375" style="110" customWidth="1"/>
    <col min="2325" max="2325" width="31.140625" style="110" customWidth="1"/>
    <col min="2326" max="2326" width="19.28515625" style="110" customWidth="1"/>
    <col min="2327" max="2327" width="11.7109375" style="110" customWidth="1"/>
    <col min="2328" max="2328" width="15.42578125" style="110" customWidth="1"/>
    <col min="2329" max="2329" width="5.5703125" style="110" customWidth="1"/>
    <col min="2330" max="2330" width="4.7109375" style="110" customWidth="1"/>
    <col min="2331" max="2332" width="7.28515625" style="110" customWidth="1"/>
    <col min="2333" max="2333" width="8.42578125" style="110" customWidth="1"/>
    <col min="2334" max="2334" width="9.5703125" style="110" customWidth="1"/>
    <col min="2335" max="2335" width="6.28515625" style="110" customWidth="1"/>
    <col min="2336" max="2336" width="5.85546875" style="110" customWidth="1"/>
    <col min="2337" max="2338" width="4.42578125" style="110" customWidth="1"/>
    <col min="2339" max="2339" width="5" style="110" customWidth="1"/>
    <col min="2340" max="2340" width="5.85546875" style="110" customWidth="1"/>
    <col min="2341" max="2341" width="6.140625" style="110" customWidth="1"/>
    <col min="2342" max="2342" width="6.28515625" style="110" customWidth="1"/>
    <col min="2343" max="2343" width="4.85546875" style="110" customWidth="1"/>
    <col min="2344" max="2344" width="8.140625" style="110" customWidth="1"/>
    <col min="2345" max="2345" width="11.5703125" style="110" customWidth="1"/>
    <col min="2346" max="2346" width="13.7109375" style="110" customWidth="1"/>
    <col min="2347" max="2347" width="20.85546875" style="110" customWidth="1"/>
    <col min="2348" max="2560" width="11.42578125" style="110"/>
    <col min="2561" max="2561" width="13.140625" style="110" customWidth="1"/>
    <col min="2562" max="2562" width="4" style="110" customWidth="1"/>
    <col min="2563" max="2563" width="12.85546875" style="110" customWidth="1"/>
    <col min="2564" max="2564" width="14.7109375" style="110" customWidth="1"/>
    <col min="2565" max="2565" width="10" style="110" customWidth="1"/>
    <col min="2566" max="2566" width="6.28515625" style="110" customWidth="1"/>
    <col min="2567" max="2567" width="12.28515625" style="110" customWidth="1"/>
    <col min="2568" max="2568" width="8.5703125" style="110" customWidth="1"/>
    <col min="2569" max="2569" width="13.7109375" style="110" customWidth="1"/>
    <col min="2570" max="2570" width="11.5703125" style="110" customWidth="1"/>
    <col min="2571" max="2571" width="24.7109375" style="110" customWidth="1"/>
    <col min="2572" max="2572" width="17.42578125" style="110" customWidth="1"/>
    <col min="2573" max="2573" width="20.85546875" style="110" customWidth="1"/>
    <col min="2574" max="2574" width="26.85546875" style="110" customWidth="1"/>
    <col min="2575" max="2575" width="8" style="110" customWidth="1"/>
    <col min="2576" max="2576" width="25" style="110" customWidth="1"/>
    <col min="2577" max="2577" width="12.7109375" style="110" customWidth="1"/>
    <col min="2578" max="2578" width="16.42578125" style="110" customWidth="1"/>
    <col min="2579" max="2579" width="23.5703125" style="110" customWidth="1"/>
    <col min="2580" max="2580" width="33.7109375" style="110" customWidth="1"/>
    <col min="2581" max="2581" width="31.140625" style="110" customWidth="1"/>
    <col min="2582" max="2582" width="19.28515625" style="110" customWidth="1"/>
    <col min="2583" max="2583" width="11.7109375" style="110" customWidth="1"/>
    <col min="2584" max="2584" width="15.42578125" style="110" customWidth="1"/>
    <col min="2585" max="2585" width="5.5703125" style="110" customWidth="1"/>
    <col min="2586" max="2586" width="4.7109375" style="110" customWidth="1"/>
    <col min="2587" max="2588" width="7.28515625" style="110" customWidth="1"/>
    <col min="2589" max="2589" width="8.42578125" style="110" customWidth="1"/>
    <col min="2590" max="2590" width="9.5703125" style="110" customWidth="1"/>
    <col min="2591" max="2591" width="6.28515625" style="110" customWidth="1"/>
    <col min="2592" max="2592" width="5.85546875" style="110" customWidth="1"/>
    <col min="2593" max="2594" width="4.42578125" style="110" customWidth="1"/>
    <col min="2595" max="2595" width="5" style="110" customWidth="1"/>
    <col min="2596" max="2596" width="5.85546875" style="110" customWidth="1"/>
    <col min="2597" max="2597" width="6.140625" style="110" customWidth="1"/>
    <col min="2598" max="2598" width="6.28515625" style="110" customWidth="1"/>
    <col min="2599" max="2599" width="4.85546875" style="110" customWidth="1"/>
    <col min="2600" max="2600" width="8.140625" style="110" customWidth="1"/>
    <col min="2601" max="2601" width="11.5703125" style="110" customWidth="1"/>
    <col min="2602" max="2602" width="13.7109375" style="110" customWidth="1"/>
    <col min="2603" max="2603" width="20.85546875" style="110" customWidth="1"/>
    <col min="2604" max="2816" width="11.42578125" style="110"/>
    <col min="2817" max="2817" width="13.140625" style="110" customWidth="1"/>
    <col min="2818" max="2818" width="4" style="110" customWidth="1"/>
    <col min="2819" max="2819" width="12.85546875" style="110" customWidth="1"/>
    <col min="2820" max="2820" width="14.7109375" style="110" customWidth="1"/>
    <col min="2821" max="2821" width="10" style="110" customWidth="1"/>
    <col min="2822" max="2822" width="6.28515625" style="110" customWidth="1"/>
    <col min="2823" max="2823" width="12.28515625" style="110" customWidth="1"/>
    <col min="2824" max="2824" width="8.5703125" style="110" customWidth="1"/>
    <col min="2825" max="2825" width="13.7109375" style="110" customWidth="1"/>
    <col min="2826" max="2826" width="11.5703125" style="110" customWidth="1"/>
    <col min="2827" max="2827" width="24.7109375" style="110" customWidth="1"/>
    <col min="2828" max="2828" width="17.42578125" style="110" customWidth="1"/>
    <col min="2829" max="2829" width="20.85546875" style="110" customWidth="1"/>
    <col min="2830" max="2830" width="26.85546875" style="110" customWidth="1"/>
    <col min="2831" max="2831" width="8" style="110" customWidth="1"/>
    <col min="2832" max="2832" width="25" style="110" customWidth="1"/>
    <col min="2833" max="2833" width="12.7109375" style="110" customWidth="1"/>
    <col min="2834" max="2834" width="16.42578125" style="110" customWidth="1"/>
    <col min="2835" max="2835" width="23.5703125" style="110" customWidth="1"/>
    <col min="2836" max="2836" width="33.7109375" style="110" customWidth="1"/>
    <col min="2837" max="2837" width="31.140625" style="110" customWidth="1"/>
    <col min="2838" max="2838" width="19.28515625" style="110" customWidth="1"/>
    <col min="2839" max="2839" width="11.7109375" style="110" customWidth="1"/>
    <col min="2840" max="2840" width="15.42578125" style="110" customWidth="1"/>
    <col min="2841" max="2841" width="5.5703125" style="110" customWidth="1"/>
    <col min="2842" max="2842" width="4.7109375" style="110" customWidth="1"/>
    <col min="2843" max="2844" width="7.28515625" style="110" customWidth="1"/>
    <col min="2845" max="2845" width="8.42578125" style="110" customWidth="1"/>
    <col min="2846" max="2846" width="9.5703125" style="110" customWidth="1"/>
    <col min="2847" max="2847" width="6.28515625" style="110" customWidth="1"/>
    <col min="2848" max="2848" width="5.85546875" style="110" customWidth="1"/>
    <col min="2849" max="2850" width="4.42578125" style="110" customWidth="1"/>
    <col min="2851" max="2851" width="5" style="110" customWidth="1"/>
    <col min="2852" max="2852" width="5.85546875" style="110" customWidth="1"/>
    <col min="2853" max="2853" width="6.140625" style="110" customWidth="1"/>
    <col min="2854" max="2854" width="6.28515625" style="110" customWidth="1"/>
    <col min="2855" max="2855" width="4.85546875" style="110" customWidth="1"/>
    <col min="2856" max="2856" width="8.140625" style="110" customWidth="1"/>
    <col min="2857" max="2857" width="11.5703125" style="110" customWidth="1"/>
    <col min="2858" max="2858" width="13.7109375" style="110" customWidth="1"/>
    <col min="2859" max="2859" width="20.85546875" style="110" customWidth="1"/>
    <col min="2860" max="3072" width="11.42578125" style="110"/>
    <col min="3073" max="3073" width="13.140625" style="110" customWidth="1"/>
    <col min="3074" max="3074" width="4" style="110" customWidth="1"/>
    <col min="3075" max="3075" width="12.85546875" style="110" customWidth="1"/>
    <col min="3076" max="3076" width="14.7109375" style="110" customWidth="1"/>
    <col min="3077" max="3077" width="10" style="110" customWidth="1"/>
    <col min="3078" max="3078" width="6.28515625" style="110" customWidth="1"/>
    <col min="3079" max="3079" width="12.28515625" style="110" customWidth="1"/>
    <col min="3080" max="3080" width="8.5703125" style="110" customWidth="1"/>
    <col min="3081" max="3081" width="13.7109375" style="110" customWidth="1"/>
    <col min="3082" max="3082" width="11.5703125" style="110" customWidth="1"/>
    <col min="3083" max="3083" width="24.7109375" style="110" customWidth="1"/>
    <col min="3084" max="3084" width="17.42578125" style="110" customWidth="1"/>
    <col min="3085" max="3085" width="20.85546875" style="110" customWidth="1"/>
    <col min="3086" max="3086" width="26.85546875" style="110" customWidth="1"/>
    <col min="3087" max="3087" width="8" style="110" customWidth="1"/>
    <col min="3088" max="3088" width="25" style="110" customWidth="1"/>
    <col min="3089" max="3089" width="12.7109375" style="110" customWidth="1"/>
    <col min="3090" max="3090" width="16.42578125" style="110" customWidth="1"/>
    <col min="3091" max="3091" width="23.5703125" style="110" customWidth="1"/>
    <col min="3092" max="3092" width="33.7109375" style="110" customWidth="1"/>
    <col min="3093" max="3093" width="31.140625" style="110" customWidth="1"/>
    <col min="3094" max="3094" width="19.28515625" style="110" customWidth="1"/>
    <col min="3095" max="3095" width="11.7109375" style="110" customWidth="1"/>
    <col min="3096" max="3096" width="15.42578125" style="110" customWidth="1"/>
    <col min="3097" max="3097" width="5.5703125" style="110" customWidth="1"/>
    <col min="3098" max="3098" width="4.7109375" style="110" customWidth="1"/>
    <col min="3099" max="3100" width="7.28515625" style="110" customWidth="1"/>
    <col min="3101" max="3101" width="8.42578125" style="110" customWidth="1"/>
    <col min="3102" max="3102" width="9.5703125" style="110" customWidth="1"/>
    <col min="3103" max="3103" width="6.28515625" style="110" customWidth="1"/>
    <col min="3104" max="3104" width="5.85546875" style="110" customWidth="1"/>
    <col min="3105" max="3106" width="4.42578125" style="110" customWidth="1"/>
    <col min="3107" max="3107" width="5" style="110" customWidth="1"/>
    <col min="3108" max="3108" width="5.85546875" style="110" customWidth="1"/>
    <col min="3109" max="3109" width="6.140625" style="110" customWidth="1"/>
    <col min="3110" max="3110" width="6.28515625" style="110" customWidth="1"/>
    <col min="3111" max="3111" width="4.85546875" style="110" customWidth="1"/>
    <col min="3112" max="3112" width="8.140625" style="110" customWidth="1"/>
    <col min="3113" max="3113" width="11.5703125" style="110" customWidth="1"/>
    <col min="3114" max="3114" width="13.7109375" style="110" customWidth="1"/>
    <col min="3115" max="3115" width="20.85546875" style="110" customWidth="1"/>
    <col min="3116" max="3328" width="11.42578125" style="110"/>
    <col min="3329" max="3329" width="13.140625" style="110" customWidth="1"/>
    <col min="3330" max="3330" width="4" style="110" customWidth="1"/>
    <col min="3331" max="3331" width="12.85546875" style="110" customWidth="1"/>
    <col min="3332" max="3332" width="14.7109375" style="110" customWidth="1"/>
    <col min="3333" max="3333" width="10" style="110" customWidth="1"/>
    <col min="3334" max="3334" width="6.28515625" style="110" customWidth="1"/>
    <col min="3335" max="3335" width="12.28515625" style="110" customWidth="1"/>
    <col min="3336" max="3336" width="8.5703125" style="110" customWidth="1"/>
    <col min="3337" max="3337" width="13.7109375" style="110" customWidth="1"/>
    <col min="3338" max="3338" width="11.5703125" style="110" customWidth="1"/>
    <col min="3339" max="3339" width="24.7109375" style="110" customWidth="1"/>
    <col min="3340" max="3340" width="17.42578125" style="110" customWidth="1"/>
    <col min="3341" max="3341" width="20.85546875" style="110" customWidth="1"/>
    <col min="3342" max="3342" width="26.85546875" style="110" customWidth="1"/>
    <col min="3343" max="3343" width="8" style="110" customWidth="1"/>
    <col min="3344" max="3344" width="25" style="110" customWidth="1"/>
    <col min="3345" max="3345" width="12.7109375" style="110" customWidth="1"/>
    <col min="3346" max="3346" width="16.42578125" style="110" customWidth="1"/>
    <col min="3347" max="3347" width="23.5703125" style="110" customWidth="1"/>
    <col min="3348" max="3348" width="33.7109375" style="110" customWidth="1"/>
    <col min="3349" max="3349" width="31.140625" style="110" customWidth="1"/>
    <col min="3350" max="3350" width="19.28515625" style="110" customWidth="1"/>
    <col min="3351" max="3351" width="11.7109375" style="110" customWidth="1"/>
    <col min="3352" max="3352" width="15.42578125" style="110" customWidth="1"/>
    <col min="3353" max="3353" width="5.5703125" style="110" customWidth="1"/>
    <col min="3354" max="3354" width="4.7109375" style="110" customWidth="1"/>
    <col min="3355" max="3356" width="7.28515625" style="110" customWidth="1"/>
    <col min="3357" max="3357" width="8.42578125" style="110" customWidth="1"/>
    <col min="3358" max="3358" width="9.5703125" style="110" customWidth="1"/>
    <col min="3359" max="3359" width="6.28515625" style="110" customWidth="1"/>
    <col min="3360" max="3360" width="5.85546875" style="110" customWidth="1"/>
    <col min="3361" max="3362" width="4.42578125" style="110" customWidth="1"/>
    <col min="3363" max="3363" width="5" style="110" customWidth="1"/>
    <col min="3364" max="3364" width="5.85546875" style="110" customWidth="1"/>
    <col min="3365" max="3365" width="6.140625" style="110" customWidth="1"/>
    <col min="3366" max="3366" width="6.28515625" style="110" customWidth="1"/>
    <col min="3367" max="3367" width="4.85546875" style="110" customWidth="1"/>
    <col min="3368" max="3368" width="8.140625" style="110" customWidth="1"/>
    <col min="3369" max="3369" width="11.5703125" style="110" customWidth="1"/>
    <col min="3370" max="3370" width="13.7109375" style="110" customWidth="1"/>
    <col min="3371" max="3371" width="20.85546875" style="110" customWidth="1"/>
    <col min="3372" max="3584" width="11.42578125" style="110"/>
    <col min="3585" max="3585" width="13.140625" style="110" customWidth="1"/>
    <col min="3586" max="3586" width="4" style="110" customWidth="1"/>
    <col min="3587" max="3587" width="12.85546875" style="110" customWidth="1"/>
    <col min="3588" max="3588" width="14.7109375" style="110" customWidth="1"/>
    <col min="3589" max="3589" width="10" style="110" customWidth="1"/>
    <col min="3590" max="3590" width="6.28515625" style="110" customWidth="1"/>
    <col min="3591" max="3591" width="12.28515625" style="110" customWidth="1"/>
    <col min="3592" max="3592" width="8.5703125" style="110" customWidth="1"/>
    <col min="3593" max="3593" width="13.7109375" style="110" customWidth="1"/>
    <col min="3594" max="3594" width="11.5703125" style="110" customWidth="1"/>
    <col min="3595" max="3595" width="24.7109375" style="110" customWidth="1"/>
    <col min="3596" max="3596" width="17.42578125" style="110" customWidth="1"/>
    <col min="3597" max="3597" width="20.85546875" style="110" customWidth="1"/>
    <col min="3598" max="3598" width="26.85546875" style="110" customWidth="1"/>
    <col min="3599" max="3599" width="8" style="110" customWidth="1"/>
    <col min="3600" max="3600" width="25" style="110" customWidth="1"/>
    <col min="3601" max="3601" width="12.7109375" style="110" customWidth="1"/>
    <col min="3602" max="3602" width="16.42578125" style="110" customWidth="1"/>
    <col min="3603" max="3603" width="23.5703125" style="110" customWidth="1"/>
    <col min="3604" max="3604" width="33.7109375" style="110" customWidth="1"/>
    <col min="3605" max="3605" width="31.140625" style="110" customWidth="1"/>
    <col min="3606" max="3606" width="19.28515625" style="110" customWidth="1"/>
    <col min="3607" max="3607" width="11.7109375" style="110" customWidth="1"/>
    <col min="3608" max="3608" width="15.42578125" style="110" customWidth="1"/>
    <col min="3609" max="3609" width="5.5703125" style="110" customWidth="1"/>
    <col min="3610" max="3610" width="4.7109375" style="110" customWidth="1"/>
    <col min="3611" max="3612" width="7.28515625" style="110" customWidth="1"/>
    <col min="3613" max="3613" width="8.42578125" style="110" customWidth="1"/>
    <col min="3614" max="3614" width="9.5703125" style="110" customWidth="1"/>
    <col min="3615" max="3615" width="6.28515625" style="110" customWidth="1"/>
    <col min="3616" max="3616" width="5.85546875" style="110" customWidth="1"/>
    <col min="3617" max="3618" width="4.42578125" style="110" customWidth="1"/>
    <col min="3619" max="3619" width="5" style="110" customWidth="1"/>
    <col min="3620" max="3620" width="5.85546875" style="110" customWidth="1"/>
    <col min="3621" max="3621" width="6.140625" style="110" customWidth="1"/>
    <col min="3622" max="3622" width="6.28515625" style="110" customWidth="1"/>
    <col min="3623" max="3623" width="4.85546875" style="110" customWidth="1"/>
    <col min="3624" max="3624" width="8.140625" style="110" customWidth="1"/>
    <col min="3625" max="3625" width="11.5703125" style="110" customWidth="1"/>
    <col min="3626" max="3626" width="13.7109375" style="110" customWidth="1"/>
    <col min="3627" max="3627" width="20.85546875" style="110" customWidth="1"/>
    <col min="3628" max="3840" width="11.42578125" style="110"/>
    <col min="3841" max="3841" width="13.140625" style="110" customWidth="1"/>
    <col min="3842" max="3842" width="4" style="110" customWidth="1"/>
    <col min="3843" max="3843" width="12.85546875" style="110" customWidth="1"/>
    <col min="3844" max="3844" width="14.7109375" style="110" customWidth="1"/>
    <col min="3845" max="3845" width="10" style="110" customWidth="1"/>
    <col min="3846" max="3846" width="6.28515625" style="110" customWidth="1"/>
    <col min="3847" max="3847" width="12.28515625" style="110" customWidth="1"/>
    <col min="3848" max="3848" width="8.5703125" style="110" customWidth="1"/>
    <col min="3849" max="3849" width="13.7109375" style="110" customWidth="1"/>
    <col min="3850" max="3850" width="11.5703125" style="110" customWidth="1"/>
    <col min="3851" max="3851" width="24.7109375" style="110" customWidth="1"/>
    <col min="3852" max="3852" width="17.42578125" style="110" customWidth="1"/>
    <col min="3853" max="3853" width="20.85546875" style="110" customWidth="1"/>
    <col min="3854" max="3854" width="26.85546875" style="110" customWidth="1"/>
    <col min="3855" max="3855" width="8" style="110" customWidth="1"/>
    <col min="3856" max="3856" width="25" style="110" customWidth="1"/>
    <col min="3857" max="3857" width="12.7109375" style="110" customWidth="1"/>
    <col min="3858" max="3858" width="16.42578125" style="110" customWidth="1"/>
    <col min="3859" max="3859" width="23.5703125" style="110" customWidth="1"/>
    <col min="3860" max="3860" width="33.7109375" style="110" customWidth="1"/>
    <col min="3861" max="3861" width="31.140625" style="110" customWidth="1"/>
    <col min="3862" max="3862" width="19.28515625" style="110" customWidth="1"/>
    <col min="3863" max="3863" width="11.7109375" style="110" customWidth="1"/>
    <col min="3864" max="3864" width="15.42578125" style="110" customWidth="1"/>
    <col min="3865" max="3865" width="5.5703125" style="110" customWidth="1"/>
    <col min="3866" max="3866" width="4.7109375" style="110" customWidth="1"/>
    <col min="3867" max="3868" width="7.28515625" style="110" customWidth="1"/>
    <col min="3869" max="3869" width="8.42578125" style="110" customWidth="1"/>
    <col min="3870" max="3870" width="9.5703125" style="110" customWidth="1"/>
    <col min="3871" max="3871" width="6.28515625" style="110" customWidth="1"/>
    <col min="3872" max="3872" width="5.85546875" style="110" customWidth="1"/>
    <col min="3873" max="3874" width="4.42578125" style="110" customWidth="1"/>
    <col min="3875" max="3875" width="5" style="110" customWidth="1"/>
    <col min="3876" max="3876" width="5.85546875" style="110" customWidth="1"/>
    <col min="3877" max="3877" width="6.140625" style="110" customWidth="1"/>
    <col min="3878" max="3878" width="6.28515625" style="110" customWidth="1"/>
    <col min="3879" max="3879" width="4.85546875" style="110" customWidth="1"/>
    <col min="3880" max="3880" width="8.140625" style="110" customWidth="1"/>
    <col min="3881" max="3881" width="11.5703125" style="110" customWidth="1"/>
    <col min="3882" max="3882" width="13.7109375" style="110" customWidth="1"/>
    <col min="3883" max="3883" width="20.85546875" style="110" customWidth="1"/>
    <col min="3884" max="4096" width="11.42578125" style="110"/>
    <col min="4097" max="4097" width="13.140625" style="110" customWidth="1"/>
    <col min="4098" max="4098" width="4" style="110" customWidth="1"/>
    <col min="4099" max="4099" width="12.85546875" style="110" customWidth="1"/>
    <col min="4100" max="4100" width="14.7109375" style="110" customWidth="1"/>
    <col min="4101" max="4101" width="10" style="110" customWidth="1"/>
    <col min="4102" max="4102" width="6.28515625" style="110" customWidth="1"/>
    <col min="4103" max="4103" width="12.28515625" style="110" customWidth="1"/>
    <col min="4104" max="4104" width="8.5703125" style="110" customWidth="1"/>
    <col min="4105" max="4105" width="13.7109375" style="110" customWidth="1"/>
    <col min="4106" max="4106" width="11.5703125" style="110" customWidth="1"/>
    <col min="4107" max="4107" width="24.7109375" style="110" customWidth="1"/>
    <col min="4108" max="4108" width="17.42578125" style="110" customWidth="1"/>
    <col min="4109" max="4109" width="20.85546875" style="110" customWidth="1"/>
    <col min="4110" max="4110" width="26.85546875" style="110" customWidth="1"/>
    <col min="4111" max="4111" width="8" style="110" customWidth="1"/>
    <col min="4112" max="4112" width="25" style="110" customWidth="1"/>
    <col min="4113" max="4113" width="12.7109375" style="110" customWidth="1"/>
    <col min="4114" max="4114" width="16.42578125" style="110" customWidth="1"/>
    <col min="4115" max="4115" width="23.5703125" style="110" customWidth="1"/>
    <col min="4116" max="4116" width="33.7109375" style="110" customWidth="1"/>
    <col min="4117" max="4117" width="31.140625" style="110" customWidth="1"/>
    <col min="4118" max="4118" width="19.28515625" style="110" customWidth="1"/>
    <col min="4119" max="4119" width="11.7109375" style="110" customWidth="1"/>
    <col min="4120" max="4120" width="15.42578125" style="110" customWidth="1"/>
    <col min="4121" max="4121" width="5.5703125" style="110" customWidth="1"/>
    <col min="4122" max="4122" width="4.7109375" style="110" customWidth="1"/>
    <col min="4123" max="4124" width="7.28515625" style="110" customWidth="1"/>
    <col min="4125" max="4125" width="8.42578125" style="110" customWidth="1"/>
    <col min="4126" max="4126" width="9.5703125" style="110" customWidth="1"/>
    <col min="4127" max="4127" width="6.28515625" style="110" customWidth="1"/>
    <col min="4128" max="4128" width="5.85546875" style="110" customWidth="1"/>
    <col min="4129" max="4130" width="4.42578125" style="110" customWidth="1"/>
    <col min="4131" max="4131" width="5" style="110" customWidth="1"/>
    <col min="4132" max="4132" width="5.85546875" style="110" customWidth="1"/>
    <col min="4133" max="4133" width="6.140625" style="110" customWidth="1"/>
    <col min="4134" max="4134" width="6.28515625" style="110" customWidth="1"/>
    <col min="4135" max="4135" width="4.85546875" style="110" customWidth="1"/>
    <col min="4136" max="4136" width="8.140625" style="110" customWidth="1"/>
    <col min="4137" max="4137" width="11.5703125" style="110" customWidth="1"/>
    <col min="4138" max="4138" width="13.7109375" style="110" customWidth="1"/>
    <col min="4139" max="4139" width="20.85546875" style="110" customWidth="1"/>
    <col min="4140" max="4352" width="11.42578125" style="110"/>
    <col min="4353" max="4353" width="13.140625" style="110" customWidth="1"/>
    <col min="4354" max="4354" width="4" style="110" customWidth="1"/>
    <col min="4355" max="4355" width="12.85546875" style="110" customWidth="1"/>
    <col min="4356" max="4356" width="14.7109375" style="110" customWidth="1"/>
    <col min="4357" max="4357" width="10" style="110" customWidth="1"/>
    <col min="4358" max="4358" width="6.28515625" style="110" customWidth="1"/>
    <col min="4359" max="4359" width="12.28515625" style="110" customWidth="1"/>
    <col min="4360" max="4360" width="8.5703125" style="110" customWidth="1"/>
    <col min="4361" max="4361" width="13.7109375" style="110" customWidth="1"/>
    <col min="4362" max="4362" width="11.5703125" style="110" customWidth="1"/>
    <col min="4363" max="4363" width="24.7109375" style="110" customWidth="1"/>
    <col min="4364" max="4364" width="17.42578125" style="110" customWidth="1"/>
    <col min="4365" max="4365" width="20.85546875" style="110" customWidth="1"/>
    <col min="4366" max="4366" width="26.85546875" style="110" customWidth="1"/>
    <col min="4367" max="4367" width="8" style="110" customWidth="1"/>
    <col min="4368" max="4368" width="25" style="110" customWidth="1"/>
    <col min="4369" max="4369" width="12.7109375" style="110" customWidth="1"/>
    <col min="4370" max="4370" width="16.42578125" style="110" customWidth="1"/>
    <col min="4371" max="4371" width="23.5703125" style="110" customWidth="1"/>
    <col min="4372" max="4372" width="33.7109375" style="110" customWidth="1"/>
    <col min="4373" max="4373" width="31.140625" style="110" customWidth="1"/>
    <col min="4374" max="4374" width="19.28515625" style="110" customWidth="1"/>
    <col min="4375" max="4375" width="11.7109375" style="110" customWidth="1"/>
    <col min="4376" max="4376" width="15.42578125" style="110" customWidth="1"/>
    <col min="4377" max="4377" width="5.5703125" style="110" customWidth="1"/>
    <col min="4378" max="4378" width="4.7109375" style="110" customWidth="1"/>
    <col min="4379" max="4380" width="7.28515625" style="110" customWidth="1"/>
    <col min="4381" max="4381" width="8.42578125" style="110" customWidth="1"/>
    <col min="4382" max="4382" width="9.5703125" style="110" customWidth="1"/>
    <col min="4383" max="4383" width="6.28515625" style="110" customWidth="1"/>
    <col min="4384" max="4384" width="5.85546875" style="110" customWidth="1"/>
    <col min="4385" max="4386" width="4.42578125" style="110" customWidth="1"/>
    <col min="4387" max="4387" width="5" style="110" customWidth="1"/>
    <col min="4388" max="4388" width="5.85546875" style="110" customWidth="1"/>
    <col min="4389" max="4389" width="6.140625" style="110" customWidth="1"/>
    <col min="4390" max="4390" width="6.28515625" style="110" customWidth="1"/>
    <col min="4391" max="4391" width="4.85546875" style="110" customWidth="1"/>
    <col min="4392" max="4392" width="8.140625" style="110" customWidth="1"/>
    <col min="4393" max="4393" width="11.5703125" style="110" customWidth="1"/>
    <col min="4394" max="4394" width="13.7109375" style="110" customWidth="1"/>
    <col min="4395" max="4395" width="20.85546875" style="110" customWidth="1"/>
    <col min="4396" max="4608" width="11.42578125" style="110"/>
    <col min="4609" max="4609" width="13.140625" style="110" customWidth="1"/>
    <col min="4610" max="4610" width="4" style="110" customWidth="1"/>
    <col min="4611" max="4611" width="12.85546875" style="110" customWidth="1"/>
    <col min="4612" max="4612" width="14.7109375" style="110" customWidth="1"/>
    <col min="4613" max="4613" width="10" style="110" customWidth="1"/>
    <col min="4614" max="4614" width="6.28515625" style="110" customWidth="1"/>
    <col min="4615" max="4615" width="12.28515625" style="110" customWidth="1"/>
    <col min="4616" max="4616" width="8.5703125" style="110" customWidth="1"/>
    <col min="4617" max="4617" width="13.7109375" style="110" customWidth="1"/>
    <col min="4618" max="4618" width="11.5703125" style="110" customWidth="1"/>
    <col min="4619" max="4619" width="24.7109375" style="110" customWidth="1"/>
    <col min="4620" max="4620" width="17.42578125" style="110" customWidth="1"/>
    <col min="4621" max="4621" width="20.85546875" style="110" customWidth="1"/>
    <col min="4622" max="4622" width="26.85546875" style="110" customWidth="1"/>
    <col min="4623" max="4623" width="8" style="110" customWidth="1"/>
    <col min="4624" max="4624" width="25" style="110" customWidth="1"/>
    <col min="4625" max="4625" width="12.7109375" style="110" customWidth="1"/>
    <col min="4626" max="4626" width="16.42578125" style="110" customWidth="1"/>
    <col min="4627" max="4627" width="23.5703125" style="110" customWidth="1"/>
    <col min="4628" max="4628" width="33.7109375" style="110" customWidth="1"/>
    <col min="4629" max="4629" width="31.140625" style="110" customWidth="1"/>
    <col min="4630" max="4630" width="19.28515625" style="110" customWidth="1"/>
    <col min="4631" max="4631" width="11.7109375" style="110" customWidth="1"/>
    <col min="4632" max="4632" width="15.42578125" style="110" customWidth="1"/>
    <col min="4633" max="4633" width="5.5703125" style="110" customWidth="1"/>
    <col min="4634" max="4634" width="4.7109375" style="110" customWidth="1"/>
    <col min="4635" max="4636" width="7.28515625" style="110" customWidth="1"/>
    <col min="4637" max="4637" width="8.42578125" style="110" customWidth="1"/>
    <col min="4638" max="4638" width="9.5703125" style="110" customWidth="1"/>
    <col min="4639" max="4639" width="6.28515625" style="110" customWidth="1"/>
    <col min="4640" max="4640" width="5.85546875" style="110" customWidth="1"/>
    <col min="4641" max="4642" width="4.42578125" style="110" customWidth="1"/>
    <col min="4643" max="4643" width="5" style="110" customWidth="1"/>
    <col min="4644" max="4644" width="5.85546875" style="110" customWidth="1"/>
    <col min="4645" max="4645" width="6.140625" style="110" customWidth="1"/>
    <col min="4646" max="4646" width="6.28515625" style="110" customWidth="1"/>
    <col min="4647" max="4647" width="4.85546875" style="110" customWidth="1"/>
    <col min="4648" max="4648" width="8.140625" style="110" customWidth="1"/>
    <col min="4649" max="4649" width="11.5703125" style="110" customWidth="1"/>
    <col min="4650" max="4650" width="13.7109375" style="110" customWidth="1"/>
    <col min="4651" max="4651" width="20.85546875" style="110" customWidth="1"/>
    <col min="4652" max="4864" width="11.42578125" style="110"/>
    <col min="4865" max="4865" width="13.140625" style="110" customWidth="1"/>
    <col min="4866" max="4866" width="4" style="110" customWidth="1"/>
    <col min="4867" max="4867" width="12.85546875" style="110" customWidth="1"/>
    <col min="4868" max="4868" width="14.7109375" style="110" customWidth="1"/>
    <col min="4869" max="4869" width="10" style="110" customWidth="1"/>
    <col min="4870" max="4870" width="6.28515625" style="110" customWidth="1"/>
    <col min="4871" max="4871" width="12.28515625" style="110" customWidth="1"/>
    <col min="4872" max="4872" width="8.5703125" style="110" customWidth="1"/>
    <col min="4873" max="4873" width="13.7109375" style="110" customWidth="1"/>
    <col min="4874" max="4874" width="11.5703125" style="110" customWidth="1"/>
    <col min="4875" max="4875" width="24.7109375" style="110" customWidth="1"/>
    <col min="4876" max="4876" width="17.42578125" style="110" customWidth="1"/>
    <col min="4877" max="4877" width="20.85546875" style="110" customWidth="1"/>
    <col min="4878" max="4878" width="26.85546875" style="110" customWidth="1"/>
    <col min="4879" max="4879" width="8" style="110" customWidth="1"/>
    <col min="4880" max="4880" width="25" style="110" customWidth="1"/>
    <col min="4881" max="4881" width="12.7109375" style="110" customWidth="1"/>
    <col min="4882" max="4882" width="16.42578125" style="110" customWidth="1"/>
    <col min="4883" max="4883" width="23.5703125" style="110" customWidth="1"/>
    <col min="4884" max="4884" width="33.7109375" style="110" customWidth="1"/>
    <col min="4885" max="4885" width="31.140625" style="110" customWidth="1"/>
    <col min="4886" max="4886" width="19.28515625" style="110" customWidth="1"/>
    <col min="4887" max="4887" width="11.7109375" style="110" customWidth="1"/>
    <col min="4888" max="4888" width="15.42578125" style="110" customWidth="1"/>
    <col min="4889" max="4889" width="5.5703125" style="110" customWidth="1"/>
    <col min="4890" max="4890" width="4.7109375" style="110" customWidth="1"/>
    <col min="4891" max="4892" width="7.28515625" style="110" customWidth="1"/>
    <col min="4893" max="4893" width="8.42578125" style="110" customWidth="1"/>
    <col min="4894" max="4894" width="9.5703125" style="110" customWidth="1"/>
    <col min="4895" max="4895" width="6.28515625" style="110" customWidth="1"/>
    <col min="4896" max="4896" width="5.85546875" style="110" customWidth="1"/>
    <col min="4897" max="4898" width="4.42578125" style="110" customWidth="1"/>
    <col min="4899" max="4899" width="5" style="110" customWidth="1"/>
    <col min="4900" max="4900" width="5.85546875" style="110" customWidth="1"/>
    <col min="4901" max="4901" width="6.140625" style="110" customWidth="1"/>
    <col min="4902" max="4902" width="6.28515625" style="110" customWidth="1"/>
    <col min="4903" max="4903" width="4.85546875" style="110" customWidth="1"/>
    <col min="4904" max="4904" width="8.140625" style="110" customWidth="1"/>
    <col min="4905" max="4905" width="11.5703125" style="110" customWidth="1"/>
    <col min="4906" max="4906" width="13.7109375" style="110" customWidth="1"/>
    <col min="4907" max="4907" width="20.85546875" style="110" customWidth="1"/>
    <col min="4908" max="5120" width="11.42578125" style="110"/>
    <col min="5121" max="5121" width="13.140625" style="110" customWidth="1"/>
    <col min="5122" max="5122" width="4" style="110" customWidth="1"/>
    <col min="5123" max="5123" width="12.85546875" style="110" customWidth="1"/>
    <col min="5124" max="5124" width="14.7109375" style="110" customWidth="1"/>
    <col min="5125" max="5125" width="10" style="110" customWidth="1"/>
    <col min="5126" max="5126" width="6.28515625" style="110" customWidth="1"/>
    <col min="5127" max="5127" width="12.28515625" style="110" customWidth="1"/>
    <col min="5128" max="5128" width="8.5703125" style="110" customWidth="1"/>
    <col min="5129" max="5129" width="13.7109375" style="110" customWidth="1"/>
    <col min="5130" max="5130" width="11.5703125" style="110" customWidth="1"/>
    <col min="5131" max="5131" width="24.7109375" style="110" customWidth="1"/>
    <col min="5132" max="5132" width="17.42578125" style="110" customWidth="1"/>
    <col min="5133" max="5133" width="20.85546875" style="110" customWidth="1"/>
    <col min="5134" max="5134" width="26.85546875" style="110" customWidth="1"/>
    <col min="5135" max="5135" width="8" style="110" customWidth="1"/>
    <col min="5136" max="5136" width="25" style="110" customWidth="1"/>
    <col min="5137" max="5137" width="12.7109375" style="110" customWidth="1"/>
    <col min="5138" max="5138" width="16.42578125" style="110" customWidth="1"/>
    <col min="5139" max="5139" width="23.5703125" style="110" customWidth="1"/>
    <col min="5140" max="5140" width="33.7109375" style="110" customWidth="1"/>
    <col min="5141" max="5141" width="31.140625" style="110" customWidth="1"/>
    <col min="5142" max="5142" width="19.28515625" style="110" customWidth="1"/>
    <col min="5143" max="5143" width="11.7109375" style="110" customWidth="1"/>
    <col min="5144" max="5144" width="15.42578125" style="110" customWidth="1"/>
    <col min="5145" max="5145" width="5.5703125" style="110" customWidth="1"/>
    <col min="5146" max="5146" width="4.7109375" style="110" customWidth="1"/>
    <col min="5147" max="5148" width="7.28515625" style="110" customWidth="1"/>
    <col min="5149" max="5149" width="8.42578125" style="110" customWidth="1"/>
    <col min="5150" max="5150" width="9.5703125" style="110" customWidth="1"/>
    <col min="5151" max="5151" width="6.28515625" style="110" customWidth="1"/>
    <col min="5152" max="5152" width="5.85546875" style="110" customWidth="1"/>
    <col min="5153" max="5154" width="4.42578125" style="110" customWidth="1"/>
    <col min="5155" max="5155" width="5" style="110" customWidth="1"/>
    <col min="5156" max="5156" width="5.85546875" style="110" customWidth="1"/>
    <col min="5157" max="5157" width="6.140625" style="110" customWidth="1"/>
    <col min="5158" max="5158" width="6.28515625" style="110" customWidth="1"/>
    <col min="5159" max="5159" width="4.85546875" style="110" customWidth="1"/>
    <col min="5160" max="5160" width="8.140625" style="110" customWidth="1"/>
    <col min="5161" max="5161" width="11.5703125" style="110" customWidth="1"/>
    <col min="5162" max="5162" width="13.7109375" style="110" customWidth="1"/>
    <col min="5163" max="5163" width="20.85546875" style="110" customWidth="1"/>
    <col min="5164" max="5376" width="11.42578125" style="110"/>
    <col min="5377" max="5377" width="13.140625" style="110" customWidth="1"/>
    <col min="5378" max="5378" width="4" style="110" customWidth="1"/>
    <col min="5379" max="5379" width="12.85546875" style="110" customWidth="1"/>
    <col min="5380" max="5380" width="14.7109375" style="110" customWidth="1"/>
    <col min="5381" max="5381" width="10" style="110" customWidth="1"/>
    <col min="5382" max="5382" width="6.28515625" style="110" customWidth="1"/>
    <col min="5383" max="5383" width="12.28515625" style="110" customWidth="1"/>
    <col min="5384" max="5384" width="8.5703125" style="110" customWidth="1"/>
    <col min="5385" max="5385" width="13.7109375" style="110" customWidth="1"/>
    <col min="5386" max="5386" width="11.5703125" style="110" customWidth="1"/>
    <col min="5387" max="5387" width="24.7109375" style="110" customWidth="1"/>
    <col min="5388" max="5388" width="17.42578125" style="110" customWidth="1"/>
    <col min="5389" max="5389" width="20.85546875" style="110" customWidth="1"/>
    <col min="5390" max="5390" width="26.85546875" style="110" customWidth="1"/>
    <col min="5391" max="5391" width="8" style="110" customWidth="1"/>
    <col min="5392" max="5392" width="25" style="110" customWidth="1"/>
    <col min="5393" max="5393" width="12.7109375" style="110" customWidth="1"/>
    <col min="5394" max="5394" width="16.42578125" style="110" customWidth="1"/>
    <col min="5395" max="5395" width="23.5703125" style="110" customWidth="1"/>
    <col min="5396" max="5396" width="33.7109375" style="110" customWidth="1"/>
    <col min="5397" max="5397" width="31.140625" style="110" customWidth="1"/>
    <col min="5398" max="5398" width="19.28515625" style="110" customWidth="1"/>
    <col min="5399" max="5399" width="11.7109375" style="110" customWidth="1"/>
    <col min="5400" max="5400" width="15.42578125" style="110" customWidth="1"/>
    <col min="5401" max="5401" width="5.5703125" style="110" customWidth="1"/>
    <col min="5402" max="5402" width="4.7109375" style="110" customWidth="1"/>
    <col min="5403" max="5404" width="7.28515625" style="110" customWidth="1"/>
    <col min="5405" max="5405" width="8.42578125" style="110" customWidth="1"/>
    <col min="5406" max="5406" width="9.5703125" style="110" customWidth="1"/>
    <col min="5407" max="5407" width="6.28515625" style="110" customWidth="1"/>
    <col min="5408" max="5408" width="5.85546875" style="110" customWidth="1"/>
    <col min="5409" max="5410" width="4.42578125" style="110" customWidth="1"/>
    <col min="5411" max="5411" width="5" style="110" customWidth="1"/>
    <col min="5412" max="5412" width="5.85546875" style="110" customWidth="1"/>
    <col min="5413" max="5413" width="6.140625" style="110" customWidth="1"/>
    <col min="5414" max="5414" width="6.28515625" style="110" customWidth="1"/>
    <col min="5415" max="5415" width="4.85546875" style="110" customWidth="1"/>
    <col min="5416" max="5416" width="8.140625" style="110" customWidth="1"/>
    <col min="5417" max="5417" width="11.5703125" style="110" customWidth="1"/>
    <col min="5418" max="5418" width="13.7109375" style="110" customWidth="1"/>
    <col min="5419" max="5419" width="20.85546875" style="110" customWidth="1"/>
    <col min="5420" max="5632" width="11.42578125" style="110"/>
    <col min="5633" max="5633" width="13.140625" style="110" customWidth="1"/>
    <col min="5634" max="5634" width="4" style="110" customWidth="1"/>
    <col min="5635" max="5635" width="12.85546875" style="110" customWidth="1"/>
    <col min="5636" max="5636" width="14.7109375" style="110" customWidth="1"/>
    <col min="5637" max="5637" width="10" style="110" customWidth="1"/>
    <col min="5638" max="5638" width="6.28515625" style="110" customWidth="1"/>
    <col min="5639" max="5639" width="12.28515625" style="110" customWidth="1"/>
    <col min="5640" max="5640" width="8.5703125" style="110" customWidth="1"/>
    <col min="5641" max="5641" width="13.7109375" style="110" customWidth="1"/>
    <col min="5642" max="5642" width="11.5703125" style="110" customWidth="1"/>
    <col min="5643" max="5643" width="24.7109375" style="110" customWidth="1"/>
    <col min="5644" max="5644" width="17.42578125" style="110" customWidth="1"/>
    <col min="5645" max="5645" width="20.85546875" style="110" customWidth="1"/>
    <col min="5646" max="5646" width="26.85546875" style="110" customWidth="1"/>
    <col min="5647" max="5647" width="8" style="110" customWidth="1"/>
    <col min="5648" max="5648" width="25" style="110" customWidth="1"/>
    <col min="5649" max="5649" width="12.7109375" style="110" customWidth="1"/>
    <col min="5650" max="5650" width="16.42578125" style="110" customWidth="1"/>
    <col min="5651" max="5651" width="23.5703125" style="110" customWidth="1"/>
    <col min="5652" max="5652" width="33.7109375" style="110" customWidth="1"/>
    <col min="5653" max="5653" width="31.140625" style="110" customWidth="1"/>
    <col min="5654" max="5654" width="19.28515625" style="110" customWidth="1"/>
    <col min="5655" max="5655" width="11.7109375" style="110" customWidth="1"/>
    <col min="5656" max="5656" width="15.42578125" style="110" customWidth="1"/>
    <col min="5657" max="5657" width="5.5703125" style="110" customWidth="1"/>
    <col min="5658" max="5658" width="4.7109375" style="110" customWidth="1"/>
    <col min="5659" max="5660" width="7.28515625" style="110" customWidth="1"/>
    <col min="5661" max="5661" width="8.42578125" style="110" customWidth="1"/>
    <col min="5662" max="5662" width="9.5703125" style="110" customWidth="1"/>
    <col min="5663" max="5663" width="6.28515625" style="110" customWidth="1"/>
    <col min="5664" max="5664" width="5.85546875" style="110" customWidth="1"/>
    <col min="5665" max="5666" width="4.42578125" style="110" customWidth="1"/>
    <col min="5667" max="5667" width="5" style="110" customWidth="1"/>
    <col min="5668" max="5668" width="5.85546875" style="110" customWidth="1"/>
    <col min="5669" max="5669" width="6.140625" style="110" customWidth="1"/>
    <col min="5670" max="5670" width="6.28515625" style="110" customWidth="1"/>
    <col min="5671" max="5671" width="4.85546875" style="110" customWidth="1"/>
    <col min="5672" max="5672" width="8.140625" style="110" customWidth="1"/>
    <col min="5673" max="5673" width="11.5703125" style="110" customWidth="1"/>
    <col min="5674" max="5674" width="13.7109375" style="110" customWidth="1"/>
    <col min="5675" max="5675" width="20.85546875" style="110" customWidth="1"/>
    <col min="5676" max="5888" width="11.42578125" style="110"/>
    <col min="5889" max="5889" width="13.140625" style="110" customWidth="1"/>
    <col min="5890" max="5890" width="4" style="110" customWidth="1"/>
    <col min="5891" max="5891" width="12.85546875" style="110" customWidth="1"/>
    <col min="5892" max="5892" width="14.7109375" style="110" customWidth="1"/>
    <col min="5893" max="5893" width="10" style="110" customWidth="1"/>
    <col min="5894" max="5894" width="6.28515625" style="110" customWidth="1"/>
    <col min="5895" max="5895" width="12.28515625" style="110" customWidth="1"/>
    <col min="5896" max="5896" width="8.5703125" style="110" customWidth="1"/>
    <col min="5897" max="5897" width="13.7109375" style="110" customWidth="1"/>
    <col min="5898" max="5898" width="11.5703125" style="110" customWidth="1"/>
    <col min="5899" max="5899" width="24.7109375" style="110" customWidth="1"/>
    <col min="5900" max="5900" width="17.42578125" style="110" customWidth="1"/>
    <col min="5901" max="5901" width="20.85546875" style="110" customWidth="1"/>
    <col min="5902" max="5902" width="26.85546875" style="110" customWidth="1"/>
    <col min="5903" max="5903" width="8" style="110" customWidth="1"/>
    <col min="5904" max="5904" width="25" style="110" customWidth="1"/>
    <col min="5905" max="5905" width="12.7109375" style="110" customWidth="1"/>
    <col min="5906" max="5906" width="16.42578125" style="110" customWidth="1"/>
    <col min="5907" max="5907" width="23.5703125" style="110" customWidth="1"/>
    <col min="5908" max="5908" width="33.7109375" style="110" customWidth="1"/>
    <col min="5909" max="5909" width="31.140625" style="110" customWidth="1"/>
    <col min="5910" max="5910" width="19.28515625" style="110" customWidth="1"/>
    <col min="5911" max="5911" width="11.7109375" style="110" customWidth="1"/>
    <col min="5912" max="5912" width="15.42578125" style="110" customWidth="1"/>
    <col min="5913" max="5913" width="5.5703125" style="110" customWidth="1"/>
    <col min="5914" max="5914" width="4.7109375" style="110" customWidth="1"/>
    <col min="5915" max="5916" width="7.28515625" style="110" customWidth="1"/>
    <col min="5917" max="5917" width="8.42578125" style="110" customWidth="1"/>
    <col min="5918" max="5918" width="9.5703125" style="110" customWidth="1"/>
    <col min="5919" max="5919" width="6.28515625" style="110" customWidth="1"/>
    <col min="5920" max="5920" width="5.85546875" style="110" customWidth="1"/>
    <col min="5921" max="5922" width="4.42578125" style="110" customWidth="1"/>
    <col min="5923" max="5923" width="5" style="110" customWidth="1"/>
    <col min="5924" max="5924" width="5.85546875" style="110" customWidth="1"/>
    <col min="5925" max="5925" width="6.140625" style="110" customWidth="1"/>
    <col min="5926" max="5926" width="6.28515625" style="110" customWidth="1"/>
    <col min="5927" max="5927" width="4.85546875" style="110" customWidth="1"/>
    <col min="5928" max="5928" width="8.140625" style="110" customWidth="1"/>
    <col min="5929" max="5929" width="11.5703125" style="110" customWidth="1"/>
    <col min="5930" max="5930" width="13.7109375" style="110" customWidth="1"/>
    <col min="5931" max="5931" width="20.85546875" style="110" customWidth="1"/>
    <col min="5932" max="6144" width="11.42578125" style="110"/>
    <col min="6145" max="6145" width="13.140625" style="110" customWidth="1"/>
    <col min="6146" max="6146" width="4" style="110" customWidth="1"/>
    <col min="6147" max="6147" width="12.85546875" style="110" customWidth="1"/>
    <col min="6148" max="6148" width="14.7109375" style="110" customWidth="1"/>
    <col min="6149" max="6149" width="10" style="110" customWidth="1"/>
    <col min="6150" max="6150" width="6.28515625" style="110" customWidth="1"/>
    <col min="6151" max="6151" width="12.28515625" style="110" customWidth="1"/>
    <col min="6152" max="6152" width="8.5703125" style="110" customWidth="1"/>
    <col min="6153" max="6153" width="13.7109375" style="110" customWidth="1"/>
    <col min="6154" max="6154" width="11.5703125" style="110" customWidth="1"/>
    <col min="6155" max="6155" width="24.7109375" style="110" customWidth="1"/>
    <col min="6156" max="6156" width="17.42578125" style="110" customWidth="1"/>
    <col min="6157" max="6157" width="20.85546875" style="110" customWidth="1"/>
    <col min="6158" max="6158" width="26.85546875" style="110" customWidth="1"/>
    <col min="6159" max="6159" width="8" style="110" customWidth="1"/>
    <col min="6160" max="6160" width="25" style="110" customWidth="1"/>
    <col min="6161" max="6161" width="12.7109375" style="110" customWidth="1"/>
    <col min="6162" max="6162" width="16.42578125" style="110" customWidth="1"/>
    <col min="6163" max="6163" width="23.5703125" style="110" customWidth="1"/>
    <col min="6164" max="6164" width="33.7109375" style="110" customWidth="1"/>
    <col min="6165" max="6165" width="31.140625" style="110" customWidth="1"/>
    <col min="6166" max="6166" width="19.28515625" style="110" customWidth="1"/>
    <col min="6167" max="6167" width="11.7109375" style="110" customWidth="1"/>
    <col min="6168" max="6168" width="15.42578125" style="110" customWidth="1"/>
    <col min="6169" max="6169" width="5.5703125" style="110" customWidth="1"/>
    <col min="6170" max="6170" width="4.7109375" style="110" customWidth="1"/>
    <col min="6171" max="6172" width="7.28515625" style="110" customWidth="1"/>
    <col min="6173" max="6173" width="8.42578125" style="110" customWidth="1"/>
    <col min="6174" max="6174" width="9.5703125" style="110" customWidth="1"/>
    <col min="6175" max="6175" width="6.28515625" style="110" customWidth="1"/>
    <col min="6176" max="6176" width="5.85546875" style="110" customWidth="1"/>
    <col min="6177" max="6178" width="4.42578125" style="110" customWidth="1"/>
    <col min="6179" max="6179" width="5" style="110" customWidth="1"/>
    <col min="6180" max="6180" width="5.85546875" style="110" customWidth="1"/>
    <col min="6181" max="6181" width="6.140625" style="110" customWidth="1"/>
    <col min="6182" max="6182" width="6.28515625" style="110" customWidth="1"/>
    <col min="6183" max="6183" width="4.85546875" style="110" customWidth="1"/>
    <col min="6184" max="6184" width="8.140625" style="110" customWidth="1"/>
    <col min="6185" max="6185" width="11.5703125" style="110" customWidth="1"/>
    <col min="6186" max="6186" width="13.7109375" style="110" customWidth="1"/>
    <col min="6187" max="6187" width="20.85546875" style="110" customWidth="1"/>
    <col min="6188" max="6400" width="11.42578125" style="110"/>
    <col min="6401" max="6401" width="13.140625" style="110" customWidth="1"/>
    <col min="6402" max="6402" width="4" style="110" customWidth="1"/>
    <col min="6403" max="6403" width="12.85546875" style="110" customWidth="1"/>
    <col min="6404" max="6404" width="14.7109375" style="110" customWidth="1"/>
    <col min="6405" max="6405" width="10" style="110" customWidth="1"/>
    <col min="6406" max="6406" width="6.28515625" style="110" customWidth="1"/>
    <col min="6407" max="6407" width="12.28515625" style="110" customWidth="1"/>
    <col min="6408" max="6408" width="8.5703125" style="110" customWidth="1"/>
    <col min="6409" max="6409" width="13.7109375" style="110" customWidth="1"/>
    <col min="6410" max="6410" width="11.5703125" style="110" customWidth="1"/>
    <col min="6411" max="6411" width="24.7109375" style="110" customWidth="1"/>
    <col min="6412" max="6412" width="17.42578125" style="110" customWidth="1"/>
    <col min="6413" max="6413" width="20.85546875" style="110" customWidth="1"/>
    <col min="6414" max="6414" width="26.85546875" style="110" customWidth="1"/>
    <col min="6415" max="6415" width="8" style="110" customWidth="1"/>
    <col min="6416" max="6416" width="25" style="110" customWidth="1"/>
    <col min="6417" max="6417" width="12.7109375" style="110" customWidth="1"/>
    <col min="6418" max="6418" width="16.42578125" style="110" customWidth="1"/>
    <col min="6419" max="6419" width="23.5703125" style="110" customWidth="1"/>
    <col min="6420" max="6420" width="33.7109375" style="110" customWidth="1"/>
    <col min="6421" max="6421" width="31.140625" style="110" customWidth="1"/>
    <col min="6422" max="6422" width="19.28515625" style="110" customWidth="1"/>
    <col min="6423" max="6423" width="11.7109375" style="110" customWidth="1"/>
    <col min="6424" max="6424" width="15.42578125" style="110" customWidth="1"/>
    <col min="6425" max="6425" width="5.5703125" style="110" customWidth="1"/>
    <col min="6426" max="6426" width="4.7109375" style="110" customWidth="1"/>
    <col min="6427" max="6428" width="7.28515625" style="110" customWidth="1"/>
    <col min="6429" max="6429" width="8.42578125" style="110" customWidth="1"/>
    <col min="6430" max="6430" width="9.5703125" style="110" customWidth="1"/>
    <col min="6431" max="6431" width="6.28515625" style="110" customWidth="1"/>
    <col min="6432" max="6432" width="5.85546875" style="110" customWidth="1"/>
    <col min="6433" max="6434" width="4.42578125" style="110" customWidth="1"/>
    <col min="6435" max="6435" width="5" style="110" customWidth="1"/>
    <col min="6436" max="6436" width="5.85546875" style="110" customWidth="1"/>
    <col min="6437" max="6437" width="6.140625" style="110" customWidth="1"/>
    <col min="6438" max="6438" width="6.28515625" style="110" customWidth="1"/>
    <col min="6439" max="6439" width="4.85546875" style="110" customWidth="1"/>
    <col min="6440" max="6440" width="8.140625" style="110" customWidth="1"/>
    <col min="6441" max="6441" width="11.5703125" style="110" customWidth="1"/>
    <col min="6442" max="6442" width="13.7109375" style="110" customWidth="1"/>
    <col min="6443" max="6443" width="20.85546875" style="110" customWidth="1"/>
    <col min="6444" max="6656" width="11.42578125" style="110"/>
    <col min="6657" max="6657" width="13.140625" style="110" customWidth="1"/>
    <col min="6658" max="6658" width="4" style="110" customWidth="1"/>
    <col min="6659" max="6659" width="12.85546875" style="110" customWidth="1"/>
    <col min="6660" max="6660" width="14.7109375" style="110" customWidth="1"/>
    <col min="6661" max="6661" width="10" style="110" customWidth="1"/>
    <col min="6662" max="6662" width="6.28515625" style="110" customWidth="1"/>
    <col min="6663" max="6663" width="12.28515625" style="110" customWidth="1"/>
    <col min="6664" max="6664" width="8.5703125" style="110" customWidth="1"/>
    <col min="6665" max="6665" width="13.7109375" style="110" customWidth="1"/>
    <col min="6666" max="6666" width="11.5703125" style="110" customWidth="1"/>
    <col min="6667" max="6667" width="24.7109375" style="110" customWidth="1"/>
    <col min="6668" max="6668" width="17.42578125" style="110" customWidth="1"/>
    <col min="6669" max="6669" width="20.85546875" style="110" customWidth="1"/>
    <col min="6670" max="6670" width="26.85546875" style="110" customWidth="1"/>
    <col min="6671" max="6671" width="8" style="110" customWidth="1"/>
    <col min="6672" max="6672" width="25" style="110" customWidth="1"/>
    <col min="6673" max="6673" width="12.7109375" style="110" customWidth="1"/>
    <col min="6674" max="6674" width="16.42578125" style="110" customWidth="1"/>
    <col min="6675" max="6675" width="23.5703125" style="110" customWidth="1"/>
    <col min="6676" max="6676" width="33.7109375" style="110" customWidth="1"/>
    <col min="6677" max="6677" width="31.140625" style="110" customWidth="1"/>
    <col min="6678" max="6678" width="19.28515625" style="110" customWidth="1"/>
    <col min="6679" max="6679" width="11.7109375" style="110" customWidth="1"/>
    <col min="6680" max="6680" width="15.42578125" style="110" customWidth="1"/>
    <col min="6681" max="6681" width="5.5703125" style="110" customWidth="1"/>
    <col min="6682" max="6682" width="4.7109375" style="110" customWidth="1"/>
    <col min="6683" max="6684" width="7.28515625" style="110" customWidth="1"/>
    <col min="6685" max="6685" width="8.42578125" style="110" customWidth="1"/>
    <col min="6686" max="6686" width="9.5703125" style="110" customWidth="1"/>
    <col min="6687" max="6687" width="6.28515625" style="110" customWidth="1"/>
    <col min="6688" max="6688" width="5.85546875" style="110" customWidth="1"/>
    <col min="6689" max="6690" width="4.42578125" style="110" customWidth="1"/>
    <col min="6691" max="6691" width="5" style="110" customWidth="1"/>
    <col min="6692" max="6692" width="5.85546875" style="110" customWidth="1"/>
    <col min="6693" max="6693" width="6.140625" style="110" customWidth="1"/>
    <col min="6694" max="6694" width="6.28515625" style="110" customWidth="1"/>
    <col min="6695" max="6695" width="4.85546875" style="110" customWidth="1"/>
    <col min="6696" max="6696" width="8.140625" style="110" customWidth="1"/>
    <col min="6697" max="6697" width="11.5703125" style="110" customWidth="1"/>
    <col min="6698" max="6698" width="13.7109375" style="110" customWidth="1"/>
    <col min="6699" max="6699" width="20.85546875" style="110" customWidth="1"/>
    <col min="6700" max="6912" width="11.42578125" style="110"/>
    <col min="6913" max="6913" width="13.140625" style="110" customWidth="1"/>
    <col min="6914" max="6914" width="4" style="110" customWidth="1"/>
    <col min="6915" max="6915" width="12.85546875" style="110" customWidth="1"/>
    <col min="6916" max="6916" width="14.7109375" style="110" customWidth="1"/>
    <col min="6917" max="6917" width="10" style="110" customWidth="1"/>
    <col min="6918" max="6918" width="6.28515625" style="110" customWidth="1"/>
    <col min="6919" max="6919" width="12.28515625" style="110" customWidth="1"/>
    <col min="6920" max="6920" width="8.5703125" style="110" customWidth="1"/>
    <col min="6921" max="6921" width="13.7109375" style="110" customWidth="1"/>
    <col min="6922" max="6922" width="11.5703125" style="110" customWidth="1"/>
    <col min="6923" max="6923" width="24.7109375" style="110" customWidth="1"/>
    <col min="6924" max="6924" width="17.42578125" style="110" customWidth="1"/>
    <col min="6925" max="6925" width="20.85546875" style="110" customWidth="1"/>
    <col min="6926" max="6926" width="26.85546875" style="110" customWidth="1"/>
    <col min="6927" max="6927" width="8" style="110" customWidth="1"/>
    <col min="6928" max="6928" width="25" style="110" customWidth="1"/>
    <col min="6929" max="6929" width="12.7109375" style="110" customWidth="1"/>
    <col min="6930" max="6930" width="16.42578125" style="110" customWidth="1"/>
    <col min="6931" max="6931" width="23.5703125" style="110" customWidth="1"/>
    <col min="6932" max="6932" width="33.7109375" style="110" customWidth="1"/>
    <col min="6933" max="6933" width="31.140625" style="110" customWidth="1"/>
    <col min="6934" max="6934" width="19.28515625" style="110" customWidth="1"/>
    <col min="6935" max="6935" width="11.7109375" style="110" customWidth="1"/>
    <col min="6936" max="6936" width="15.42578125" style="110" customWidth="1"/>
    <col min="6937" max="6937" width="5.5703125" style="110" customWidth="1"/>
    <col min="6938" max="6938" width="4.7109375" style="110" customWidth="1"/>
    <col min="6939" max="6940" width="7.28515625" style="110" customWidth="1"/>
    <col min="6941" max="6941" width="8.42578125" style="110" customWidth="1"/>
    <col min="6942" max="6942" width="9.5703125" style="110" customWidth="1"/>
    <col min="6943" max="6943" width="6.28515625" style="110" customWidth="1"/>
    <col min="6944" max="6944" width="5.85546875" style="110" customWidth="1"/>
    <col min="6945" max="6946" width="4.42578125" style="110" customWidth="1"/>
    <col min="6947" max="6947" width="5" style="110" customWidth="1"/>
    <col min="6948" max="6948" width="5.85546875" style="110" customWidth="1"/>
    <col min="6949" max="6949" width="6.140625" style="110" customWidth="1"/>
    <col min="6950" max="6950" width="6.28515625" style="110" customWidth="1"/>
    <col min="6951" max="6951" width="4.85546875" style="110" customWidth="1"/>
    <col min="6952" max="6952" width="8.140625" style="110" customWidth="1"/>
    <col min="6953" max="6953" width="11.5703125" style="110" customWidth="1"/>
    <col min="6954" max="6954" width="13.7109375" style="110" customWidth="1"/>
    <col min="6955" max="6955" width="20.85546875" style="110" customWidth="1"/>
    <col min="6956" max="7168" width="11.42578125" style="110"/>
    <col min="7169" max="7169" width="13.140625" style="110" customWidth="1"/>
    <col min="7170" max="7170" width="4" style="110" customWidth="1"/>
    <col min="7171" max="7171" width="12.85546875" style="110" customWidth="1"/>
    <col min="7172" max="7172" width="14.7109375" style="110" customWidth="1"/>
    <col min="7173" max="7173" width="10" style="110" customWidth="1"/>
    <col min="7174" max="7174" width="6.28515625" style="110" customWidth="1"/>
    <col min="7175" max="7175" width="12.28515625" style="110" customWidth="1"/>
    <col min="7176" max="7176" width="8.5703125" style="110" customWidth="1"/>
    <col min="7177" max="7177" width="13.7109375" style="110" customWidth="1"/>
    <col min="7178" max="7178" width="11.5703125" style="110" customWidth="1"/>
    <col min="7179" max="7179" width="24.7109375" style="110" customWidth="1"/>
    <col min="7180" max="7180" width="17.42578125" style="110" customWidth="1"/>
    <col min="7181" max="7181" width="20.85546875" style="110" customWidth="1"/>
    <col min="7182" max="7182" width="26.85546875" style="110" customWidth="1"/>
    <col min="7183" max="7183" width="8" style="110" customWidth="1"/>
    <col min="7184" max="7184" width="25" style="110" customWidth="1"/>
    <col min="7185" max="7185" width="12.7109375" style="110" customWidth="1"/>
    <col min="7186" max="7186" width="16.42578125" style="110" customWidth="1"/>
    <col min="7187" max="7187" width="23.5703125" style="110" customWidth="1"/>
    <col min="7188" max="7188" width="33.7109375" style="110" customWidth="1"/>
    <col min="7189" max="7189" width="31.140625" style="110" customWidth="1"/>
    <col min="7190" max="7190" width="19.28515625" style="110" customWidth="1"/>
    <col min="7191" max="7191" width="11.7109375" style="110" customWidth="1"/>
    <col min="7192" max="7192" width="15.42578125" style="110" customWidth="1"/>
    <col min="7193" max="7193" width="5.5703125" style="110" customWidth="1"/>
    <col min="7194" max="7194" width="4.7109375" style="110" customWidth="1"/>
    <col min="7195" max="7196" width="7.28515625" style="110" customWidth="1"/>
    <col min="7197" max="7197" width="8.42578125" style="110" customWidth="1"/>
    <col min="7198" max="7198" width="9.5703125" style="110" customWidth="1"/>
    <col min="7199" max="7199" width="6.28515625" style="110" customWidth="1"/>
    <col min="7200" max="7200" width="5.85546875" style="110" customWidth="1"/>
    <col min="7201" max="7202" width="4.42578125" style="110" customWidth="1"/>
    <col min="7203" max="7203" width="5" style="110" customWidth="1"/>
    <col min="7204" max="7204" width="5.85546875" style="110" customWidth="1"/>
    <col min="7205" max="7205" width="6.140625" style="110" customWidth="1"/>
    <col min="7206" max="7206" width="6.28515625" style="110" customWidth="1"/>
    <col min="7207" max="7207" width="4.85546875" style="110" customWidth="1"/>
    <col min="7208" max="7208" width="8.140625" style="110" customWidth="1"/>
    <col min="7209" max="7209" width="11.5703125" style="110" customWidth="1"/>
    <col min="7210" max="7210" width="13.7109375" style="110" customWidth="1"/>
    <col min="7211" max="7211" width="20.85546875" style="110" customWidth="1"/>
    <col min="7212" max="7424" width="11.42578125" style="110"/>
    <col min="7425" max="7425" width="13.140625" style="110" customWidth="1"/>
    <col min="7426" max="7426" width="4" style="110" customWidth="1"/>
    <col min="7427" max="7427" width="12.85546875" style="110" customWidth="1"/>
    <col min="7428" max="7428" width="14.7109375" style="110" customWidth="1"/>
    <col min="7429" max="7429" width="10" style="110" customWidth="1"/>
    <col min="7430" max="7430" width="6.28515625" style="110" customWidth="1"/>
    <col min="7431" max="7431" width="12.28515625" style="110" customWidth="1"/>
    <col min="7432" max="7432" width="8.5703125" style="110" customWidth="1"/>
    <col min="7433" max="7433" width="13.7109375" style="110" customWidth="1"/>
    <col min="7434" max="7434" width="11.5703125" style="110" customWidth="1"/>
    <col min="7435" max="7435" width="24.7109375" style="110" customWidth="1"/>
    <col min="7436" max="7436" width="17.42578125" style="110" customWidth="1"/>
    <col min="7437" max="7437" width="20.85546875" style="110" customWidth="1"/>
    <col min="7438" max="7438" width="26.85546875" style="110" customWidth="1"/>
    <col min="7439" max="7439" width="8" style="110" customWidth="1"/>
    <col min="7440" max="7440" width="25" style="110" customWidth="1"/>
    <col min="7441" max="7441" width="12.7109375" style="110" customWidth="1"/>
    <col min="7442" max="7442" width="16.42578125" style="110" customWidth="1"/>
    <col min="7443" max="7443" width="23.5703125" style="110" customWidth="1"/>
    <col min="7444" max="7444" width="33.7109375" style="110" customWidth="1"/>
    <col min="7445" max="7445" width="31.140625" style="110" customWidth="1"/>
    <col min="7446" max="7446" width="19.28515625" style="110" customWidth="1"/>
    <col min="7447" max="7447" width="11.7109375" style="110" customWidth="1"/>
    <col min="7448" max="7448" width="15.42578125" style="110" customWidth="1"/>
    <col min="7449" max="7449" width="5.5703125" style="110" customWidth="1"/>
    <col min="7450" max="7450" width="4.7109375" style="110" customWidth="1"/>
    <col min="7451" max="7452" width="7.28515625" style="110" customWidth="1"/>
    <col min="7453" max="7453" width="8.42578125" style="110" customWidth="1"/>
    <col min="7454" max="7454" width="9.5703125" style="110" customWidth="1"/>
    <col min="7455" max="7455" width="6.28515625" style="110" customWidth="1"/>
    <col min="7456" max="7456" width="5.85546875" style="110" customWidth="1"/>
    <col min="7457" max="7458" width="4.42578125" style="110" customWidth="1"/>
    <col min="7459" max="7459" width="5" style="110" customWidth="1"/>
    <col min="7460" max="7460" width="5.85546875" style="110" customWidth="1"/>
    <col min="7461" max="7461" width="6.140625" style="110" customWidth="1"/>
    <col min="7462" max="7462" width="6.28515625" style="110" customWidth="1"/>
    <col min="7463" max="7463" width="4.85546875" style="110" customWidth="1"/>
    <col min="7464" max="7464" width="8.140625" style="110" customWidth="1"/>
    <col min="7465" max="7465" width="11.5703125" style="110" customWidth="1"/>
    <col min="7466" max="7466" width="13.7109375" style="110" customWidth="1"/>
    <col min="7467" max="7467" width="20.85546875" style="110" customWidth="1"/>
    <col min="7468" max="7680" width="11.42578125" style="110"/>
    <col min="7681" max="7681" width="13.140625" style="110" customWidth="1"/>
    <col min="7682" max="7682" width="4" style="110" customWidth="1"/>
    <col min="7683" max="7683" width="12.85546875" style="110" customWidth="1"/>
    <col min="7684" max="7684" width="14.7109375" style="110" customWidth="1"/>
    <col min="7685" max="7685" width="10" style="110" customWidth="1"/>
    <col min="7686" max="7686" width="6.28515625" style="110" customWidth="1"/>
    <col min="7687" max="7687" width="12.28515625" style="110" customWidth="1"/>
    <col min="7688" max="7688" width="8.5703125" style="110" customWidth="1"/>
    <col min="7689" max="7689" width="13.7109375" style="110" customWidth="1"/>
    <col min="7690" max="7690" width="11.5703125" style="110" customWidth="1"/>
    <col min="7691" max="7691" width="24.7109375" style="110" customWidth="1"/>
    <col min="7692" max="7692" width="17.42578125" style="110" customWidth="1"/>
    <col min="7693" max="7693" width="20.85546875" style="110" customWidth="1"/>
    <col min="7694" max="7694" width="26.85546875" style="110" customWidth="1"/>
    <col min="7695" max="7695" width="8" style="110" customWidth="1"/>
    <col min="7696" max="7696" width="25" style="110" customWidth="1"/>
    <col min="7697" max="7697" width="12.7109375" style="110" customWidth="1"/>
    <col min="7698" max="7698" width="16.42578125" style="110" customWidth="1"/>
    <col min="7699" max="7699" width="23.5703125" style="110" customWidth="1"/>
    <col min="7700" max="7700" width="33.7109375" style="110" customWidth="1"/>
    <col min="7701" max="7701" width="31.140625" style="110" customWidth="1"/>
    <col min="7702" max="7702" width="19.28515625" style="110" customWidth="1"/>
    <col min="7703" max="7703" width="11.7109375" style="110" customWidth="1"/>
    <col min="7704" max="7704" width="15.42578125" style="110" customWidth="1"/>
    <col min="7705" max="7705" width="5.5703125" style="110" customWidth="1"/>
    <col min="7706" max="7706" width="4.7109375" style="110" customWidth="1"/>
    <col min="7707" max="7708" width="7.28515625" style="110" customWidth="1"/>
    <col min="7709" max="7709" width="8.42578125" style="110" customWidth="1"/>
    <col min="7710" max="7710" width="9.5703125" style="110" customWidth="1"/>
    <col min="7711" max="7711" width="6.28515625" style="110" customWidth="1"/>
    <col min="7712" max="7712" width="5.85546875" style="110" customWidth="1"/>
    <col min="7713" max="7714" width="4.42578125" style="110" customWidth="1"/>
    <col min="7715" max="7715" width="5" style="110" customWidth="1"/>
    <col min="7716" max="7716" width="5.85546875" style="110" customWidth="1"/>
    <col min="7717" max="7717" width="6.140625" style="110" customWidth="1"/>
    <col min="7718" max="7718" width="6.28515625" style="110" customWidth="1"/>
    <col min="7719" max="7719" width="4.85546875" style="110" customWidth="1"/>
    <col min="7720" max="7720" width="8.140625" style="110" customWidth="1"/>
    <col min="7721" max="7721" width="11.5703125" style="110" customWidth="1"/>
    <col min="7722" max="7722" width="13.7109375" style="110" customWidth="1"/>
    <col min="7723" max="7723" width="20.85546875" style="110" customWidth="1"/>
    <col min="7724" max="7936" width="11.42578125" style="110"/>
    <col min="7937" max="7937" width="13.140625" style="110" customWidth="1"/>
    <col min="7938" max="7938" width="4" style="110" customWidth="1"/>
    <col min="7939" max="7939" width="12.85546875" style="110" customWidth="1"/>
    <col min="7940" max="7940" width="14.7109375" style="110" customWidth="1"/>
    <col min="7941" max="7941" width="10" style="110" customWidth="1"/>
    <col min="7942" max="7942" width="6.28515625" style="110" customWidth="1"/>
    <col min="7943" max="7943" width="12.28515625" style="110" customWidth="1"/>
    <col min="7944" max="7944" width="8.5703125" style="110" customWidth="1"/>
    <col min="7945" max="7945" width="13.7109375" style="110" customWidth="1"/>
    <col min="7946" max="7946" width="11.5703125" style="110" customWidth="1"/>
    <col min="7947" max="7947" width="24.7109375" style="110" customWidth="1"/>
    <col min="7948" max="7948" width="17.42578125" style="110" customWidth="1"/>
    <col min="7949" max="7949" width="20.85546875" style="110" customWidth="1"/>
    <col min="7950" max="7950" width="26.85546875" style="110" customWidth="1"/>
    <col min="7951" max="7951" width="8" style="110" customWidth="1"/>
    <col min="7952" max="7952" width="25" style="110" customWidth="1"/>
    <col min="7953" max="7953" width="12.7109375" style="110" customWidth="1"/>
    <col min="7954" max="7954" width="16.42578125" style="110" customWidth="1"/>
    <col min="7955" max="7955" width="23.5703125" style="110" customWidth="1"/>
    <col min="7956" max="7956" width="33.7109375" style="110" customWidth="1"/>
    <col min="7957" max="7957" width="31.140625" style="110" customWidth="1"/>
    <col min="7958" max="7958" width="19.28515625" style="110" customWidth="1"/>
    <col min="7959" max="7959" width="11.7109375" style="110" customWidth="1"/>
    <col min="7960" max="7960" width="15.42578125" style="110" customWidth="1"/>
    <col min="7961" max="7961" width="5.5703125" style="110" customWidth="1"/>
    <col min="7962" max="7962" width="4.7109375" style="110" customWidth="1"/>
    <col min="7963" max="7964" width="7.28515625" style="110" customWidth="1"/>
    <col min="7965" max="7965" width="8.42578125" style="110" customWidth="1"/>
    <col min="7966" max="7966" width="9.5703125" style="110" customWidth="1"/>
    <col min="7967" max="7967" width="6.28515625" style="110" customWidth="1"/>
    <col min="7968" max="7968" width="5.85546875" style="110" customWidth="1"/>
    <col min="7969" max="7970" width="4.42578125" style="110" customWidth="1"/>
    <col min="7971" max="7971" width="5" style="110" customWidth="1"/>
    <col min="7972" max="7972" width="5.85546875" style="110" customWidth="1"/>
    <col min="7973" max="7973" width="6.140625" style="110" customWidth="1"/>
    <col min="7974" max="7974" width="6.28515625" style="110" customWidth="1"/>
    <col min="7975" max="7975" width="4.85546875" style="110" customWidth="1"/>
    <col min="7976" max="7976" width="8.140625" style="110" customWidth="1"/>
    <col min="7977" max="7977" width="11.5703125" style="110" customWidth="1"/>
    <col min="7978" max="7978" width="13.7109375" style="110" customWidth="1"/>
    <col min="7979" max="7979" width="20.85546875" style="110" customWidth="1"/>
    <col min="7980" max="8192" width="11.42578125" style="110"/>
    <col min="8193" max="8193" width="13.140625" style="110" customWidth="1"/>
    <col min="8194" max="8194" width="4" style="110" customWidth="1"/>
    <col min="8195" max="8195" width="12.85546875" style="110" customWidth="1"/>
    <col min="8196" max="8196" width="14.7109375" style="110" customWidth="1"/>
    <col min="8197" max="8197" width="10" style="110" customWidth="1"/>
    <col min="8198" max="8198" width="6.28515625" style="110" customWidth="1"/>
    <col min="8199" max="8199" width="12.28515625" style="110" customWidth="1"/>
    <col min="8200" max="8200" width="8.5703125" style="110" customWidth="1"/>
    <col min="8201" max="8201" width="13.7109375" style="110" customWidth="1"/>
    <col min="8202" max="8202" width="11.5703125" style="110" customWidth="1"/>
    <col min="8203" max="8203" width="24.7109375" style="110" customWidth="1"/>
    <col min="8204" max="8204" width="17.42578125" style="110" customWidth="1"/>
    <col min="8205" max="8205" width="20.85546875" style="110" customWidth="1"/>
    <col min="8206" max="8206" width="26.85546875" style="110" customWidth="1"/>
    <col min="8207" max="8207" width="8" style="110" customWidth="1"/>
    <col min="8208" max="8208" width="25" style="110" customWidth="1"/>
    <col min="8209" max="8209" width="12.7109375" style="110" customWidth="1"/>
    <col min="8210" max="8210" width="16.42578125" style="110" customWidth="1"/>
    <col min="8211" max="8211" width="23.5703125" style="110" customWidth="1"/>
    <col min="8212" max="8212" width="33.7109375" style="110" customWidth="1"/>
    <col min="8213" max="8213" width="31.140625" style="110" customWidth="1"/>
    <col min="8214" max="8214" width="19.28515625" style="110" customWidth="1"/>
    <col min="8215" max="8215" width="11.7109375" style="110" customWidth="1"/>
    <col min="8216" max="8216" width="15.42578125" style="110" customWidth="1"/>
    <col min="8217" max="8217" width="5.5703125" style="110" customWidth="1"/>
    <col min="8218" max="8218" width="4.7109375" style="110" customWidth="1"/>
    <col min="8219" max="8220" width="7.28515625" style="110" customWidth="1"/>
    <col min="8221" max="8221" width="8.42578125" style="110" customWidth="1"/>
    <col min="8222" max="8222" width="9.5703125" style="110" customWidth="1"/>
    <col min="8223" max="8223" width="6.28515625" style="110" customWidth="1"/>
    <col min="8224" max="8224" width="5.85546875" style="110" customWidth="1"/>
    <col min="8225" max="8226" width="4.42578125" style="110" customWidth="1"/>
    <col min="8227" max="8227" width="5" style="110" customWidth="1"/>
    <col min="8228" max="8228" width="5.85546875" style="110" customWidth="1"/>
    <col min="8229" max="8229" width="6.140625" style="110" customWidth="1"/>
    <col min="8230" max="8230" width="6.28515625" style="110" customWidth="1"/>
    <col min="8231" max="8231" width="4.85546875" style="110" customWidth="1"/>
    <col min="8232" max="8232" width="8.140625" style="110" customWidth="1"/>
    <col min="8233" max="8233" width="11.5703125" style="110" customWidth="1"/>
    <col min="8234" max="8234" width="13.7109375" style="110" customWidth="1"/>
    <col min="8235" max="8235" width="20.85546875" style="110" customWidth="1"/>
    <col min="8236" max="8448" width="11.42578125" style="110"/>
    <col min="8449" max="8449" width="13.140625" style="110" customWidth="1"/>
    <col min="8450" max="8450" width="4" style="110" customWidth="1"/>
    <col min="8451" max="8451" width="12.85546875" style="110" customWidth="1"/>
    <col min="8452" max="8452" width="14.7109375" style="110" customWidth="1"/>
    <col min="8453" max="8453" width="10" style="110" customWidth="1"/>
    <col min="8454" max="8454" width="6.28515625" style="110" customWidth="1"/>
    <col min="8455" max="8455" width="12.28515625" style="110" customWidth="1"/>
    <col min="8456" max="8456" width="8.5703125" style="110" customWidth="1"/>
    <col min="8457" max="8457" width="13.7109375" style="110" customWidth="1"/>
    <col min="8458" max="8458" width="11.5703125" style="110" customWidth="1"/>
    <col min="8459" max="8459" width="24.7109375" style="110" customWidth="1"/>
    <col min="8460" max="8460" width="17.42578125" style="110" customWidth="1"/>
    <col min="8461" max="8461" width="20.85546875" style="110" customWidth="1"/>
    <col min="8462" max="8462" width="26.85546875" style="110" customWidth="1"/>
    <col min="8463" max="8463" width="8" style="110" customWidth="1"/>
    <col min="8464" max="8464" width="25" style="110" customWidth="1"/>
    <col min="8465" max="8465" width="12.7109375" style="110" customWidth="1"/>
    <col min="8466" max="8466" width="16.42578125" style="110" customWidth="1"/>
    <col min="8467" max="8467" width="23.5703125" style="110" customWidth="1"/>
    <col min="8468" max="8468" width="33.7109375" style="110" customWidth="1"/>
    <col min="8469" max="8469" width="31.140625" style="110" customWidth="1"/>
    <col min="8470" max="8470" width="19.28515625" style="110" customWidth="1"/>
    <col min="8471" max="8471" width="11.7109375" style="110" customWidth="1"/>
    <col min="8472" max="8472" width="15.42578125" style="110" customWidth="1"/>
    <col min="8473" max="8473" width="5.5703125" style="110" customWidth="1"/>
    <col min="8474" max="8474" width="4.7109375" style="110" customWidth="1"/>
    <col min="8475" max="8476" width="7.28515625" style="110" customWidth="1"/>
    <col min="8477" max="8477" width="8.42578125" style="110" customWidth="1"/>
    <col min="8478" max="8478" width="9.5703125" style="110" customWidth="1"/>
    <col min="8479" max="8479" width="6.28515625" style="110" customWidth="1"/>
    <col min="8480" max="8480" width="5.85546875" style="110" customWidth="1"/>
    <col min="8481" max="8482" width="4.42578125" style="110" customWidth="1"/>
    <col min="8483" max="8483" width="5" style="110" customWidth="1"/>
    <col min="8484" max="8484" width="5.85546875" style="110" customWidth="1"/>
    <col min="8485" max="8485" width="6.140625" style="110" customWidth="1"/>
    <col min="8486" max="8486" width="6.28515625" style="110" customWidth="1"/>
    <col min="8487" max="8487" width="4.85546875" style="110" customWidth="1"/>
    <col min="8488" max="8488" width="8.140625" style="110" customWidth="1"/>
    <col min="8489" max="8489" width="11.5703125" style="110" customWidth="1"/>
    <col min="8490" max="8490" width="13.7109375" style="110" customWidth="1"/>
    <col min="8491" max="8491" width="20.85546875" style="110" customWidth="1"/>
    <col min="8492" max="8704" width="11.42578125" style="110"/>
    <col min="8705" max="8705" width="13.140625" style="110" customWidth="1"/>
    <col min="8706" max="8706" width="4" style="110" customWidth="1"/>
    <col min="8707" max="8707" width="12.85546875" style="110" customWidth="1"/>
    <col min="8708" max="8708" width="14.7109375" style="110" customWidth="1"/>
    <col min="8709" max="8709" width="10" style="110" customWidth="1"/>
    <col min="8710" max="8710" width="6.28515625" style="110" customWidth="1"/>
    <col min="8711" max="8711" width="12.28515625" style="110" customWidth="1"/>
    <col min="8712" max="8712" width="8.5703125" style="110" customWidth="1"/>
    <col min="8713" max="8713" width="13.7109375" style="110" customWidth="1"/>
    <col min="8714" max="8714" width="11.5703125" style="110" customWidth="1"/>
    <col min="8715" max="8715" width="24.7109375" style="110" customWidth="1"/>
    <col min="8716" max="8716" width="17.42578125" style="110" customWidth="1"/>
    <col min="8717" max="8717" width="20.85546875" style="110" customWidth="1"/>
    <col min="8718" max="8718" width="26.85546875" style="110" customWidth="1"/>
    <col min="8719" max="8719" width="8" style="110" customWidth="1"/>
    <col min="8720" max="8720" width="25" style="110" customWidth="1"/>
    <col min="8721" max="8721" width="12.7109375" style="110" customWidth="1"/>
    <col min="8722" max="8722" width="16.42578125" style="110" customWidth="1"/>
    <col min="8723" max="8723" width="23.5703125" style="110" customWidth="1"/>
    <col min="8724" max="8724" width="33.7109375" style="110" customWidth="1"/>
    <col min="8725" max="8725" width="31.140625" style="110" customWidth="1"/>
    <col min="8726" max="8726" width="19.28515625" style="110" customWidth="1"/>
    <col min="8727" max="8727" width="11.7109375" style="110" customWidth="1"/>
    <col min="8728" max="8728" width="15.42578125" style="110" customWidth="1"/>
    <col min="8729" max="8729" width="5.5703125" style="110" customWidth="1"/>
    <col min="8730" max="8730" width="4.7109375" style="110" customWidth="1"/>
    <col min="8731" max="8732" width="7.28515625" style="110" customWidth="1"/>
    <col min="8733" max="8733" width="8.42578125" style="110" customWidth="1"/>
    <col min="8734" max="8734" width="9.5703125" style="110" customWidth="1"/>
    <col min="8735" max="8735" width="6.28515625" style="110" customWidth="1"/>
    <col min="8736" max="8736" width="5.85546875" style="110" customWidth="1"/>
    <col min="8737" max="8738" width="4.42578125" style="110" customWidth="1"/>
    <col min="8739" max="8739" width="5" style="110" customWidth="1"/>
    <col min="8740" max="8740" width="5.85546875" style="110" customWidth="1"/>
    <col min="8741" max="8741" width="6.140625" style="110" customWidth="1"/>
    <col min="8742" max="8742" width="6.28515625" style="110" customWidth="1"/>
    <col min="8743" max="8743" width="4.85546875" style="110" customWidth="1"/>
    <col min="8744" max="8744" width="8.140625" style="110" customWidth="1"/>
    <col min="8745" max="8745" width="11.5703125" style="110" customWidth="1"/>
    <col min="8746" max="8746" width="13.7109375" style="110" customWidth="1"/>
    <col min="8747" max="8747" width="20.85546875" style="110" customWidth="1"/>
    <col min="8748" max="8960" width="11.42578125" style="110"/>
    <col min="8961" max="8961" width="13.140625" style="110" customWidth="1"/>
    <col min="8962" max="8962" width="4" style="110" customWidth="1"/>
    <col min="8963" max="8963" width="12.85546875" style="110" customWidth="1"/>
    <col min="8964" max="8964" width="14.7109375" style="110" customWidth="1"/>
    <col min="8965" max="8965" width="10" style="110" customWidth="1"/>
    <col min="8966" max="8966" width="6.28515625" style="110" customWidth="1"/>
    <col min="8967" max="8967" width="12.28515625" style="110" customWidth="1"/>
    <col min="8968" max="8968" width="8.5703125" style="110" customWidth="1"/>
    <col min="8969" max="8969" width="13.7109375" style="110" customWidth="1"/>
    <col min="8970" max="8970" width="11.5703125" style="110" customWidth="1"/>
    <col min="8971" max="8971" width="24.7109375" style="110" customWidth="1"/>
    <col min="8972" max="8972" width="17.42578125" style="110" customWidth="1"/>
    <col min="8973" max="8973" width="20.85546875" style="110" customWidth="1"/>
    <col min="8974" max="8974" width="26.85546875" style="110" customWidth="1"/>
    <col min="8975" max="8975" width="8" style="110" customWidth="1"/>
    <col min="8976" max="8976" width="25" style="110" customWidth="1"/>
    <col min="8977" max="8977" width="12.7109375" style="110" customWidth="1"/>
    <col min="8978" max="8978" width="16.42578125" style="110" customWidth="1"/>
    <col min="8979" max="8979" width="23.5703125" style="110" customWidth="1"/>
    <col min="8980" max="8980" width="33.7109375" style="110" customWidth="1"/>
    <col min="8981" max="8981" width="31.140625" style="110" customWidth="1"/>
    <col min="8982" max="8982" width="19.28515625" style="110" customWidth="1"/>
    <col min="8983" max="8983" width="11.7109375" style="110" customWidth="1"/>
    <col min="8984" max="8984" width="15.42578125" style="110" customWidth="1"/>
    <col min="8985" max="8985" width="5.5703125" style="110" customWidth="1"/>
    <col min="8986" max="8986" width="4.7109375" style="110" customWidth="1"/>
    <col min="8987" max="8988" width="7.28515625" style="110" customWidth="1"/>
    <col min="8989" max="8989" width="8.42578125" style="110" customWidth="1"/>
    <col min="8990" max="8990" width="9.5703125" style="110" customWidth="1"/>
    <col min="8991" max="8991" width="6.28515625" style="110" customWidth="1"/>
    <col min="8992" max="8992" width="5.85546875" style="110" customWidth="1"/>
    <col min="8993" max="8994" width="4.42578125" style="110" customWidth="1"/>
    <col min="8995" max="8995" width="5" style="110" customWidth="1"/>
    <col min="8996" max="8996" width="5.85546875" style="110" customWidth="1"/>
    <col min="8997" max="8997" width="6.140625" style="110" customWidth="1"/>
    <col min="8998" max="8998" width="6.28515625" style="110" customWidth="1"/>
    <col min="8999" max="8999" width="4.85546875" style="110" customWidth="1"/>
    <col min="9000" max="9000" width="8.140625" style="110" customWidth="1"/>
    <col min="9001" max="9001" width="11.5703125" style="110" customWidth="1"/>
    <col min="9002" max="9002" width="13.7109375" style="110" customWidth="1"/>
    <col min="9003" max="9003" width="20.85546875" style="110" customWidth="1"/>
    <col min="9004" max="9216" width="11.42578125" style="110"/>
    <col min="9217" max="9217" width="13.140625" style="110" customWidth="1"/>
    <col min="9218" max="9218" width="4" style="110" customWidth="1"/>
    <col min="9219" max="9219" width="12.85546875" style="110" customWidth="1"/>
    <col min="9220" max="9220" width="14.7109375" style="110" customWidth="1"/>
    <col min="9221" max="9221" width="10" style="110" customWidth="1"/>
    <col min="9222" max="9222" width="6.28515625" style="110" customWidth="1"/>
    <col min="9223" max="9223" width="12.28515625" style="110" customWidth="1"/>
    <col min="9224" max="9224" width="8.5703125" style="110" customWidth="1"/>
    <col min="9225" max="9225" width="13.7109375" style="110" customWidth="1"/>
    <col min="9226" max="9226" width="11.5703125" style="110" customWidth="1"/>
    <col min="9227" max="9227" width="24.7109375" style="110" customWidth="1"/>
    <col min="9228" max="9228" width="17.42578125" style="110" customWidth="1"/>
    <col min="9229" max="9229" width="20.85546875" style="110" customWidth="1"/>
    <col min="9230" max="9230" width="26.85546875" style="110" customWidth="1"/>
    <col min="9231" max="9231" width="8" style="110" customWidth="1"/>
    <col min="9232" max="9232" width="25" style="110" customWidth="1"/>
    <col min="9233" max="9233" width="12.7109375" style="110" customWidth="1"/>
    <col min="9234" max="9234" width="16.42578125" style="110" customWidth="1"/>
    <col min="9235" max="9235" width="23.5703125" style="110" customWidth="1"/>
    <col min="9236" max="9236" width="33.7109375" style="110" customWidth="1"/>
    <col min="9237" max="9237" width="31.140625" style="110" customWidth="1"/>
    <col min="9238" max="9238" width="19.28515625" style="110" customWidth="1"/>
    <col min="9239" max="9239" width="11.7109375" style="110" customWidth="1"/>
    <col min="9240" max="9240" width="15.42578125" style="110" customWidth="1"/>
    <col min="9241" max="9241" width="5.5703125" style="110" customWidth="1"/>
    <col min="9242" max="9242" width="4.7109375" style="110" customWidth="1"/>
    <col min="9243" max="9244" width="7.28515625" style="110" customWidth="1"/>
    <col min="9245" max="9245" width="8.42578125" style="110" customWidth="1"/>
    <col min="9246" max="9246" width="9.5703125" style="110" customWidth="1"/>
    <col min="9247" max="9247" width="6.28515625" style="110" customWidth="1"/>
    <col min="9248" max="9248" width="5.85546875" style="110" customWidth="1"/>
    <col min="9249" max="9250" width="4.42578125" style="110" customWidth="1"/>
    <col min="9251" max="9251" width="5" style="110" customWidth="1"/>
    <col min="9252" max="9252" width="5.85546875" style="110" customWidth="1"/>
    <col min="9253" max="9253" width="6.140625" style="110" customWidth="1"/>
    <col min="9254" max="9254" width="6.28515625" style="110" customWidth="1"/>
    <col min="9255" max="9255" width="4.85546875" style="110" customWidth="1"/>
    <col min="9256" max="9256" width="8.140625" style="110" customWidth="1"/>
    <col min="9257" max="9257" width="11.5703125" style="110" customWidth="1"/>
    <col min="9258" max="9258" width="13.7109375" style="110" customWidth="1"/>
    <col min="9259" max="9259" width="20.85546875" style="110" customWidth="1"/>
    <col min="9260" max="9472" width="11.42578125" style="110"/>
    <col min="9473" max="9473" width="13.140625" style="110" customWidth="1"/>
    <col min="9474" max="9474" width="4" style="110" customWidth="1"/>
    <col min="9475" max="9475" width="12.85546875" style="110" customWidth="1"/>
    <col min="9476" max="9476" width="14.7109375" style="110" customWidth="1"/>
    <col min="9477" max="9477" width="10" style="110" customWidth="1"/>
    <col min="9478" max="9478" width="6.28515625" style="110" customWidth="1"/>
    <col min="9479" max="9479" width="12.28515625" style="110" customWidth="1"/>
    <col min="9480" max="9480" width="8.5703125" style="110" customWidth="1"/>
    <col min="9481" max="9481" width="13.7109375" style="110" customWidth="1"/>
    <col min="9482" max="9482" width="11.5703125" style="110" customWidth="1"/>
    <col min="9483" max="9483" width="24.7109375" style="110" customWidth="1"/>
    <col min="9484" max="9484" width="17.42578125" style="110" customWidth="1"/>
    <col min="9485" max="9485" width="20.85546875" style="110" customWidth="1"/>
    <col min="9486" max="9486" width="26.85546875" style="110" customWidth="1"/>
    <col min="9487" max="9487" width="8" style="110" customWidth="1"/>
    <col min="9488" max="9488" width="25" style="110" customWidth="1"/>
    <col min="9489" max="9489" width="12.7109375" style="110" customWidth="1"/>
    <col min="9490" max="9490" width="16.42578125" style="110" customWidth="1"/>
    <col min="9491" max="9491" width="23.5703125" style="110" customWidth="1"/>
    <col min="9492" max="9492" width="33.7109375" style="110" customWidth="1"/>
    <col min="9493" max="9493" width="31.140625" style="110" customWidth="1"/>
    <col min="9494" max="9494" width="19.28515625" style="110" customWidth="1"/>
    <col min="9495" max="9495" width="11.7109375" style="110" customWidth="1"/>
    <col min="9496" max="9496" width="15.42578125" style="110" customWidth="1"/>
    <col min="9497" max="9497" width="5.5703125" style="110" customWidth="1"/>
    <col min="9498" max="9498" width="4.7109375" style="110" customWidth="1"/>
    <col min="9499" max="9500" width="7.28515625" style="110" customWidth="1"/>
    <col min="9501" max="9501" width="8.42578125" style="110" customWidth="1"/>
    <col min="9502" max="9502" width="9.5703125" style="110" customWidth="1"/>
    <col min="9503" max="9503" width="6.28515625" style="110" customWidth="1"/>
    <col min="9504" max="9504" width="5.85546875" style="110" customWidth="1"/>
    <col min="9505" max="9506" width="4.42578125" style="110" customWidth="1"/>
    <col min="9507" max="9507" width="5" style="110" customWidth="1"/>
    <col min="9508" max="9508" width="5.85546875" style="110" customWidth="1"/>
    <col min="9509" max="9509" width="6.140625" style="110" customWidth="1"/>
    <col min="9510" max="9510" width="6.28515625" style="110" customWidth="1"/>
    <col min="9511" max="9511" width="4.85546875" style="110" customWidth="1"/>
    <col min="9512" max="9512" width="8.140625" style="110" customWidth="1"/>
    <col min="9513" max="9513" width="11.5703125" style="110" customWidth="1"/>
    <col min="9514" max="9514" width="13.7109375" style="110" customWidth="1"/>
    <col min="9515" max="9515" width="20.85546875" style="110" customWidth="1"/>
    <col min="9516" max="9728" width="11.42578125" style="110"/>
    <col min="9729" max="9729" width="13.140625" style="110" customWidth="1"/>
    <col min="9730" max="9730" width="4" style="110" customWidth="1"/>
    <col min="9731" max="9731" width="12.85546875" style="110" customWidth="1"/>
    <col min="9732" max="9732" width="14.7109375" style="110" customWidth="1"/>
    <col min="9733" max="9733" width="10" style="110" customWidth="1"/>
    <col min="9734" max="9734" width="6.28515625" style="110" customWidth="1"/>
    <col min="9735" max="9735" width="12.28515625" style="110" customWidth="1"/>
    <col min="9736" max="9736" width="8.5703125" style="110" customWidth="1"/>
    <col min="9737" max="9737" width="13.7109375" style="110" customWidth="1"/>
    <col min="9738" max="9738" width="11.5703125" style="110" customWidth="1"/>
    <col min="9739" max="9739" width="24.7109375" style="110" customWidth="1"/>
    <col min="9740" max="9740" width="17.42578125" style="110" customWidth="1"/>
    <col min="9741" max="9741" width="20.85546875" style="110" customWidth="1"/>
    <col min="9742" max="9742" width="26.85546875" style="110" customWidth="1"/>
    <col min="9743" max="9743" width="8" style="110" customWidth="1"/>
    <col min="9744" max="9744" width="25" style="110" customWidth="1"/>
    <col min="9745" max="9745" width="12.7109375" style="110" customWidth="1"/>
    <col min="9746" max="9746" width="16.42578125" style="110" customWidth="1"/>
    <col min="9747" max="9747" width="23.5703125" style="110" customWidth="1"/>
    <col min="9748" max="9748" width="33.7109375" style="110" customWidth="1"/>
    <col min="9749" max="9749" width="31.140625" style="110" customWidth="1"/>
    <col min="9750" max="9750" width="19.28515625" style="110" customWidth="1"/>
    <col min="9751" max="9751" width="11.7109375" style="110" customWidth="1"/>
    <col min="9752" max="9752" width="15.42578125" style="110" customWidth="1"/>
    <col min="9753" max="9753" width="5.5703125" style="110" customWidth="1"/>
    <col min="9754" max="9754" width="4.7109375" style="110" customWidth="1"/>
    <col min="9755" max="9756" width="7.28515625" style="110" customWidth="1"/>
    <col min="9757" max="9757" width="8.42578125" style="110" customWidth="1"/>
    <col min="9758" max="9758" width="9.5703125" style="110" customWidth="1"/>
    <col min="9759" max="9759" width="6.28515625" style="110" customWidth="1"/>
    <col min="9760" max="9760" width="5.85546875" style="110" customWidth="1"/>
    <col min="9761" max="9762" width="4.42578125" style="110" customWidth="1"/>
    <col min="9763" max="9763" width="5" style="110" customWidth="1"/>
    <col min="9764" max="9764" width="5.85546875" style="110" customWidth="1"/>
    <col min="9765" max="9765" width="6.140625" style="110" customWidth="1"/>
    <col min="9766" max="9766" width="6.28515625" style="110" customWidth="1"/>
    <col min="9767" max="9767" width="4.85546875" style="110" customWidth="1"/>
    <col min="9768" max="9768" width="8.140625" style="110" customWidth="1"/>
    <col min="9769" max="9769" width="11.5703125" style="110" customWidth="1"/>
    <col min="9770" max="9770" width="13.7109375" style="110" customWidth="1"/>
    <col min="9771" max="9771" width="20.85546875" style="110" customWidth="1"/>
    <col min="9772" max="9984" width="11.42578125" style="110"/>
    <col min="9985" max="9985" width="13.140625" style="110" customWidth="1"/>
    <col min="9986" max="9986" width="4" style="110" customWidth="1"/>
    <col min="9987" max="9987" width="12.85546875" style="110" customWidth="1"/>
    <col min="9988" max="9988" width="14.7109375" style="110" customWidth="1"/>
    <col min="9989" max="9989" width="10" style="110" customWidth="1"/>
    <col min="9990" max="9990" width="6.28515625" style="110" customWidth="1"/>
    <col min="9991" max="9991" width="12.28515625" style="110" customWidth="1"/>
    <col min="9992" max="9992" width="8.5703125" style="110" customWidth="1"/>
    <col min="9993" max="9993" width="13.7109375" style="110" customWidth="1"/>
    <col min="9994" max="9994" width="11.5703125" style="110" customWidth="1"/>
    <col min="9995" max="9995" width="24.7109375" style="110" customWidth="1"/>
    <col min="9996" max="9996" width="17.42578125" style="110" customWidth="1"/>
    <col min="9997" max="9997" width="20.85546875" style="110" customWidth="1"/>
    <col min="9998" max="9998" width="26.85546875" style="110" customWidth="1"/>
    <col min="9999" max="9999" width="8" style="110" customWidth="1"/>
    <col min="10000" max="10000" width="25" style="110" customWidth="1"/>
    <col min="10001" max="10001" width="12.7109375" style="110" customWidth="1"/>
    <col min="10002" max="10002" width="16.42578125" style="110" customWidth="1"/>
    <col min="10003" max="10003" width="23.5703125" style="110" customWidth="1"/>
    <col min="10004" max="10004" width="33.7109375" style="110" customWidth="1"/>
    <col min="10005" max="10005" width="31.140625" style="110" customWidth="1"/>
    <col min="10006" max="10006" width="19.28515625" style="110" customWidth="1"/>
    <col min="10007" max="10007" width="11.7109375" style="110" customWidth="1"/>
    <col min="10008" max="10008" width="15.42578125" style="110" customWidth="1"/>
    <col min="10009" max="10009" width="5.5703125" style="110" customWidth="1"/>
    <col min="10010" max="10010" width="4.7109375" style="110" customWidth="1"/>
    <col min="10011" max="10012" width="7.28515625" style="110" customWidth="1"/>
    <col min="10013" max="10013" width="8.42578125" style="110" customWidth="1"/>
    <col min="10014" max="10014" width="9.5703125" style="110" customWidth="1"/>
    <col min="10015" max="10015" width="6.28515625" style="110" customWidth="1"/>
    <col min="10016" max="10016" width="5.85546875" style="110" customWidth="1"/>
    <col min="10017" max="10018" width="4.42578125" style="110" customWidth="1"/>
    <col min="10019" max="10019" width="5" style="110" customWidth="1"/>
    <col min="10020" max="10020" width="5.85546875" style="110" customWidth="1"/>
    <col min="10021" max="10021" width="6.140625" style="110" customWidth="1"/>
    <col min="10022" max="10022" width="6.28515625" style="110" customWidth="1"/>
    <col min="10023" max="10023" width="4.85546875" style="110" customWidth="1"/>
    <col min="10024" max="10024" width="8.140625" style="110" customWidth="1"/>
    <col min="10025" max="10025" width="11.5703125" style="110" customWidth="1"/>
    <col min="10026" max="10026" width="13.7109375" style="110" customWidth="1"/>
    <col min="10027" max="10027" width="20.85546875" style="110" customWidth="1"/>
    <col min="10028" max="10240" width="11.42578125" style="110"/>
    <col min="10241" max="10241" width="13.140625" style="110" customWidth="1"/>
    <col min="10242" max="10242" width="4" style="110" customWidth="1"/>
    <col min="10243" max="10243" width="12.85546875" style="110" customWidth="1"/>
    <col min="10244" max="10244" width="14.7109375" style="110" customWidth="1"/>
    <col min="10245" max="10245" width="10" style="110" customWidth="1"/>
    <col min="10246" max="10246" width="6.28515625" style="110" customWidth="1"/>
    <col min="10247" max="10247" width="12.28515625" style="110" customWidth="1"/>
    <col min="10248" max="10248" width="8.5703125" style="110" customWidth="1"/>
    <col min="10249" max="10249" width="13.7109375" style="110" customWidth="1"/>
    <col min="10250" max="10250" width="11.5703125" style="110" customWidth="1"/>
    <col min="10251" max="10251" width="24.7109375" style="110" customWidth="1"/>
    <col min="10252" max="10252" width="17.42578125" style="110" customWidth="1"/>
    <col min="10253" max="10253" width="20.85546875" style="110" customWidth="1"/>
    <col min="10254" max="10254" width="26.85546875" style="110" customWidth="1"/>
    <col min="10255" max="10255" width="8" style="110" customWidth="1"/>
    <col min="10256" max="10256" width="25" style="110" customWidth="1"/>
    <col min="10257" max="10257" width="12.7109375" style="110" customWidth="1"/>
    <col min="10258" max="10258" width="16.42578125" style="110" customWidth="1"/>
    <col min="10259" max="10259" width="23.5703125" style="110" customWidth="1"/>
    <col min="10260" max="10260" width="33.7109375" style="110" customWidth="1"/>
    <col min="10261" max="10261" width="31.140625" style="110" customWidth="1"/>
    <col min="10262" max="10262" width="19.28515625" style="110" customWidth="1"/>
    <col min="10263" max="10263" width="11.7109375" style="110" customWidth="1"/>
    <col min="10264" max="10264" width="15.42578125" style="110" customWidth="1"/>
    <col min="10265" max="10265" width="5.5703125" style="110" customWidth="1"/>
    <col min="10266" max="10266" width="4.7109375" style="110" customWidth="1"/>
    <col min="10267" max="10268" width="7.28515625" style="110" customWidth="1"/>
    <col min="10269" max="10269" width="8.42578125" style="110" customWidth="1"/>
    <col min="10270" max="10270" width="9.5703125" style="110" customWidth="1"/>
    <col min="10271" max="10271" width="6.28515625" style="110" customWidth="1"/>
    <col min="10272" max="10272" width="5.85546875" style="110" customWidth="1"/>
    <col min="10273" max="10274" width="4.42578125" style="110" customWidth="1"/>
    <col min="10275" max="10275" width="5" style="110" customWidth="1"/>
    <col min="10276" max="10276" width="5.85546875" style="110" customWidth="1"/>
    <col min="10277" max="10277" width="6.140625" style="110" customWidth="1"/>
    <col min="10278" max="10278" width="6.28515625" style="110" customWidth="1"/>
    <col min="10279" max="10279" width="4.85546875" style="110" customWidth="1"/>
    <col min="10280" max="10280" width="8.140625" style="110" customWidth="1"/>
    <col min="10281" max="10281" width="11.5703125" style="110" customWidth="1"/>
    <col min="10282" max="10282" width="13.7109375" style="110" customWidth="1"/>
    <col min="10283" max="10283" width="20.85546875" style="110" customWidth="1"/>
    <col min="10284" max="10496" width="11.42578125" style="110"/>
    <col min="10497" max="10497" width="13.140625" style="110" customWidth="1"/>
    <col min="10498" max="10498" width="4" style="110" customWidth="1"/>
    <col min="10499" max="10499" width="12.85546875" style="110" customWidth="1"/>
    <col min="10500" max="10500" width="14.7109375" style="110" customWidth="1"/>
    <col min="10501" max="10501" width="10" style="110" customWidth="1"/>
    <col min="10502" max="10502" width="6.28515625" style="110" customWidth="1"/>
    <col min="10503" max="10503" width="12.28515625" style="110" customWidth="1"/>
    <col min="10504" max="10504" width="8.5703125" style="110" customWidth="1"/>
    <col min="10505" max="10505" width="13.7109375" style="110" customWidth="1"/>
    <col min="10506" max="10506" width="11.5703125" style="110" customWidth="1"/>
    <col min="10507" max="10507" width="24.7109375" style="110" customWidth="1"/>
    <col min="10508" max="10508" width="17.42578125" style="110" customWidth="1"/>
    <col min="10509" max="10509" width="20.85546875" style="110" customWidth="1"/>
    <col min="10510" max="10510" width="26.85546875" style="110" customWidth="1"/>
    <col min="10511" max="10511" width="8" style="110" customWidth="1"/>
    <col min="10512" max="10512" width="25" style="110" customWidth="1"/>
    <col min="10513" max="10513" width="12.7109375" style="110" customWidth="1"/>
    <col min="10514" max="10514" width="16.42578125" style="110" customWidth="1"/>
    <col min="10515" max="10515" width="23.5703125" style="110" customWidth="1"/>
    <col min="10516" max="10516" width="33.7109375" style="110" customWidth="1"/>
    <col min="10517" max="10517" width="31.140625" style="110" customWidth="1"/>
    <col min="10518" max="10518" width="19.28515625" style="110" customWidth="1"/>
    <col min="10519" max="10519" width="11.7109375" style="110" customWidth="1"/>
    <col min="10520" max="10520" width="15.42578125" style="110" customWidth="1"/>
    <col min="10521" max="10521" width="5.5703125" style="110" customWidth="1"/>
    <col min="10522" max="10522" width="4.7109375" style="110" customWidth="1"/>
    <col min="10523" max="10524" width="7.28515625" style="110" customWidth="1"/>
    <col min="10525" max="10525" width="8.42578125" style="110" customWidth="1"/>
    <col min="10526" max="10526" width="9.5703125" style="110" customWidth="1"/>
    <col min="10527" max="10527" width="6.28515625" style="110" customWidth="1"/>
    <col min="10528" max="10528" width="5.85546875" style="110" customWidth="1"/>
    <col min="10529" max="10530" width="4.42578125" style="110" customWidth="1"/>
    <col min="10531" max="10531" width="5" style="110" customWidth="1"/>
    <col min="10532" max="10532" width="5.85546875" style="110" customWidth="1"/>
    <col min="10533" max="10533" width="6.140625" style="110" customWidth="1"/>
    <col min="10534" max="10534" width="6.28515625" style="110" customWidth="1"/>
    <col min="10535" max="10535" width="4.85546875" style="110" customWidth="1"/>
    <col min="10536" max="10536" width="8.140625" style="110" customWidth="1"/>
    <col min="10537" max="10537" width="11.5703125" style="110" customWidth="1"/>
    <col min="10538" max="10538" width="13.7109375" style="110" customWidth="1"/>
    <col min="10539" max="10539" width="20.85546875" style="110" customWidth="1"/>
    <col min="10540" max="10752" width="11.42578125" style="110"/>
    <col min="10753" max="10753" width="13.140625" style="110" customWidth="1"/>
    <col min="10754" max="10754" width="4" style="110" customWidth="1"/>
    <col min="10755" max="10755" width="12.85546875" style="110" customWidth="1"/>
    <col min="10756" max="10756" width="14.7109375" style="110" customWidth="1"/>
    <col min="10757" max="10757" width="10" style="110" customWidth="1"/>
    <col min="10758" max="10758" width="6.28515625" style="110" customWidth="1"/>
    <col min="10759" max="10759" width="12.28515625" style="110" customWidth="1"/>
    <col min="10760" max="10760" width="8.5703125" style="110" customWidth="1"/>
    <col min="10761" max="10761" width="13.7109375" style="110" customWidth="1"/>
    <col min="10762" max="10762" width="11.5703125" style="110" customWidth="1"/>
    <col min="10763" max="10763" width="24.7109375" style="110" customWidth="1"/>
    <col min="10764" max="10764" width="17.42578125" style="110" customWidth="1"/>
    <col min="10765" max="10765" width="20.85546875" style="110" customWidth="1"/>
    <col min="10766" max="10766" width="26.85546875" style="110" customWidth="1"/>
    <col min="10767" max="10767" width="8" style="110" customWidth="1"/>
    <col min="10768" max="10768" width="25" style="110" customWidth="1"/>
    <col min="10769" max="10769" width="12.7109375" style="110" customWidth="1"/>
    <col min="10770" max="10770" width="16.42578125" style="110" customWidth="1"/>
    <col min="10771" max="10771" width="23.5703125" style="110" customWidth="1"/>
    <col min="10772" max="10772" width="33.7109375" style="110" customWidth="1"/>
    <col min="10773" max="10773" width="31.140625" style="110" customWidth="1"/>
    <col min="10774" max="10774" width="19.28515625" style="110" customWidth="1"/>
    <col min="10775" max="10775" width="11.7109375" style="110" customWidth="1"/>
    <col min="10776" max="10776" width="15.42578125" style="110" customWidth="1"/>
    <col min="10777" max="10777" width="5.5703125" style="110" customWidth="1"/>
    <col min="10778" max="10778" width="4.7109375" style="110" customWidth="1"/>
    <col min="10779" max="10780" width="7.28515625" style="110" customWidth="1"/>
    <col min="10781" max="10781" width="8.42578125" style="110" customWidth="1"/>
    <col min="10782" max="10782" width="9.5703125" style="110" customWidth="1"/>
    <col min="10783" max="10783" width="6.28515625" style="110" customWidth="1"/>
    <col min="10784" max="10784" width="5.85546875" style="110" customWidth="1"/>
    <col min="10785" max="10786" width="4.42578125" style="110" customWidth="1"/>
    <col min="10787" max="10787" width="5" style="110" customWidth="1"/>
    <col min="10788" max="10788" width="5.85546875" style="110" customWidth="1"/>
    <col min="10789" max="10789" width="6.140625" style="110" customWidth="1"/>
    <col min="10790" max="10790" width="6.28515625" style="110" customWidth="1"/>
    <col min="10791" max="10791" width="4.85546875" style="110" customWidth="1"/>
    <col min="10792" max="10792" width="8.140625" style="110" customWidth="1"/>
    <col min="10793" max="10793" width="11.5703125" style="110" customWidth="1"/>
    <col min="10794" max="10794" width="13.7109375" style="110" customWidth="1"/>
    <col min="10795" max="10795" width="20.85546875" style="110" customWidth="1"/>
    <col min="10796" max="11008" width="11.42578125" style="110"/>
    <col min="11009" max="11009" width="13.140625" style="110" customWidth="1"/>
    <col min="11010" max="11010" width="4" style="110" customWidth="1"/>
    <col min="11011" max="11011" width="12.85546875" style="110" customWidth="1"/>
    <col min="11012" max="11012" width="14.7109375" style="110" customWidth="1"/>
    <col min="11013" max="11013" width="10" style="110" customWidth="1"/>
    <col min="11014" max="11014" width="6.28515625" style="110" customWidth="1"/>
    <col min="11015" max="11015" width="12.28515625" style="110" customWidth="1"/>
    <col min="11016" max="11016" width="8.5703125" style="110" customWidth="1"/>
    <col min="11017" max="11017" width="13.7109375" style="110" customWidth="1"/>
    <col min="11018" max="11018" width="11.5703125" style="110" customWidth="1"/>
    <col min="11019" max="11019" width="24.7109375" style="110" customWidth="1"/>
    <col min="11020" max="11020" width="17.42578125" style="110" customWidth="1"/>
    <col min="11021" max="11021" width="20.85546875" style="110" customWidth="1"/>
    <col min="11022" max="11022" width="26.85546875" style="110" customWidth="1"/>
    <col min="11023" max="11023" width="8" style="110" customWidth="1"/>
    <col min="11024" max="11024" width="25" style="110" customWidth="1"/>
    <col min="11025" max="11025" width="12.7109375" style="110" customWidth="1"/>
    <col min="11026" max="11026" width="16.42578125" style="110" customWidth="1"/>
    <col min="11027" max="11027" width="23.5703125" style="110" customWidth="1"/>
    <col min="11028" max="11028" width="33.7109375" style="110" customWidth="1"/>
    <col min="11029" max="11029" width="31.140625" style="110" customWidth="1"/>
    <col min="11030" max="11030" width="19.28515625" style="110" customWidth="1"/>
    <col min="11031" max="11031" width="11.7109375" style="110" customWidth="1"/>
    <col min="11032" max="11032" width="15.42578125" style="110" customWidth="1"/>
    <col min="11033" max="11033" width="5.5703125" style="110" customWidth="1"/>
    <col min="11034" max="11034" width="4.7109375" style="110" customWidth="1"/>
    <col min="11035" max="11036" width="7.28515625" style="110" customWidth="1"/>
    <col min="11037" max="11037" width="8.42578125" style="110" customWidth="1"/>
    <col min="11038" max="11038" width="9.5703125" style="110" customWidth="1"/>
    <col min="11039" max="11039" width="6.28515625" style="110" customWidth="1"/>
    <col min="11040" max="11040" width="5.85546875" style="110" customWidth="1"/>
    <col min="11041" max="11042" width="4.42578125" style="110" customWidth="1"/>
    <col min="11043" max="11043" width="5" style="110" customWidth="1"/>
    <col min="11044" max="11044" width="5.85546875" style="110" customWidth="1"/>
    <col min="11045" max="11045" width="6.140625" style="110" customWidth="1"/>
    <col min="11046" max="11046" width="6.28515625" style="110" customWidth="1"/>
    <col min="11047" max="11047" width="4.85546875" style="110" customWidth="1"/>
    <col min="11048" max="11048" width="8.140625" style="110" customWidth="1"/>
    <col min="11049" max="11049" width="11.5703125" style="110" customWidth="1"/>
    <col min="11050" max="11050" width="13.7109375" style="110" customWidth="1"/>
    <col min="11051" max="11051" width="20.85546875" style="110" customWidth="1"/>
    <col min="11052" max="11264" width="11.42578125" style="110"/>
    <col min="11265" max="11265" width="13.140625" style="110" customWidth="1"/>
    <col min="11266" max="11266" width="4" style="110" customWidth="1"/>
    <col min="11267" max="11267" width="12.85546875" style="110" customWidth="1"/>
    <col min="11268" max="11268" width="14.7109375" style="110" customWidth="1"/>
    <col min="11269" max="11269" width="10" style="110" customWidth="1"/>
    <col min="11270" max="11270" width="6.28515625" style="110" customWidth="1"/>
    <col min="11271" max="11271" width="12.28515625" style="110" customWidth="1"/>
    <col min="11272" max="11272" width="8.5703125" style="110" customWidth="1"/>
    <col min="11273" max="11273" width="13.7109375" style="110" customWidth="1"/>
    <col min="11274" max="11274" width="11.5703125" style="110" customWidth="1"/>
    <col min="11275" max="11275" width="24.7109375" style="110" customWidth="1"/>
    <col min="11276" max="11276" width="17.42578125" style="110" customWidth="1"/>
    <col min="11277" max="11277" width="20.85546875" style="110" customWidth="1"/>
    <col min="11278" max="11278" width="26.85546875" style="110" customWidth="1"/>
    <col min="11279" max="11279" width="8" style="110" customWidth="1"/>
    <col min="11280" max="11280" width="25" style="110" customWidth="1"/>
    <col min="11281" max="11281" width="12.7109375" style="110" customWidth="1"/>
    <col min="11282" max="11282" width="16.42578125" style="110" customWidth="1"/>
    <col min="11283" max="11283" width="23.5703125" style="110" customWidth="1"/>
    <col min="11284" max="11284" width="33.7109375" style="110" customWidth="1"/>
    <col min="11285" max="11285" width="31.140625" style="110" customWidth="1"/>
    <col min="11286" max="11286" width="19.28515625" style="110" customWidth="1"/>
    <col min="11287" max="11287" width="11.7109375" style="110" customWidth="1"/>
    <col min="11288" max="11288" width="15.42578125" style="110" customWidth="1"/>
    <col min="11289" max="11289" width="5.5703125" style="110" customWidth="1"/>
    <col min="11290" max="11290" width="4.7109375" style="110" customWidth="1"/>
    <col min="11291" max="11292" width="7.28515625" style="110" customWidth="1"/>
    <col min="11293" max="11293" width="8.42578125" style="110" customWidth="1"/>
    <col min="11294" max="11294" width="9.5703125" style="110" customWidth="1"/>
    <col min="11295" max="11295" width="6.28515625" style="110" customWidth="1"/>
    <col min="11296" max="11296" width="5.85546875" style="110" customWidth="1"/>
    <col min="11297" max="11298" width="4.42578125" style="110" customWidth="1"/>
    <col min="11299" max="11299" width="5" style="110" customWidth="1"/>
    <col min="11300" max="11300" width="5.85546875" style="110" customWidth="1"/>
    <col min="11301" max="11301" width="6.140625" style="110" customWidth="1"/>
    <col min="11302" max="11302" width="6.28515625" style="110" customWidth="1"/>
    <col min="11303" max="11303" width="4.85546875" style="110" customWidth="1"/>
    <col min="11304" max="11304" width="8.140625" style="110" customWidth="1"/>
    <col min="11305" max="11305" width="11.5703125" style="110" customWidth="1"/>
    <col min="11306" max="11306" width="13.7109375" style="110" customWidth="1"/>
    <col min="11307" max="11307" width="20.85546875" style="110" customWidth="1"/>
    <col min="11308" max="11520" width="11.42578125" style="110"/>
    <col min="11521" max="11521" width="13.140625" style="110" customWidth="1"/>
    <col min="11522" max="11522" width="4" style="110" customWidth="1"/>
    <col min="11523" max="11523" width="12.85546875" style="110" customWidth="1"/>
    <col min="11524" max="11524" width="14.7109375" style="110" customWidth="1"/>
    <col min="11525" max="11525" width="10" style="110" customWidth="1"/>
    <col min="11526" max="11526" width="6.28515625" style="110" customWidth="1"/>
    <col min="11527" max="11527" width="12.28515625" style="110" customWidth="1"/>
    <col min="11528" max="11528" width="8.5703125" style="110" customWidth="1"/>
    <col min="11529" max="11529" width="13.7109375" style="110" customWidth="1"/>
    <col min="11530" max="11530" width="11.5703125" style="110" customWidth="1"/>
    <col min="11531" max="11531" width="24.7109375" style="110" customWidth="1"/>
    <col min="11532" max="11532" width="17.42578125" style="110" customWidth="1"/>
    <col min="11533" max="11533" width="20.85546875" style="110" customWidth="1"/>
    <col min="11534" max="11534" width="26.85546875" style="110" customWidth="1"/>
    <col min="11535" max="11535" width="8" style="110" customWidth="1"/>
    <col min="11536" max="11536" width="25" style="110" customWidth="1"/>
    <col min="11537" max="11537" width="12.7109375" style="110" customWidth="1"/>
    <col min="11538" max="11538" width="16.42578125" style="110" customWidth="1"/>
    <col min="11539" max="11539" width="23.5703125" style="110" customWidth="1"/>
    <col min="11540" max="11540" width="33.7109375" style="110" customWidth="1"/>
    <col min="11541" max="11541" width="31.140625" style="110" customWidth="1"/>
    <col min="11542" max="11542" width="19.28515625" style="110" customWidth="1"/>
    <col min="11543" max="11543" width="11.7109375" style="110" customWidth="1"/>
    <col min="11544" max="11544" width="15.42578125" style="110" customWidth="1"/>
    <col min="11545" max="11545" width="5.5703125" style="110" customWidth="1"/>
    <col min="11546" max="11546" width="4.7109375" style="110" customWidth="1"/>
    <col min="11547" max="11548" width="7.28515625" style="110" customWidth="1"/>
    <col min="11549" max="11549" width="8.42578125" style="110" customWidth="1"/>
    <col min="11550" max="11550" width="9.5703125" style="110" customWidth="1"/>
    <col min="11551" max="11551" width="6.28515625" style="110" customWidth="1"/>
    <col min="11552" max="11552" width="5.85546875" style="110" customWidth="1"/>
    <col min="11553" max="11554" width="4.42578125" style="110" customWidth="1"/>
    <col min="11555" max="11555" width="5" style="110" customWidth="1"/>
    <col min="11556" max="11556" width="5.85546875" style="110" customWidth="1"/>
    <col min="11557" max="11557" width="6.140625" style="110" customWidth="1"/>
    <col min="11558" max="11558" width="6.28515625" style="110" customWidth="1"/>
    <col min="11559" max="11559" width="4.85546875" style="110" customWidth="1"/>
    <col min="11560" max="11560" width="8.140625" style="110" customWidth="1"/>
    <col min="11561" max="11561" width="11.5703125" style="110" customWidth="1"/>
    <col min="11562" max="11562" width="13.7109375" style="110" customWidth="1"/>
    <col min="11563" max="11563" width="20.85546875" style="110" customWidth="1"/>
    <col min="11564" max="11776" width="11.42578125" style="110"/>
    <col min="11777" max="11777" width="13.140625" style="110" customWidth="1"/>
    <col min="11778" max="11778" width="4" style="110" customWidth="1"/>
    <col min="11779" max="11779" width="12.85546875" style="110" customWidth="1"/>
    <col min="11780" max="11780" width="14.7109375" style="110" customWidth="1"/>
    <col min="11781" max="11781" width="10" style="110" customWidth="1"/>
    <col min="11782" max="11782" width="6.28515625" style="110" customWidth="1"/>
    <col min="11783" max="11783" width="12.28515625" style="110" customWidth="1"/>
    <col min="11784" max="11784" width="8.5703125" style="110" customWidth="1"/>
    <col min="11785" max="11785" width="13.7109375" style="110" customWidth="1"/>
    <col min="11786" max="11786" width="11.5703125" style="110" customWidth="1"/>
    <col min="11787" max="11787" width="24.7109375" style="110" customWidth="1"/>
    <col min="11788" max="11788" width="17.42578125" style="110" customWidth="1"/>
    <col min="11789" max="11789" width="20.85546875" style="110" customWidth="1"/>
    <col min="11790" max="11790" width="26.85546875" style="110" customWidth="1"/>
    <col min="11791" max="11791" width="8" style="110" customWidth="1"/>
    <col min="11792" max="11792" width="25" style="110" customWidth="1"/>
    <col min="11793" max="11793" width="12.7109375" style="110" customWidth="1"/>
    <col min="11794" max="11794" width="16.42578125" style="110" customWidth="1"/>
    <col min="11795" max="11795" width="23.5703125" style="110" customWidth="1"/>
    <col min="11796" max="11796" width="33.7109375" style="110" customWidth="1"/>
    <col min="11797" max="11797" width="31.140625" style="110" customWidth="1"/>
    <col min="11798" max="11798" width="19.28515625" style="110" customWidth="1"/>
    <col min="11799" max="11799" width="11.7109375" style="110" customWidth="1"/>
    <col min="11800" max="11800" width="15.42578125" style="110" customWidth="1"/>
    <col min="11801" max="11801" width="5.5703125" style="110" customWidth="1"/>
    <col min="11802" max="11802" width="4.7109375" style="110" customWidth="1"/>
    <col min="11803" max="11804" width="7.28515625" style="110" customWidth="1"/>
    <col min="11805" max="11805" width="8.42578125" style="110" customWidth="1"/>
    <col min="11806" max="11806" width="9.5703125" style="110" customWidth="1"/>
    <col min="11807" max="11807" width="6.28515625" style="110" customWidth="1"/>
    <col min="11808" max="11808" width="5.85546875" style="110" customWidth="1"/>
    <col min="11809" max="11810" width="4.42578125" style="110" customWidth="1"/>
    <col min="11811" max="11811" width="5" style="110" customWidth="1"/>
    <col min="11812" max="11812" width="5.85546875" style="110" customWidth="1"/>
    <col min="11813" max="11813" width="6.140625" style="110" customWidth="1"/>
    <col min="11814" max="11814" width="6.28515625" style="110" customWidth="1"/>
    <col min="11815" max="11815" width="4.85546875" style="110" customWidth="1"/>
    <col min="11816" max="11816" width="8.140625" style="110" customWidth="1"/>
    <col min="11817" max="11817" width="11.5703125" style="110" customWidth="1"/>
    <col min="11818" max="11818" width="13.7109375" style="110" customWidth="1"/>
    <col min="11819" max="11819" width="20.85546875" style="110" customWidth="1"/>
    <col min="11820" max="12032" width="11.42578125" style="110"/>
    <col min="12033" max="12033" width="13.140625" style="110" customWidth="1"/>
    <col min="12034" max="12034" width="4" style="110" customWidth="1"/>
    <col min="12035" max="12035" width="12.85546875" style="110" customWidth="1"/>
    <col min="12036" max="12036" width="14.7109375" style="110" customWidth="1"/>
    <col min="12037" max="12037" width="10" style="110" customWidth="1"/>
    <col min="12038" max="12038" width="6.28515625" style="110" customWidth="1"/>
    <col min="12039" max="12039" width="12.28515625" style="110" customWidth="1"/>
    <col min="12040" max="12040" width="8.5703125" style="110" customWidth="1"/>
    <col min="12041" max="12041" width="13.7109375" style="110" customWidth="1"/>
    <col min="12042" max="12042" width="11.5703125" style="110" customWidth="1"/>
    <col min="12043" max="12043" width="24.7109375" style="110" customWidth="1"/>
    <col min="12044" max="12044" width="17.42578125" style="110" customWidth="1"/>
    <col min="12045" max="12045" width="20.85546875" style="110" customWidth="1"/>
    <col min="12046" max="12046" width="26.85546875" style="110" customWidth="1"/>
    <col min="12047" max="12047" width="8" style="110" customWidth="1"/>
    <col min="12048" max="12048" width="25" style="110" customWidth="1"/>
    <col min="12049" max="12049" width="12.7109375" style="110" customWidth="1"/>
    <col min="12050" max="12050" width="16.42578125" style="110" customWidth="1"/>
    <col min="12051" max="12051" width="23.5703125" style="110" customWidth="1"/>
    <col min="12052" max="12052" width="33.7109375" style="110" customWidth="1"/>
    <col min="12053" max="12053" width="31.140625" style="110" customWidth="1"/>
    <col min="12054" max="12054" width="19.28515625" style="110" customWidth="1"/>
    <col min="12055" max="12055" width="11.7109375" style="110" customWidth="1"/>
    <col min="12056" max="12056" width="15.42578125" style="110" customWidth="1"/>
    <col min="12057" max="12057" width="5.5703125" style="110" customWidth="1"/>
    <col min="12058" max="12058" width="4.7109375" style="110" customWidth="1"/>
    <col min="12059" max="12060" width="7.28515625" style="110" customWidth="1"/>
    <col min="12061" max="12061" width="8.42578125" style="110" customWidth="1"/>
    <col min="12062" max="12062" width="9.5703125" style="110" customWidth="1"/>
    <col min="12063" max="12063" width="6.28515625" style="110" customWidth="1"/>
    <col min="12064" max="12064" width="5.85546875" style="110" customWidth="1"/>
    <col min="12065" max="12066" width="4.42578125" style="110" customWidth="1"/>
    <col min="12067" max="12067" width="5" style="110" customWidth="1"/>
    <col min="12068" max="12068" width="5.85546875" style="110" customWidth="1"/>
    <col min="12069" max="12069" width="6.140625" style="110" customWidth="1"/>
    <col min="12070" max="12070" width="6.28515625" style="110" customWidth="1"/>
    <col min="12071" max="12071" width="4.85546875" style="110" customWidth="1"/>
    <col min="12072" max="12072" width="8.140625" style="110" customWidth="1"/>
    <col min="12073" max="12073" width="11.5703125" style="110" customWidth="1"/>
    <col min="12074" max="12074" width="13.7109375" style="110" customWidth="1"/>
    <col min="12075" max="12075" width="20.85546875" style="110" customWidth="1"/>
    <col min="12076" max="12288" width="11.42578125" style="110"/>
    <col min="12289" max="12289" width="13.140625" style="110" customWidth="1"/>
    <col min="12290" max="12290" width="4" style="110" customWidth="1"/>
    <col min="12291" max="12291" width="12.85546875" style="110" customWidth="1"/>
    <col min="12292" max="12292" width="14.7109375" style="110" customWidth="1"/>
    <col min="12293" max="12293" width="10" style="110" customWidth="1"/>
    <col min="12294" max="12294" width="6.28515625" style="110" customWidth="1"/>
    <col min="12295" max="12295" width="12.28515625" style="110" customWidth="1"/>
    <col min="12296" max="12296" width="8.5703125" style="110" customWidth="1"/>
    <col min="12297" max="12297" width="13.7109375" style="110" customWidth="1"/>
    <col min="12298" max="12298" width="11.5703125" style="110" customWidth="1"/>
    <col min="12299" max="12299" width="24.7109375" style="110" customWidth="1"/>
    <col min="12300" max="12300" width="17.42578125" style="110" customWidth="1"/>
    <col min="12301" max="12301" width="20.85546875" style="110" customWidth="1"/>
    <col min="12302" max="12302" width="26.85546875" style="110" customWidth="1"/>
    <col min="12303" max="12303" width="8" style="110" customWidth="1"/>
    <col min="12304" max="12304" width="25" style="110" customWidth="1"/>
    <col min="12305" max="12305" width="12.7109375" style="110" customWidth="1"/>
    <col min="12306" max="12306" width="16.42578125" style="110" customWidth="1"/>
    <col min="12307" max="12307" width="23.5703125" style="110" customWidth="1"/>
    <col min="12308" max="12308" width="33.7109375" style="110" customWidth="1"/>
    <col min="12309" max="12309" width="31.140625" style="110" customWidth="1"/>
    <col min="12310" max="12310" width="19.28515625" style="110" customWidth="1"/>
    <col min="12311" max="12311" width="11.7109375" style="110" customWidth="1"/>
    <col min="12312" max="12312" width="15.42578125" style="110" customWidth="1"/>
    <col min="12313" max="12313" width="5.5703125" style="110" customWidth="1"/>
    <col min="12314" max="12314" width="4.7109375" style="110" customWidth="1"/>
    <col min="12315" max="12316" width="7.28515625" style="110" customWidth="1"/>
    <col min="12317" max="12317" width="8.42578125" style="110" customWidth="1"/>
    <col min="12318" max="12318" width="9.5703125" style="110" customWidth="1"/>
    <col min="12319" max="12319" width="6.28515625" style="110" customWidth="1"/>
    <col min="12320" max="12320" width="5.85546875" style="110" customWidth="1"/>
    <col min="12321" max="12322" width="4.42578125" style="110" customWidth="1"/>
    <col min="12323" max="12323" width="5" style="110" customWidth="1"/>
    <col min="12324" max="12324" width="5.85546875" style="110" customWidth="1"/>
    <col min="12325" max="12325" width="6.140625" style="110" customWidth="1"/>
    <col min="12326" max="12326" width="6.28515625" style="110" customWidth="1"/>
    <col min="12327" max="12327" width="4.85546875" style="110" customWidth="1"/>
    <col min="12328" max="12328" width="8.140625" style="110" customWidth="1"/>
    <col min="12329" max="12329" width="11.5703125" style="110" customWidth="1"/>
    <col min="12330" max="12330" width="13.7109375" style="110" customWidth="1"/>
    <col min="12331" max="12331" width="20.85546875" style="110" customWidth="1"/>
    <col min="12332" max="12544" width="11.42578125" style="110"/>
    <col min="12545" max="12545" width="13.140625" style="110" customWidth="1"/>
    <col min="12546" max="12546" width="4" style="110" customWidth="1"/>
    <col min="12547" max="12547" width="12.85546875" style="110" customWidth="1"/>
    <col min="12548" max="12548" width="14.7109375" style="110" customWidth="1"/>
    <col min="12549" max="12549" width="10" style="110" customWidth="1"/>
    <col min="12550" max="12550" width="6.28515625" style="110" customWidth="1"/>
    <col min="12551" max="12551" width="12.28515625" style="110" customWidth="1"/>
    <col min="12552" max="12552" width="8.5703125" style="110" customWidth="1"/>
    <col min="12553" max="12553" width="13.7109375" style="110" customWidth="1"/>
    <col min="12554" max="12554" width="11.5703125" style="110" customWidth="1"/>
    <col min="12555" max="12555" width="24.7109375" style="110" customWidth="1"/>
    <col min="12556" max="12556" width="17.42578125" style="110" customWidth="1"/>
    <col min="12557" max="12557" width="20.85546875" style="110" customWidth="1"/>
    <col min="12558" max="12558" width="26.85546875" style="110" customWidth="1"/>
    <col min="12559" max="12559" width="8" style="110" customWidth="1"/>
    <col min="12560" max="12560" width="25" style="110" customWidth="1"/>
    <col min="12561" max="12561" width="12.7109375" style="110" customWidth="1"/>
    <col min="12562" max="12562" width="16.42578125" style="110" customWidth="1"/>
    <col min="12563" max="12563" width="23.5703125" style="110" customWidth="1"/>
    <col min="12564" max="12564" width="33.7109375" style="110" customWidth="1"/>
    <col min="12565" max="12565" width="31.140625" style="110" customWidth="1"/>
    <col min="12566" max="12566" width="19.28515625" style="110" customWidth="1"/>
    <col min="12567" max="12567" width="11.7109375" style="110" customWidth="1"/>
    <col min="12568" max="12568" width="15.42578125" style="110" customWidth="1"/>
    <col min="12569" max="12569" width="5.5703125" style="110" customWidth="1"/>
    <col min="12570" max="12570" width="4.7109375" style="110" customWidth="1"/>
    <col min="12571" max="12572" width="7.28515625" style="110" customWidth="1"/>
    <col min="12573" max="12573" width="8.42578125" style="110" customWidth="1"/>
    <col min="12574" max="12574" width="9.5703125" style="110" customWidth="1"/>
    <col min="12575" max="12575" width="6.28515625" style="110" customWidth="1"/>
    <col min="12576" max="12576" width="5.85546875" style="110" customWidth="1"/>
    <col min="12577" max="12578" width="4.42578125" style="110" customWidth="1"/>
    <col min="12579" max="12579" width="5" style="110" customWidth="1"/>
    <col min="12580" max="12580" width="5.85546875" style="110" customWidth="1"/>
    <col min="12581" max="12581" width="6.140625" style="110" customWidth="1"/>
    <col min="12582" max="12582" width="6.28515625" style="110" customWidth="1"/>
    <col min="12583" max="12583" width="4.85546875" style="110" customWidth="1"/>
    <col min="12584" max="12584" width="8.140625" style="110" customWidth="1"/>
    <col min="12585" max="12585" width="11.5703125" style="110" customWidth="1"/>
    <col min="12586" max="12586" width="13.7109375" style="110" customWidth="1"/>
    <col min="12587" max="12587" width="20.85546875" style="110" customWidth="1"/>
    <col min="12588" max="12800" width="11.42578125" style="110"/>
    <col min="12801" max="12801" width="13.140625" style="110" customWidth="1"/>
    <col min="12802" max="12802" width="4" style="110" customWidth="1"/>
    <col min="12803" max="12803" width="12.85546875" style="110" customWidth="1"/>
    <col min="12804" max="12804" width="14.7109375" style="110" customWidth="1"/>
    <col min="12805" max="12805" width="10" style="110" customWidth="1"/>
    <col min="12806" max="12806" width="6.28515625" style="110" customWidth="1"/>
    <col min="12807" max="12807" width="12.28515625" style="110" customWidth="1"/>
    <col min="12808" max="12808" width="8.5703125" style="110" customWidth="1"/>
    <col min="12809" max="12809" width="13.7109375" style="110" customWidth="1"/>
    <col min="12810" max="12810" width="11.5703125" style="110" customWidth="1"/>
    <col min="12811" max="12811" width="24.7109375" style="110" customWidth="1"/>
    <col min="12812" max="12812" width="17.42578125" style="110" customWidth="1"/>
    <col min="12813" max="12813" width="20.85546875" style="110" customWidth="1"/>
    <col min="12814" max="12814" width="26.85546875" style="110" customWidth="1"/>
    <col min="12815" max="12815" width="8" style="110" customWidth="1"/>
    <col min="12816" max="12816" width="25" style="110" customWidth="1"/>
    <col min="12817" max="12817" width="12.7109375" style="110" customWidth="1"/>
    <col min="12818" max="12818" width="16.42578125" style="110" customWidth="1"/>
    <col min="12819" max="12819" width="23.5703125" style="110" customWidth="1"/>
    <col min="12820" max="12820" width="33.7109375" style="110" customWidth="1"/>
    <col min="12821" max="12821" width="31.140625" style="110" customWidth="1"/>
    <col min="12822" max="12822" width="19.28515625" style="110" customWidth="1"/>
    <col min="12823" max="12823" width="11.7109375" style="110" customWidth="1"/>
    <col min="12824" max="12824" width="15.42578125" style="110" customWidth="1"/>
    <col min="12825" max="12825" width="5.5703125" style="110" customWidth="1"/>
    <col min="12826" max="12826" width="4.7109375" style="110" customWidth="1"/>
    <col min="12827" max="12828" width="7.28515625" style="110" customWidth="1"/>
    <col min="12829" max="12829" width="8.42578125" style="110" customWidth="1"/>
    <col min="12830" max="12830" width="9.5703125" style="110" customWidth="1"/>
    <col min="12831" max="12831" width="6.28515625" style="110" customWidth="1"/>
    <col min="12832" max="12832" width="5.85546875" style="110" customWidth="1"/>
    <col min="12833" max="12834" width="4.42578125" style="110" customWidth="1"/>
    <col min="12835" max="12835" width="5" style="110" customWidth="1"/>
    <col min="12836" max="12836" width="5.85546875" style="110" customWidth="1"/>
    <col min="12837" max="12837" width="6.140625" style="110" customWidth="1"/>
    <col min="12838" max="12838" width="6.28515625" style="110" customWidth="1"/>
    <col min="12839" max="12839" width="4.85546875" style="110" customWidth="1"/>
    <col min="12840" max="12840" width="8.140625" style="110" customWidth="1"/>
    <col min="12841" max="12841" width="11.5703125" style="110" customWidth="1"/>
    <col min="12842" max="12842" width="13.7109375" style="110" customWidth="1"/>
    <col min="12843" max="12843" width="20.85546875" style="110" customWidth="1"/>
    <col min="12844" max="13056" width="11.42578125" style="110"/>
    <col min="13057" max="13057" width="13.140625" style="110" customWidth="1"/>
    <col min="13058" max="13058" width="4" style="110" customWidth="1"/>
    <col min="13059" max="13059" width="12.85546875" style="110" customWidth="1"/>
    <col min="13060" max="13060" width="14.7109375" style="110" customWidth="1"/>
    <col min="13061" max="13061" width="10" style="110" customWidth="1"/>
    <col min="13062" max="13062" width="6.28515625" style="110" customWidth="1"/>
    <col min="13063" max="13063" width="12.28515625" style="110" customWidth="1"/>
    <col min="13064" max="13064" width="8.5703125" style="110" customWidth="1"/>
    <col min="13065" max="13065" width="13.7109375" style="110" customWidth="1"/>
    <col min="13066" max="13066" width="11.5703125" style="110" customWidth="1"/>
    <col min="13067" max="13067" width="24.7109375" style="110" customWidth="1"/>
    <col min="13068" max="13068" width="17.42578125" style="110" customWidth="1"/>
    <col min="13069" max="13069" width="20.85546875" style="110" customWidth="1"/>
    <col min="13070" max="13070" width="26.85546875" style="110" customWidth="1"/>
    <col min="13071" max="13071" width="8" style="110" customWidth="1"/>
    <col min="13072" max="13072" width="25" style="110" customWidth="1"/>
    <col min="13073" max="13073" width="12.7109375" style="110" customWidth="1"/>
    <col min="13074" max="13074" width="16.42578125" style="110" customWidth="1"/>
    <col min="13075" max="13075" width="23.5703125" style="110" customWidth="1"/>
    <col min="13076" max="13076" width="33.7109375" style="110" customWidth="1"/>
    <col min="13077" max="13077" width="31.140625" style="110" customWidth="1"/>
    <col min="13078" max="13078" width="19.28515625" style="110" customWidth="1"/>
    <col min="13079" max="13079" width="11.7109375" style="110" customWidth="1"/>
    <col min="13080" max="13080" width="15.42578125" style="110" customWidth="1"/>
    <col min="13081" max="13081" width="5.5703125" style="110" customWidth="1"/>
    <col min="13082" max="13082" width="4.7109375" style="110" customWidth="1"/>
    <col min="13083" max="13084" width="7.28515625" style="110" customWidth="1"/>
    <col min="13085" max="13085" width="8.42578125" style="110" customWidth="1"/>
    <col min="13086" max="13086" width="9.5703125" style="110" customWidth="1"/>
    <col min="13087" max="13087" width="6.28515625" style="110" customWidth="1"/>
    <col min="13088" max="13088" width="5.85546875" style="110" customWidth="1"/>
    <col min="13089" max="13090" width="4.42578125" style="110" customWidth="1"/>
    <col min="13091" max="13091" width="5" style="110" customWidth="1"/>
    <col min="13092" max="13092" width="5.85546875" style="110" customWidth="1"/>
    <col min="13093" max="13093" width="6.140625" style="110" customWidth="1"/>
    <col min="13094" max="13094" width="6.28515625" style="110" customWidth="1"/>
    <col min="13095" max="13095" width="4.85546875" style="110" customWidth="1"/>
    <col min="13096" max="13096" width="8.140625" style="110" customWidth="1"/>
    <col min="13097" max="13097" width="11.5703125" style="110" customWidth="1"/>
    <col min="13098" max="13098" width="13.7109375" style="110" customWidth="1"/>
    <col min="13099" max="13099" width="20.85546875" style="110" customWidth="1"/>
    <col min="13100" max="13312" width="11.42578125" style="110"/>
    <col min="13313" max="13313" width="13.140625" style="110" customWidth="1"/>
    <col min="13314" max="13314" width="4" style="110" customWidth="1"/>
    <col min="13315" max="13315" width="12.85546875" style="110" customWidth="1"/>
    <col min="13316" max="13316" width="14.7109375" style="110" customWidth="1"/>
    <col min="13317" max="13317" width="10" style="110" customWidth="1"/>
    <col min="13318" max="13318" width="6.28515625" style="110" customWidth="1"/>
    <col min="13319" max="13319" width="12.28515625" style="110" customWidth="1"/>
    <col min="13320" max="13320" width="8.5703125" style="110" customWidth="1"/>
    <col min="13321" max="13321" width="13.7109375" style="110" customWidth="1"/>
    <col min="13322" max="13322" width="11.5703125" style="110" customWidth="1"/>
    <col min="13323" max="13323" width="24.7109375" style="110" customWidth="1"/>
    <col min="13324" max="13324" width="17.42578125" style="110" customWidth="1"/>
    <col min="13325" max="13325" width="20.85546875" style="110" customWidth="1"/>
    <col min="13326" max="13326" width="26.85546875" style="110" customWidth="1"/>
    <col min="13327" max="13327" width="8" style="110" customWidth="1"/>
    <col min="13328" max="13328" width="25" style="110" customWidth="1"/>
    <col min="13329" max="13329" width="12.7109375" style="110" customWidth="1"/>
    <col min="13330" max="13330" width="16.42578125" style="110" customWidth="1"/>
    <col min="13331" max="13331" width="23.5703125" style="110" customWidth="1"/>
    <col min="13332" max="13332" width="33.7109375" style="110" customWidth="1"/>
    <col min="13333" max="13333" width="31.140625" style="110" customWidth="1"/>
    <col min="13334" max="13334" width="19.28515625" style="110" customWidth="1"/>
    <col min="13335" max="13335" width="11.7109375" style="110" customWidth="1"/>
    <col min="13336" max="13336" width="15.42578125" style="110" customWidth="1"/>
    <col min="13337" max="13337" width="5.5703125" style="110" customWidth="1"/>
    <col min="13338" max="13338" width="4.7109375" style="110" customWidth="1"/>
    <col min="13339" max="13340" width="7.28515625" style="110" customWidth="1"/>
    <col min="13341" max="13341" width="8.42578125" style="110" customWidth="1"/>
    <col min="13342" max="13342" width="9.5703125" style="110" customWidth="1"/>
    <col min="13343" max="13343" width="6.28515625" style="110" customWidth="1"/>
    <col min="13344" max="13344" width="5.85546875" style="110" customWidth="1"/>
    <col min="13345" max="13346" width="4.42578125" style="110" customWidth="1"/>
    <col min="13347" max="13347" width="5" style="110" customWidth="1"/>
    <col min="13348" max="13348" width="5.85546875" style="110" customWidth="1"/>
    <col min="13349" max="13349" width="6.140625" style="110" customWidth="1"/>
    <col min="13350" max="13350" width="6.28515625" style="110" customWidth="1"/>
    <col min="13351" max="13351" width="4.85546875" style="110" customWidth="1"/>
    <col min="13352" max="13352" width="8.140625" style="110" customWidth="1"/>
    <col min="13353" max="13353" width="11.5703125" style="110" customWidth="1"/>
    <col min="13354" max="13354" width="13.7109375" style="110" customWidth="1"/>
    <col min="13355" max="13355" width="20.85546875" style="110" customWidth="1"/>
    <col min="13356" max="13568" width="11.42578125" style="110"/>
    <col min="13569" max="13569" width="13.140625" style="110" customWidth="1"/>
    <col min="13570" max="13570" width="4" style="110" customWidth="1"/>
    <col min="13571" max="13571" width="12.85546875" style="110" customWidth="1"/>
    <col min="13572" max="13572" width="14.7109375" style="110" customWidth="1"/>
    <col min="13573" max="13573" width="10" style="110" customWidth="1"/>
    <col min="13574" max="13574" width="6.28515625" style="110" customWidth="1"/>
    <col min="13575" max="13575" width="12.28515625" style="110" customWidth="1"/>
    <col min="13576" max="13576" width="8.5703125" style="110" customWidth="1"/>
    <col min="13577" max="13577" width="13.7109375" style="110" customWidth="1"/>
    <col min="13578" max="13578" width="11.5703125" style="110" customWidth="1"/>
    <col min="13579" max="13579" width="24.7109375" style="110" customWidth="1"/>
    <col min="13580" max="13580" width="17.42578125" style="110" customWidth="1"/>
    <col min="13581" max="13581" width="20.85546875" style="110" customWidth="1"/>
    <col min="13582" max="13582" width="26.85546875" style="110" customWidth="1"/>
    <col min="13583" max="13583" width="8" style="110" customWidth="1"/>
    <col min="13584" max="13584" width="25" style="110" customWidth="1"/>
    <col min="13585" max="13585" width="12.7109375" style="110" customWidth="1"/>
    <col min="13586" max="13586" width="16.42578125" style="110" customWidth="1"/>
    <col min="13587" max="13587" width="23.5703125" style="110" customWidth="1"/>
    <col min="13588" max="13588" width="33.7109375" style="110" customWidth="1"/>
    <col min="13589" max="13589" width="31.140625" style="110" customWidth="1"/>
    <col min="13590" max="13590" width="19.28515625" style="110" customWidth="1"/>
    <col min="13591" max="13591" width="11.7109375" style="110" customWidth="1"/>
    <col min="13592" max="13592" width="15.42578125" style="110" customWidth="1"/>
    <col min="13593" max="13593" width="5.5703125" style="110" customWidth="1"/>
    <col min="13594" max="13594" width="4.7109375" style="110" customWidth="1"/>
    <col min="13595" max="13596" width="7.28515625" style="110" customWidth="1"/>
    <col min="13597" max="13597" width="8.42578125" style="110" customWidth="1"/>
    <col min="13598" max="13598" width="9.5703125" style="110" customWidth="1"/>
    <col min="13599" max="13599" width="6.28515625" style="110" customWidth="1"/>
    <col min="13600" max="13600" width="5.85546875" style="110" customWidth="1"/>
    <col min="13601" max="13602" width="4.42578125" style="110" customWidth="1"/>
    <col min="13603" max="13603" width="5" style="110" customWidth="1"/>
    <col min="13604" max="13604" width="5.85546875" style="110" customWidth="1"/>
    <col min="13605" max="13605" width="6.140625" style="110" customWidth="1"/>
    <col min="13606" max="13606" width="6.28515625" style="110" customWidth="1"/>
    <col min="13607" max="13607" width="4.85546875" style="110" customWidth="1"/>
    <col min="13608" max="13608" width="8.140625" style="110" customWidth="1"/>
    <col min="13609" max="13609" width="11.5703125" style="110" customWidth="1"/>
    <col min="13610" max="13610" width="13.7109375" style="110" customWidth="1"/>
    <col min="13611" max="13611" width="20.85546875" style="110" customWidth="1"/>
    <col min="13612" max="13824" width="11.42578125" style="110"/>
    <col min="13825" max="13825" width="13.140625" style="110" customWidth="1"/>
    <col min="13826" max="13826" width="4" style="110" customWidth="1"/>
    <col min="13827" max="13827" width="12.85546875" style="110" customWidth="1"/>
    <col min="13828" max="13828" width="14.7109375" style="110" customWidth="1"/>
    <col min="13829" max="13829" width="10" style="110" customWidth="1"/>
    <col min="13830" max="13830" width="6.28515625" style="110" customWidth="1"/>
    <col min="13831" max="13831" width="12.28515625" style="110" customWidth="1"/>
    <col min="13832" max="13832" width="8.5703125" style="110" customWidth="1"/>
    <col min="13833" max="13833" width="13.7109375" style="110" customWidth="1"/>
    <col min="13834" max="13834" width="11.5703125" style="110" customWidth="1"/>
    <col min="13835" max="13835" width="24.7109375" style="110" customWidth="1"/>
    <col min="13836" max="13836" width="17.42578125" style="110" customWidth="1"/>
    <col min="13837" max="13837" width="20.85546875" style="110" customWidth="1"/>
    <col min="13838" max="13838" width="26.85546875" style="110" customWidth="1"/>
    <col min="13839" max="13839" width="8" style="110" customWidth="1"/>
    <col min="13840" max="13840" width="25" style="110" customWidth="1"/>
    <col min="13841" max="13841" width="12.7109375" style="110" customWidth="1"/>
    <col min="13842" max="13842" width="16.42578125" style="110" customWidth="1"/>
    <col min="13843" max="13843" width="23.5703125" style="110" customWidth="1"/>
    <col min="13844" max="13844" width="33.7109375" style="110" customWidth="1"/>
    <col min="13845" max="13845" width="31.140625" style="110" customWidth="1"/>
    <col min="13846" max="13846" width="19.28515625" style="110" customWidth="1"/>
    <col min="13847" max="13847" width="11.7109375" style="110" customWidth="1"/>
    <col min="13848" max="13848" width="15.42578125" style="110" customWidth="1"/>
    <col min="13849" max="13849" width="5.5703125" style="110" customWidth="1"/>
    <col min="13850" max="13850" width="4.7109375" style="110" customWidth="1"/>
    <col min="13851" max="13852" width="7.28515625" style="110" customWidth="1"/>
    <col min="13853" max="13853" width="8.42578125" style="110" customWidth="1"/>
    <col min="13854" max="13854" width="9.5703125" style="110" customWidth="1"/>
    <col min="13855" max="13855" width="6.28515625" style="110" customWidth="1"/>
    <col min="13856" max="13856" width="5.85546875" style="110" customWidth="1"/>
    <col min="13857" max="13858" width="4.42578125" style="110" customWidth="1"/>
    <col min="13859" max="13859" width="5" style="110" customWidth="1"/>
    <col min="13860" max="13860" width="5.85546875" style="110" customWidth="1"/>
    <col min="13861" max="13861" width="6.140625" style="110" customWidth="1"/>
    <col min="13862" max="13862" width="6.28515625" style="110" customWidth="1"/>
    <col min="13863" max="13863" width="4.85546875" style="110" customWidth="1"/>
    <col min="13864" max="13864" width="8.140625" style="110" customWidth="1"/>
    <col min="13865" max="13865" width="11.5703125" style="110" customWidth="1"/>
    <col min="13866" max="13866" width="13.7109375" style="110" customWidth="1"/>
    <col min="13867" max="13867" width="20.85546875" style="110" customWidth="1"/>
    <col min="13868" max="14080" width="11.42578125" style="110"/>
    <col min="14081" max="14081" width="13.140625" style="110" customWidth="1"/>
    <col min="14082" max="14082" width="4" style="110" customWidth="1"/>
    <col min="14083" max="14083" width="12.85546875" style="110" customWidth="1"/>
    <col min="14084" max="14084" width="14.7109375" style="110" customWidth="1"/>
    <col min="14085" max="14085" width="10" style="110" customWidth="1"/>
    <col min="14086" max="14086" width="6.28515625" style="110" customWidth="1"/>
    <col min="14087" max="14087" width="12.28515625" style="110" customWidth="1"/>
    <col min="14088" max="14088" width="8.5703125" style="110" customWidth="1"/>
    <col min="14089" max="14089" width="13.7109375" style="110" customWidth="1"/>
    <col min="14090" max="14090" width="11.5703125" style="110" customWidth="1"/>
    <col min="14091" max="14091" width="24.7109375" style="110" customWidth="1"/>
    <col min="14092" max="14092" width="17.42578125" style="110" customWidth="1"/>
    <col min="14093" max="14093" width="20.85546875" style="110" customWidth="1"/>
    <col min="14094" max="14094" width="26.85546875" style="110" customWidth="1"/>
    <col min="14095" max="14095" width="8" style="110" customWidth="1"/>
    <col min="14096" max="14096" width="25" style="110" customWidth="1"/>
    <col min="14097" max="14097" width="12.7109375" style="110" customWidth="1"/>
    <col min="14098" max="14098" width="16.42578125" style="110" customWidth="1"/>
    <col min="14099" max="14099" width="23.5703125" style="110" customWidth="1"/>
    <col min="14100" max="14100" width="33.7109375" style="110" customWidth="1"/>
    <col min="14101" max="14101" width="31.140625" style="110" customWidth="1"/>
    <col min="14102" max="14102" width="19.28515625" style="110" customWidth="1"/>
    <col min="14103" max="14103" width="11.7109375" style="110" customWidth="1"/>
    <col min="14104" max="14104" width="15.42578125" style="110" customWidth="1"/>
    <col min="14105" max="14105" width="5.5703125" style="110" customWidth="1"/>
    <col min="14106" max="14106" width="4.7109375" style="110" customWidth="1"/>
    <col min="14107" max="14108" width="7.28515625" style="110" customWidth="1"/>
    <col min="14109" max="14109" width="8.42578125" style="110" customWidth="1"/>
    <col min="14110" max="14110" width="9.5703125" style="110" customWidth="1"/>
    <col min="14111" max="14111" width="6.28515625" style="110" customWidth="1"/>
    <col min="14112" max="14112" width="5.85546875" style="110" customWidth="1"/>
    <col min="14113" max="14114" width="4.42578125" style="110" customWidth="1"/>
    <col min="14115" max="14115" width="5" style="110" customWidth="1"/>
    <col min="14116" max="14116" width="5.85546875" style="110" customWidth="1"/>
    <col min="14117" max="14117" width="6.140625" style="110" customWidth="1"/>
    <col min="14118" max="14118" width="6.28515625" style="110" customWidth="1"/>
    <col min="14119" max="14119" width="4.85546875" style="110" customWidth="1"/>
    <col min="14120" max="14120" width="8.140625" style="110" customWidth="1"/>
    <col min="14121" max="14121" width="11.5703125" style="110" customWidth="1"/>
    <col min="14122" max="14122" width="13.7109375" style="110" customWidth="1"/>
    <col min="14123" max="14123" width="20.85546875" style="110" customWidth="1"/>
    <col min="14124" max="14336" width="11.42578125" style="110"/>
    <col min="14337" max="14337" width="13.140625" style="110" customWidth="1"/>
    <col min="14338" max="14338" width="4" style="110" customWidth="1"/>
    <col min="14339" max="14339" width="12.85546875" style="110" customWidth="1"/>
    <col min="14340" max="14340" width="14.7109375" style="110" customWidth="1"/>
    <col min="14341" max="14341" width="10" style="110" customWidth="1"/>
    <col min="14342" max="14342" width="6.28515625" style="110" customWidth="1"/>
    <col min="14343" max="14343" width="12.28515625" style="110" customWidth="1"/>
    <col min="14344" max="14344" width="8.5703125" style="110" customWidth="1"/>
    <col min="14345" max="14345" width="13.7109375" style="110" customWidth="1"/>
    <col min="14346" max="14346" width="11.5703125" style="110" customWidth="1"/>
    <col min="14347" max="14347" width="24.7109375" style="110" customWidth="1"/>
    <col min="14348" max="14348" width="17.42578125" style="110" customWidth="1"/>
    <col min="14349" max="14349" width="20.85546875" style="110" customWidth="1"/>
    <col min="14350" max="14350" width="26.85546875" style="110" customWidth="1"/>
    <col min="14351" max="14351" width="8" style="110" customWidth="1"/>
    <col min="14352" max="14352" width="25" style="110" customWidth="1"/>
    <col min="14353" max="14353" width="12.7109375" style="110" customWidth="1"/>
    <col min="14354" max="14354" width="16.42578125" style="110" customWidth="1"/>
    <col min="14355" max="14355" width="23.5703125" style="110" customWidth="1"/>
    <col min="14356" max="14356" width="33.7109375" style="110" customWidth="1"/>
    <col min="14357" max="14357" width="31.140625" style="110" customWidth="1"/>
    <col min="14358" max="14358" width="19.28515625" style="110" customWidth="1"/>
    <col min="14359" max="14359" width="11.7109375" style="110" customWidth="1"/>
    <col min="14360" max="14360" width="15.42578125" style="110" customWidth="1"/>
    <col min="14361" max="14361" width="5.5703125" style="110" customWidth="1"/>
    <col min="14362" max="14362" width="4.7109375" style="110" customWidth="1"/>
    <col min="14363" max="14364" width="7.28515625" style="110" customWidth="1"/>
    <col min="14365" max="14365" width="8.42578125" style="110" customWidth="1"/>
    <col min="14366" max="14366" width="9.5703125" style="110" customWidth="1"/>
    <col min="14367" max="14367" width="6.28515625" style="110" customWidth="1"/>
    <col min="14368" max="14368" width="5.85546875" style="110" customWidth="1"/>
    <col min="14369" max="14370" width="4.42578125" style="110" customWidth="1"/>
    <col min="14371" max="14371" width="5" style="110" customWidth="1"/>
    <col min="14372" max="14372" width="5.85546875" style="110" customWidth="1"/>
    <col min="14373" max="14373" width="6.140625" style="110" customWidth="1"/>
    <col min="14374" max="14374" width="6.28515625" style="110" customWidth="1"/>
    <col min="14375" max="14375" width="4.85546875" style="110" customWidth="1"/>
    <col min="14376" max="14376" width="8.140625" style="110" customWidth="1"/>
    <col min="14377" max="14377" width="11.5703125" style="110" customWidth="1"/>
    <col min="14378" max="14378" width="13.7109375" style="110" customWidth="1"/>
    <col min="14379" max="14379" width="20.85546875" style="110" customWidth="1"/>
    <col min="14380" max="14592" width="11.42578125" style="110"/>
    <col min="14593" max="14593" width="13.140625" style="110" customWidth="1"/>
    <col min="14594" max="14594" width="4" style="110" customWidth="1"/>
    <col min="14595" max="14595" width="12.85546875" style="110" customWidth="1"/>
    <col min="14596" max="14596" width="14.7109375" style="110" customWidth="1"/>
    <col min="14597" max="14597" width="10" style="110" customWidth="1"/>
    <col min="14598" max="14598" width="6.28515625" style="110" customWidth="1"/>
    <col min="14599" max="14599" width="12.28515625" style="110" customWidth="1"/>
    <col min="14600" max="14600" width="8.5703125" style="110" customWidth="1"/>
    <col min="14601" max="14601" width="13.7109375" style="110" customWidth="1"/>
    <col min="14602" max="14602" width="11.5703125" style="110" customWidth="1"/>
    <col min="14603" max="14603" width="24.7109375" style="110" customWidth="1"/>
    <col min="14604" max="14604" width="17.42578125" style="110" customWidth="1"/>
    <col min="14605" max="14605" width="20.85546875" style="110" customWidth="1"/>
    <col min="14606" max="14606" width="26.85546875" style="110" customWidth="1"/>
    <col min="14607" max="14607" width="8" style="110" customWidth="1"/>
    <col min="14608" max="14608" width="25" style="110" customWidth="1"/>
    <col min="14609" max="14609" width="12.7109375" style="110" customWidth="1"/>
    <col min="14610" max="14610" width="16.42578125" style="110" customWidth="1"/>
    <col min="14611" max="14611" width="23.5703125" style="110" customWidth="1"/>
    <col min="14612" max="14612" width="33.7109375" style="110" customWidth="1"/>
    <col min="14613" max="14613" width="31.140625" style="110" customWidth="1"/>
    <col min="14614" max="14614" width="19.28515625" style="110" customWidth="1"/>
    <col min="14615" max="14615" width="11.7109375" style="110" customWidth="1"/>
    <col min="14616" max="14616" width="15.42578125" style="110" customWidth="1"/>
    <col min="14617" max="14617" width="5.5703125" style="110" customWidth="1"/>
    <col min="14618" max="14618" width="4.7109375" style="110" customWidth="1"/>
    <col min="14619" max="14620" width="7.28515625" style="110" customWidth="1"/>
    <col min="14621" max="14621" width="8.42578125" style="110" customWidth="1"/>
    <col min="14622" max="14622" width="9.5703125" style="110" customWidth="1"/>
    <col min="14623" max="14623" width="6.28515625" style="110" customWidth="1"/>
    <col min="14624" max="14624" width="5.85546875" style="110" customWidth="1"/>
    <col min="14625" max="14626" width="4.42578125" style="110" customWidth="1"/>
    <col min="14627" max="14627" width="5" style="110" customWidth="1"/>
    <col min="14628" max="14628" width="5.85546875" style="110" customWidth="1"/>
    <col min="14629" max="14629" width="6.140625" style="110" customWidth="1"/>
    <col min="14630" max="14630" width="6.28515625" style="110" customWidth="1"/>
    <col min="14631" max="14631" width="4.85546875" style="110" customWidth="1"/>
    <col min="14632" max="14632" width="8.140625" style="110" customWidth="1"/>
    <col min="14633" max="14633" width="11.5703125" style="110" customWidth="1"/>
    <col min="14634" max="14634" width="13.7109375" style="110" customWidth="1"/>
    <col min="14635" max="14635" width="20.85546875" style="110" customWidth="1"/>
    <col min="14636" max="14848" width="11.42578125" style="110"/>
    <col min="14849" max="14849" width="13.140625" style="110" customWidth="1"/>
    <col min="14850" max="14850" width="4" style="110" customWidth="1"/>
    <col min="14851" max="14851" width="12.85546875" style="110" customWidth="1"/>
    <col min="14852" max="14852" width="14.7109375" style="110" customWidth="1"/>
    <col min="14853" max="14853" width="10" style="110" customWidth="1"/>
    <col min="14854" max="14854" width="6.28515625" style="110" customWidth="1"/>
    <col min="14855" max="14855" width="12.28515625" style="110" customWidth="1"/>
    <col min="14856" max="14856" width="8.5703125" style="110" customWidth="1"/>
    <col min="14857" max="14857" width="13.7109375" style="110" customWidth="1"/>
    <col min="14858" max="14858" width="11.5703125" style="110" customWidth="1"/>
    <col min="14859" max="14859" width="24.7109375" style="110" customWidth="1"/>
    <col min="14860" max="14860" width="17.42578125" style="110" customWidth="1"/>
    <col min="14861" max="14861" width="20.85546875" style="110" customWidth="1"/>
    <col min="14862" max="14862" width="26.85546875" style="110" customWidth="1"/>
    <col min="14863" max="14863" width="8" style="110" customWidth="1"/>
    <col min="14864" max="14864" width="25" style="110" customWidth="1"/>
    <col min="14865" max="14865" width="12.7109375" style="110" customWidth="1"/>
    <col min="14866" max="14866" width="16.42578125" style="110" customWidth="1"/>
    <col min="14867" max="14867" width="23.5703125" style="110" customWidth="1"/>
    <col min="14868" max="14868" width="33.7109375" style="110" customWidth="1"/>
    <col min="14869" max="14869" width="31.140625" style="110" customWidth="1"/>
    <col min="14870" max="14870" width="19.28515625" style="110" customWidth="1"/>
    <col min="14871" max="14871" width="11.7109375" style="110" customWidth="1"/>
    <col min="14872" max="14872" width="15.42578125" style="110" customWidth="1"/>
    <col min="14873" max="14873" width="5.5703125" style="110" customWidth="1"/>
    <col min="14874" max="14874" width="4.7109375" style="110" customWidth="1"/>
    <col min="14875" max="14876" width="7.28515625" style="110" customWidth="1"/>
    <col min="14877" max="14877" width="8.42578125" style="110" customWidth="1"/>
    <col min="14878" max="14878" width="9.5703125" style="110" customWidth="1"/>
    <col min="14879" max="14879" width="6.28515625" style="110" customWidth="1"/>
    <col min="14880" max="14880" width="5.85546875" style="110" customWidth="1"/>
    <col min="14881" max="14882" width="4.42578125" style="110" customWidth="1"/>
    <col min="14883" max="14883" width="5" style="110" customWidth="1"/>
    <col min="14884" max="14884" width="5.85546875" style="110" customWidth="1"/>
    <col min="14885" max="14885" width="6.140625" style="110" customWidth="1"/>
    <col min="14886" max="14886" width="6.28515625" style="110" customWidth="1"/>
    <col min="14887" max="14887" width="4.85546875" style="110" customWidth="1"/>
    <col min="14888" max="14888" width="8.140625" style="110" customWidth="1"/>
    <col min="14889" max="14889" width="11.5703125" style="110" customWidth="1"/>
    <col min="14890" max="14890" width="13.7109375" style="110" customWidth="1"/>
    <col min="14891" max="14891" width="20.85546875" style="110" customWidth="1"/>
    <col min="14892" max="15104" width="11.42578125" style="110"/>
    <col min="15105" max="15105" width="13.140625" style="110" customWidth="1"/>
    <col min="15106" max="15106" width="4" style="110" customWidth="1"/>
    <col min="15107" max="15107" width="12.85546875" style="110" customWidth="1"/>
    <col min="15108" max="15108" width="14.7109375" style="110" customWidth="1"/>
    <col min="15109" max="15109" width="10" style="110" customWidth="1"/>
    <col min="15110" max="15110" width="6.28515625" style="110" customWidth="1"/>
    <col min="15111" max="15111" width="12.28515625" style="110" customWidth="1"/>
    <col min="15112" max="15112" width="8.5703125" style="110" customWidth="1"/>
    <col min="15113" max="15113" width="13.7109375" style="110" customWidth="1"/>
    <col min="15114" max="15114" width="11.5703125" style="110" customWidth="1"/>
    <col min="15115" max="15115" width="24.7109375" style="110" customWidth="1"/>
    <col min="15116" max="15116" width="17.42578125" style="110" customWidth="1"/>
    <col min="15117" max="15117" width="20.85546875" style="110" customWidth="1"/>
    <col min="15118" max="15118" width="26.85546875" style="110" customWidth="1"/>
    <col min="15119" max="15119" width="8" style="110" customWidth="1"/>
    <col min="15120" max="15120" width="25" style="110" customWidth="1"/>
    <col min="15121" max="15121" width="12.7109375" style="110" customWidth="1"/>
    <col min="15122" max="15122" width="16.42578125" style="110" customWidth="1"/>
    <col min="15123" max="15123" width="23.5703125" style="110" customWidth="1"/>
    <col min="15124" max="15124" width="33.7109375" style="110" customWidth="1"/>
    <col min="15125" max="15125" width="31.140625" style="110" customWidth="1"/>
    <col min="15126" max="15126" width="19.28515625" style="110" customWidth="1"/>
    <col min="15127" max="15127" width="11.7109375" style="110" customWidth="1"/>
    <col min="15128" max="15128" width="15.42578125" style="110" customWidth="1"/>
    <col min="15129" max="15129" width="5.5703125" style="110" customWidth="1"/>
    <col min="15130" max="15130" width="4.7109375" style="110" customWidth="1"/>
    <col min="15131" max="15132" width="7.28515625" style="110" customWidth="1"/>
    <col min="15133" max="15133" width="8.42578125" style="110" customWidth="1"/>
    <col min="15134" max="15134" width="9.5703125" style="110" customWidth="1"/>
    <col min="15135" max="15135" width="6.28515625" style="110" customWidth="1"/>
    <col min="15136" max="15136" width="5.85546875" style="110" customWidth="1"/>
    <col min="15137" max="15138" width="4.42578125" style="110" customWidth="1"/>
    <col min="15139" max="15139" width="5" style="110" customWidth="1"/>
    <col min="15140" max="15140" width="5.85546875" style="110" customWidth="1"/>
    <col min="15141" max="15141" width="6.140625" style="110" customWidth="1"/>
    <col min="15142" max="15142" width="6.28515625" style="110" customWidth="1"/>
    <col min="15143" max="15143" width="4.85546875" style="110" customWidth="1"/>
    <col min="15144" max="15144" width="8.140625" style="110" customWidth="1"/>
    <col min="15145" max="15145" width="11.5703125" style="110" customWidth="1"/>
    <col min="15146" max="15146" width="13.7109375" style="110" customWidth="1"/>
    <col min="15147" max="15147" width="20.85546875" style="110" customWidth="1"/>
    <col min="15148" max="15360" width="11.42578125" style="110"/>
    <col min="15361" max="15361" width="13.140625" style="110" customWidth="1"/>
    <col min="15362" max="15362" width="4" style="110" customWidth="1"/>
    <col min="15363" max="15363" width="12.85546875" style="110" customWidth="1"/>
    <col min="15364" max="15364" width="14.7109375" style="110" customWidth="1"/>
    <col min="15365" max="15365" width="10" style="110" customWidth="1"/>
    <col min="15366" max="15366" width="6.28515625" style="110" customWidth="1"/>
    <col min="15367" max="15367" width="12.28515625" style="110" customWidth="1"/>
    <col min="15368" max="15368" width="8.5703125" style="110" customWidth="1"/>
    <col min="15369" max="15369" width="13.7109375" style="110" customWidth="1"/>
    <col min="15370" max="15370" width="11.5703125" style="110" customWidth="1"/>
    <col min="15371" max="15371" width="24.7109375" style="110" customWidth="1"/>
    <col min="15372" max="15372" width="17.42578125" style="110" customWidth="1"/>
    <col min="15373" max="15373" width="20.85546875" style="110" customWidth="1"/>
    <col min="15374" max="15374" width="26.85546875" style="110" customWidth="1"/>
    <col min="15375" max="15375" width="8" style="110" customWidth="1"/>
    <col min="15376" max="15376" width="25" style="110" customWidth="1"/>
    <col min="15377" max="15377" width="12.7109375" style="110" customWidth="1"/>
    <col min="15378" max="15378" width="16.42578125" style="110" customWidth="1"/>
    <col min="15379" max="15379" width="23.5703125" style="110" customWidth="1"/>
    <col min="15380" max="15380" width="33.7109375" style="110" customWidth="1"/>
    <col min="15381" max="15381" width="31.140625" style="110" customWidth="1"/>
    <col min="15382" max="15382" width="19.28515625" style="110" customWidth="1"/>
    <col min="15383" max="15383" width="11.7109375" style="110" customWidth="1"/>
    <col min="15384" max="15384" width="15.42578125" style="110" customWidth="1"/>
    <col min="15385" max="15385" width="5.5703125" style="110" customWidth="1"/>
    <col min="15386" max="15386" width="4.7109375" style="110" customWidth="1"/>
    <col min="15387" max="15388" width="7.28515625" style="110" customWidth="1"/>
    <col min="15389" max="15389" width="8.42578125" style="110" customWidth="1"/>
    <col min="15390" max="15390" width="9.5703125" style="110" customWidth="1"/>
    <col min="15391" max="15391" width="6.28515625" style="110" customWidth="1"/>
    <col min="15392" max="15392" width="5.85546875" style="110" customWidth="1"/>
    <col min="15393" max="15394" width="4.42578125" style="110" customWidth="1"/>
    <col min="15395" max="15395" width="5" style="110" customWidth="1"/>
    <col min="15396" max="15396" width="5.85546875" style="110" customWidth="1"/>
    <col min="15397" max="15397" width="6.140625" style="110" customWidth="1"/>
    <col min="15398" max="15398" width="6.28515625" style="110" customWidth="1"/>
    <col min="15399" max="15399" width="4.85546875" style="110" customWidth="1"/>
    <col min="15400" max="15400" width="8.140625" style="110" customWidth="1"/>
    <col min="15401" max="15401" width="11.5703125" style="110" customWidth="1"/>
    <col min="15402" max="15402" width="13.7109375" style="110" customWidth="1"/>
    <col min="15403" max="15403" width="20.85546875" style="110" customWidth="1"/>
    <col min="15404" max="15616" width="11.42578125" style="110"/>
    <col min="15617" max="15617" width="13.140625" style="110" customWidth="1"/>
    <col min="15618" max="15618" width="4" style="110" customWidth="1"/>
    <col min="15619" max="15619" width="12.85546875" style="110" customWidth="1"/>
    <col min="15620" max="15620" width="14.7109375" style="110" customWidth="1"/>
    <col min="15621" max="15621" width="10" style="110" customWidth="1"/>
    <col min="15622" max="15622" width="6.28515625" style="110" customWidth="1"/>
    <col min="15623" max="15623" width="12.28515625" style="110" customWidth="1"/>
    <col min="15624" max="15624" width="8.5703125" style="110" customWidth="1"/>
    <col min="15625" max="15625" width="13.7109375" style="110" customWidth="1"/>
    <col min="15626" max="15626" width="11.5703125" style="110" customWidth="1"/>
    <col min="15627" max="15627" width="24.7109375" style="110" customWidth="1"/>
    <col min="15628" max="15628" width="17.42578125" style="110" customWidth="1"/>
    <col min="15629" max="15629" width="20.85546875" style="110" customWidth="1"/>
    <col min="15630" max="15630" width="26.85546875" style="110" customWidth="1"/>
    <col min="15631" max="15631" width="8" style="110" customWidth="1"/>
    <col min="15632" max="15632" width="25" style="110" customWidth="1"/>
    <col min="15633" max="15633" width="12.7109375" style="110" customWidth="1"/>
    <col min="15634" max="15634" width="16.42578125" style="110" customWidth="1"/>
    <col min="15635" max="15635" width="23.5703125" style="110" customWidth="1"/>
    <col min="15636" max="15636" width="33.7109375" style="110" customWidth="1"/>
    <col min="15637" max="15637" width="31.140625" style="110" customWidth="1"/>
    <col min="15638" max="15638" width="19.28515625" style="110" customWidth="1"/>
    <col min="15639" max="15639" width="11.7109375" style="110" customWidth="1"/>
    <col min="15640" max="15640" width="15.42578125" style="110" customWidth="1"/>
    <col min="15641" max="15641" width="5.5703125" style="110" customWidth="1"/>
    <col min="15642" max="15642" width="4.7109375" style="110" customWidth="1"/>
    <col min="15643" max="15644" width="7.28515625" style="110" customWidth="1"/>
    <col min="15645" max="15645" width="8.42578125" style="110" customWidth="1"/>
    <col min="15646" max="15646" width="9.5703125" style="110" customWidth="1"/>
    <col min="15647" max="15647" width="6.28515625" style="110" customWidth="1"/>
    <col min="15648" max="15648" width="5.85546875" style="110" customWidth="1"/>
    <col min="15649" max="15650" width="4.42578125" style="110" customWidth="1"/>
    <col min="15651" max="15651" width="5" style="110" customWidth="1"/>
    <col min="15652" max="15652" width="5.85546875" style="110" customWidth="1"/>
    <col min="15653" max="15653" width="6.140625" style="110" customWidth="1"/>
    <col min="15654" max="15654" width="6.28515625" style="110" customWidth="1"/>
    <col min="15655" max="15655" width="4.85546875" style="110" customWidth="1"/>
    <col min="15656" max="15656" width="8.140625" style="110" customWidth="1"/>
    <col min="15657" max="15657" width="11.5703125" style="110" customWidth="1"/>
    <col min="15658" max="15658" width="13.7109375" style="110" customWidth="1"/>
    <col min="15659" max="15659" width="20.85546875" style="110" customWidth="1"/>
    <col min="15660" max="15872" width="11.42578125" style="110"/>
    <col min="15873" max="15873" width="13.140625" style="110" customWidth="1"/>
    <col min="15874" max="15874" width="4" style="110" customWidth="1"/>
    <col min="15875" max="15875" width="12.85546875" style="110" customWidth="1"/>
    <col min="15876" max="15876" width="14.7109375" style="110" customWidth="1"/>
    <col min="15877" max="15877" width="10" style="110" customWidth="1"/>
    <col min="15878" max="15878" width="6.28515625" style="110" customWidth="1"/>
    <col min="15879" max="15879" width="12.28515625" style="110" customWidth="1"/>
    <col min="15880" max="15880" width="8.5703125" style="110" customWidth="1"/>
    <col min="15881" max="15881" width="13.7109375" style="110" customWidth="1"/>
    <col min="15882" max="15882" width="11.5703125" style="110" customWidth="1"/>
    <col min="15883" max="15883" width="24.7109375" style="110" customWidth="1"/>
    <col min="15884" max="15884" width="17.42578125" style="110" customWidth="1"/>
    <col min="15885" max="15885" width="20.85546875" style="110" customWidth="1"/>
    <col min="15886" max="15886" width="26.85546875" style="110" customWidth="1"/>
    <col min="15887" max="15887" width="8" style="110" customWidth="1"/>
    <col min="15888" max="15888" width="25" style="110" customWidth="1"/>
    <col min="15889" max="15889" width="12.7109375" style="110" customWidth="1"/>
    <col min="15890" max="15890" width="16.42578125" style="110" customWidth="1"/>
    <col min="15891" max="15891" width="23.5703125" style="110" customWidth="1"/>
    <col min="15892" max="15892" width="33.7109375" style="110" customWidth="1"/>
    <col min="15893" max="15893" width="31.140625" style="110" customWidth="1"/>
    <col min="15894" max="15894" width="19.28515625" style="110" customWidth="1"/>
    <col min="15895" max="15895" width="11.7109375" style="110" customWidth="1"/>
    <col min="15896" max="15896" width="15.42578125" style="110" customWidth="1"/>
    <col min="15897" max="15897" width="5.5703125" style="110" customWidth="1"/>
    <col min="15898" max="15898" width="4.7109375" style="110" customWidth="1"/>
    <col min="15899" max="15900" width="7.28515625" style="110" customWidth="1"/>
    <col min="15901" max="15901" width="8.42578125" style="110" customWidth="1"/>
    <col min="15902" max="15902" width="9.5703125" style="110" customWidth="1"/>
    <col min="15903" max="15903" width="6.28515625" style="110" customWidth="1"/>
    <col min="15904" max="15904" width="5.85546875" style="110" customWidth="1"/>
    <col min="15905" max="15906" width="4.42578125" style="110" customWidth="1"/>
    <col min="15907" max="15907" width="5" style="110" customWidth="1"/>
    <col min="15908" max="15908" width="5.85546875" style="110" customWidth="1"/>
    <col min="15909" max="15909" width="6.140625" style="110" customWidth="1"/>
    <col min="15910" max="15910" width="6.28515625" style="110" customWidth="1"/>
    <col min="15911" max="15911" width="4.85546875" style="110" customWidth="1"/>
    <col min="15912" max="15912" width="8.140625" style="110" customWidth="1"/>
    <col min="15913" max="15913" width="11.5703125" style="110" customWidth="1"/>
    <col min="15914" max="15914" width="13.7109375" style="110" customWidth="1"/>
    <col min="15915" max="15915" width="20.85546875" style="110" customWidth="1"/>
    <col min="15916" max="16128" width="11.42578125" style="110"/>
    <col min="16129" max="16129" width="13.140625" style="110" customWidth="1"/>
    <col min="16130" max="16130" width="4" style="110" customWidth="1"/>
    <col min="16131" max="16131" width="12.85546875" style="110" customWidth="1"/>
    <col min="16132" max="16132" width="14.7109375" style="110" customWidth="1"/>
    <col min="16133" max="16133" width="10" style="110" customWidth="1"/>
    <col min="16134" max="16134" width="6.28515625" style="110" customWidth="1"/>
    <col min="16135" max="16135" width="12.28515625" style="110" customWidth="1"/>
    <col min="16136" max="16136" width="8.5703125" style="110" customWidth="1"/>
    <col min="16137" max="16137" width="13.7109375" style="110" customWidth="1"/>
    <col min="16138" max="16138" width="11.5703125" style="110" customWidth="1"/>
    <col min="16139" max="16139" width="24.7109375" style="110" customWidth="1"/>
    <col min="16140" max="16140" width="17.42578125" style="110" customWidth="1"/>
    <col min="16141" max="16141" width="20.85546875" style="110" customWidth="1"/>
    <col min="16142" max="16142" width="26.85546875" style="110" customWidth="1"/>
    <col min="16143" max="16143" width="8" style="110" customWidth="1"/>
    <col min="16144" max="16144" width="25" style="110" customWidth="1"/>
    <col min="16145" max="16145" width="12.7109375" style="110" customWidth="1"/>
    <col min="16146" max="16146" width="16.42578125" style="110" customWidth="1"/>
    <col min="16147" max="16147" width="23.5703125" style="110" customWidth="1"/>
    <col min="16148" max="16148" width="33.7109375" style="110" customWidth="1"/>
    <col min="16149" max="16149" width="31.140625" style="110" customWidth="1"/>
    <col min="16150" max="16150" width="19.28515625" style="110" customWidth="1"/>
    <col min="16151" max="16151" width="11.7109375" style="110" customWidth="1"/>
    <col min="16152" max="16152" width="15.42578125" style="110" customWidth="1"/>
    <col min="16153" max="16153" width="5.5703125" style="110" customWidth="1"/>
    <col min="16154" max="16154" width="4.7109375" style="110" customWidth="1"/>
    <col min="16155" max="16156" width="7.28515625" style="110" customWidth="1"/>
    <col min="16157" max="16157" width="8.42578125" style="110" customWidth="1"/>
    <col min="16158" max="16158" width="9.5703125" style="110" customWidth="1"/>
    <col min="16159" max="16159" width="6.28515625" style="110" customWidth="1"/>
    <col min="16160" max="16160" width="5.85546875" style="110" customWidth="1"/>
    <col min="16161" max="16162" width="4.42578125" style="110" customWidth="1"/>
    <col min="16163" max="16163" width="5" style="110" customWidth="1"/>
    <col min="16164" max="16164" width="5.85546875" style="110" customWidth="1"/>
    <col min="16165" max="16165" width="6.140625" style="110" customWidth="1"/>
    <col min="16166" max="16166" width="6.28515625" style="110" customWidth="1"/>
    <col min="16167" max="16167" width="4.85546875" style="110" customWidth="1"/>
    <col min="16168" max="16168" width="8.140625" style="110" customWidth="1"/>
    <col min="16169" max="16169" width="11.5703125" style="110" customWidth="1"/>
    <col min="16170" max="16170" width="13.7109375" style="110" customWidth="1"/>
    <col min="16171" max="16171" width="20.85546875" style="110" customWidth="1"/>
    <col min="16172" max="16384" width="11.42578125" style="110"/>
  </cols>
  <sheetData>
    <row r="1" spans="1:63" ht="21" customHeight="1" x14ac:dyDescent="0.2">
      <c r="A1" s="2323" t="s">
        <v>1259</v>
      </c>
      <c r="B1" s="2324"/>
      <c r="C1" s="2324"/>
      <c r="D1" s="2324"/>
      <c r="E1" s="2324"/>
      <c r="F1" s="2324"/>
      <c r="G1" s="2324"/>
      <c r="H1" s="2324"/>
      <c r="I1" s="2324"/>
      <c r="J1" s="2324"/>
      <c r="K1" s="2324"/>
      <c r="L1" s="2324"/>
      <c r="M1" s="2324"/>
      <c r="N1" s="2324"/>
      <c r="O1" s="2324"/>
      <c r="P1" s="2324"/>
      <c r="Q1" s="2324"/>
      <c r="R1" s="2324"/>
      <c r="S1" s="2324"/>
      <c r="T1" s="2324"/>
      <c r="U1" s="2324"/>
      <c r="V1" s="2324"/>
      <c r="W1" s="2324"/>
      <c r="X1" s="2324"/>
      <c r="Y1" s="2324"/>
      <c r="Z1" s="2324"/>
      <c r="AA1" s="2324"/>
      <c r="AB1" s="2324"/>
      <c r="AC1" s="2324"/>
      <c r="AD1" s="2324"/>
      <c r="AE1" s="2324"/>
      <c r="AF1" s="2324"/>
      <c r="AG1" s="2324"/>
      <c r="AH1" s="2324"/>
      <c r="AI1" s="2324"/>
      <c r="AJ1" s="2324"/>
      <c r="AK1" s="2324"/>
      <c r="AL1" s="2324"/>
      <c r="AM1" s="2324"/>
      <c r="AN1" s="2324"/>
      <c r="AO1" s="2324"/>
      <c r="AP1" s="2325"/>
      <c r="AQ1" s="1114" t="s">
        <v>131</v>
      </c>
    </row>
    <row r="2" spans="1:63" ht="21" customHeight="1" x14ac:dyDescent="0.2">
      <c r="A2" s="2326"/>
      <c r="B2" s="2252"/>
      <c r="C2" s="2252"/>
      <c r="D2" s="2252"/>
      <c r="E2" s="2252"/>
      <c r="F2" s="2252"/>
      <c r="G2" s="2252"/>
      <c r="H2" s="2252"/>
      <c r="I2" s="2252"/>
      <c r="J2" s="2252"/>
      <c r="K2" s="2252"/>
      <c r="L2" s="2252"/>
      <c r="M2" s="2252"/>
      <c r="N2" s="2252"/>
      <c r="O2" s="2252"/>
      <c r="P2" s="2252"/>
      <c r="Q2" s="2252"/>
      <c r="R2" s="2252"/>
      <c r="S2" s="2252"/>
      <c r="T2" s="2252"/>
      <c r="U2" s="2252"/>
      <c r="V2" s="2252"/>
      <c r="W2" s="2252"/>
      <c r="X2" s="2252"/>
      <c r="Y2" s="2252"/>
      <c r="Z2" s="2252"/>
      <c r="AA2" s="2252"/>
      <c r="AB2" s="2252"/>
      <c r="AC2" s="2252"/>
      <c r="AD2" s="2252"/>
      <c r="AE2" s="2252"/>
      <c r="AF2" s="2252"/>
      <c r="AG2" s="2252"/>
      <c r="AH2" s="2252"/>
      <c r="AI2" s="2252"/>
      <c r="AJ2" s="2252"/>
      <c r="AK2" s="2252"/>
      <c r="AL2" s="2252"/>
      <c r="AM2" s="2252"/>
      <c r="AN2" s="2252"/>
      <c r="AO2" s="2252"/>
      <c r="AP2" s="2253"/>
      <c r="AQ2" s="1115">
        <v>6</v>
      </c>
    </row>
    <row r="3" spans="1:63" ht="21" customHeight="1" x14ac:dyDescent="0.2">
      <c r="A3" s="2326"/>
      <c r="B3" s="2252"/>
      <c r="C3" s="2252"/>
      <c r="D3" s="2252"/>
      <c r="E3" s="2252"/>
      <c r="F3" s="2252"/>
      <c r="G3" s="2252"/>
      <c r="H3" s="2252"/>
      <c r="I3" s="2252"/>
      <c r="J3" s="2252"/>
      <c r="K3" s="2252"/>
      <c r="L3" s="2252"/>
      <c r="M3" s="2252"/>
      <c r="N3" s="2252"/>
      <c r="O3" s="2252"/>
      <c r="P3" s="2252"/>
      <c r="Q3" s="2252"/>
      <c r="R3" s="2252"/>
      <c r="S3" s="2252"/>
      <c r="T3" s="2252"/>
      <c r="U3" s="2252"/>
      <c r="V3" s="2252"/>
      <c r="W3" s="2252"/>
      <c r="X3" s="2252"/>
      <c r="Y3" s="2252"/>
      <c r="Z3" s="2252"/>
      <c r="AA3" s="2252"/>
      <c r="AB3" s="2252"/>
      <c r="AC3" s="2252"/>
      <c r="AD3" s="2252"/>
      <c r="AE3" s="2252"/>
      <c r="AF3" s="2252"/>
      <c r="AG3" s="2252"/>
      <c r="AH3" s="2252"/>
      <c r="AI3" s="2252"/>
      <c r="AJ3" s="2252"/>
      <c r="AK3" s="2252"/>
      <c r="AL3" s="2252"/>
      <c r="AM3" s="2252"/>
      <c r="AN3" s="2252"/>
      <c r="AO3" s="2252"/>
      <c r="AP3" s="2253"/>
      <c r="AQ3" s="1116" t="s">
        <v>136</v>
      </c>
    </row>
    <row r="4" spans="1:63" s="224" customFormat="1" ht="21" customHeight="1" x14ac:dyDescent="0.2">
      <c r="A4" s="2327"/>
      <c r="B4" s="2254"/>
      <c r="C4" s="2254"/>
      <c r="D4" s="2254"/>
      <c r="E4" s="2254"/>
      <c r="F4" s="2254"/>
      <c r="G4" s="2254"/>
      <c r="H4" s="2254"/>
      <c r="I4" s="2254"/>
      <c r="J4" s="2254"/>
      <c r="K4" s="2254"/>
      <c r="L4" s="2254"/>
      <c r="M4" s="2254"/>
      <c r="N4" s="2254"/>
      <c r="O4" s="2254"/>
      <c r="P4" s="2254"/>
      <c r="Q4" s="2254"/>
      <c r="R4" s="2254"/>
      <c r="S4" s="2254"/>
      <c r="T4" s="2254"/>
      <c r="U4" s="2254"/>
      <c r="V4" s="2254"/>
      <c r="W4" s="2254"/>
      <c r="X4" s="2254"/>
      <c r="Y4" s="2254"/>
      <c r="Z4" s="2254"/>
      <c r="AA4" s="2254"/>
      <c r="AB4" s="2254"/>
      <c r="AC4" s="2254"/>
      <c r="AD4" s="2254"/>
      <c r="AE4" s="2254"/>
      <c r="AF4" s="2254"/>
      <c r="AG4" s="2254"/>
      <c r="AH4" s="2254"/>
      <c r="AI4" s="2254"/>
      <c r="AJ4" s="2254"/>
      <c r="AK4" s="2254"/>
      <c r="AL4" s="2254"/>
      <c r="AM4" s="2254"/>
      <c r="AN4" s="2254"/>
      <c r="AO4" s="2254"/>
      <c r="AP4" s="2255"/>
      <c r="AQ4" s="1117" t="s">
        <v>181</v>
      </c>
    </row>
    <row r="5" spans="1:63" ht="16.5" customHeight="1" x14ac:dyDescent="0.2">
      <c r="A5" s="2328" t="s">
        <v>2</v>
      </c>
      <c r="B5" s="2329"/>
      <c r="C5" s="2329"/>
      <c r="D5" s="2329"/>
      <c r="E5" s="2329"/>
      <c r="F5" s="2329"/>
      <c r="G5" s="2329"/>
      <c r="H5" s="2329"/>
      <c r="I5" s="2329"/>
      <c r="J5" s="2329"/>
      <c r="K5" s="2329"/>
      <c r="L5" s="2329"/>
      <c r="M5" s="2329"/>
      <c r="N5" s="2258" t="s">
        <v>3</v>
      </c>
      <c r="O5" s="2258"/>
      <c r="P5" s="2258"/>
      <c r="Q5" s="2258"/>
      <c r="R5" s="2258"/>
      <c r="S5" s="2258"/>
      <c r="T5" s="2258"/>
      <c r="U5" s="2258"/>
      <c r="V5" s="2258"/>
      <c r="W5" s="2258"/>
      <c r="X5" s="2258"/>
      <c r="Y5" s="2258"/>
      <c r="Z5" s="2258"/>
      <c r="AA5" s="2258"/>
      <c r="AB5" s="2258"/>
      <c r="AC5" s="2258"/>
      <c r="AD5" s="2258"/>
      <c r="AE5" s="2258"/>
      <c r="AF5" s="2258"/>
      <c r="AG5" s="2258"/>
      <c r="AH5" s="2258"/>
      <c r="AI5" s="2258"/>
      <c r="AJ5" s="2258"/>
      <c r="AK5" s="2258"/>
      <c r="AL5" s="2258"/>
      <c r="AM5" s="2258"/>
      <c r="AN5" s="2258"/>
      <c r="AO5" s="2258"/>
      <c r="AP5" s="2258"/>
      <c r="AQ5" s="2332"/>
      <c r="AR5" s="109"/>
      <c r="AS5" s="109"/>
      <c r="AT5" s="109"/>
      <c r="AU5" s="109"/>
      <c r="AV5" s="109"/>
      <c r="AW5" s="109"/>
      <c r="AX5" s="109"/>
      <c r="AY5" s="109"/>
      <c r="AZ5" s="109"/>
      <c r="BA5" s="109"/>
      <c r="BB5" s="109"/>
      <c r="BC5" s="109"/>
      <c r="BD5" s="109"/>
      <c r="BE5" s="109"/>
      <c r="BF5" s="109"/>
      <c r="BG5" s="109"/>
      <c r="BH5" s="109"/>
      <c r="BI5" s="109"/>
      <c r="BJ5" s="109"/>
      <c r="BK5" s="109"/>
    </row>
    <row r="6" spans="1:63" ht="16.5" customHeight="1" x14ac:dyDescent="0.2">
      <c r="A6" s="2330"/>
      <c r="B6" s="2331"/>
      <c r="C6" s="2331"/>
      <c r="D6" s="2331"/>
      <c r="E6" s="2331"/>
      <c r="F6" s="2331"/>
      <c r="G6" s="2331"/>
      <c r="H6" s="2331"/>
      <c r="I6" s="2331"/>
      <c r="J6" s="2331"/>
      <c r="K6" s="2331"/>
      <c r="L6" s="2331"/>
      <c r="M6" s="2331"/>
      <c r="N6" s="413"/>
      <c r="O6" s="1118"/>
      <c r="P6" s="901"/>
      <c r="Q6" s="120"/>
      <c r="R6" s="1119"/>
      <c r="S6" s="901"/>
      <c r="T6" s="901"/>
      <c r="U6" s="901"/>
      <c r="V6" s="120"/>
      <c r="W6" s="120"/>
      <c r="X6" s="120"/>
      <c r="Y6" s="2333" t="s">
        <v>4</v>
      </c>
      <c r="Z6" s="2331"/>
      <c r="AA6" s="2331"/>
      <c r="AB6" s="2331"/>
      <c r="AC6" s="2331"/>
      <c r="AD6" s="2331"/>
      <c r="AE6" s="2331"/>
      <c r="AF6" s="2331"/>
      <c r="AG6" s="2331"/>
      <c r="AH6" s="2331"/>
      <c r="AI6" s="2331"/>
      <c r="AJ6" s="2331"/>
      <c r="AK6" s="2331"/>
      <c r="AL6" s="2331"/>
      <c r="AM6" s="2331"/>
      <c r="AN6" s="1120"/>
      <c r="AO6" s="1121"/>
      <c r="AP6" s="1121"/>
      <c r="AQ6" s="1122"/>
      <c r="AR6" s="109"/>
      <c r="AS6" s="109"/>
      <c r="AT6" s="109"/>
      <c r="AU6" s="109"/>
      <c r="AV6" s="109"/>
      <c r="AW6" s="109"/>
      <c r="AX6" s="109"/>
      <c r="AY6" s="109"/>
      <c r="AZ6" s="109"/>
      <c r="BA6" s="109"/>
      <c r="BB6" s="109"/>
      <c r="BC6" s="109"/>
      <c r="BD6" s="109"/>
      <c r="BE6" s="109"/>
      <c r="BF6" s="109"/>
      <c r="BG6" s="109"/>
      <c r="BH6" s="109"/>
      <c r="BI6" s="109"/>
      <c r="BJ6" s="109"/>
      <c r="BK6" s="109"/>
    </row>
    <row r="7" spans="1:63" s="909" customFormat="1" ht="45.75" customHeight="1" x14ac:dyDescent="0.2">
      <c r="A7" s="2335" t="s">
        <v>5</v>
      </c>
      <c r="B7" s="2264" t="s">
        <v>6</v>
      </c>
      <c r="C7" s="2265"/>
      <c r="D7" s="2265" t="s">
        <v>5</v>
      </c>
      <c r="E7" s="2264" t="s">
        <v>7</v>
      </c>
      <c r="F7" s="2265"/>
      <c r="G7" s="2265" t="s">
        <v>5</v>
      </c>
      <c r="H7" s="2264" t="s">
        <v>8</v>
      </c>
      <c r="I7" s="2265"/>
      <c r="J7" s="2265" t="s">
        <v>5</v>
      </c>
      <c r="K7" s="2264" t="s">
        <v>9</v>
      </c>
      <c r="L7" s="2238" t="s">
        <v>10</v>
      </c>
      <c r="M7" s="2264" t="s">
        <v>259</v>
      </c>
      <c r="N7" s="2238" t="s">
        <v>12</v>
      </c>
      <c r="O7" s="2238" t="s">
        <v>13</v>
      </c>
      <c r="P7" s="2238" t="s">
        <v>3</v>
      </c>
      <c r="Q7" s="2341" t="s">
        <v>14</v>
      </c>
      <c r="R7" s="2890" t="s">
        <v>15</v>
      </c>
      <c r="S7" s="2264" t="s">
        <v>16</v>
      </c>
      <c r="T7" s="2264" t="s">
        <v>17</v>
      </c>
      <c r="U7" s="2238" t="s">
        <v>18</v>
      </c>
      <c r="V7" s="2250" t="s">
        <v>15</v>
      </c>
      <c r="W7" s="2262" t="s">
        <v>5</v>
      </c>
      <c r="X7" s="2238" t="s">
        <v>19</v>
      </c>
      <c r="Y7" s="2889" t="s">
        <v>20</v>
      </c>
      <c r="Z7" s="2889"/>
      <c r="AA7" s="2243" t="s">
        <v>21</v>
      </c>
      <c r="AB7" s="2243"/>
      <c r="AC7" s="2243"/>
      <c r="AD7" s="2243"/>
      <c r="AE7" s="2244" t="s">
        <v>22</v>
      </c>
      <c r="AF7" s="2245"/>
      <c r="AG7" s="2245"/>
      <c r="AH7" s="2245"/>
      <c r="AI7" s="2245"/>
      <c r="AJ7" s="2245"/>
      <c r="AK7" s="2242" t="s">
        <v>23</v>
      </c>
      <c r="AL7" s="2243"/>
      <c r="AM7" s="2243"/>
      <c r="AN7" s="2337" t="s">
        <v>24</v>
      </c>
      <c r="AO7" s="2894" t="s">
        <v>25</v>
      </c>
      <c r="AP7" s="2894" t="s">
        <v>26</v>
      </c>
      <c r="AQ7" s="2339" t="s">
        <v>27</v>
      </c>
      <c r="AR7" s="902"/>
      <c r="AS7" s="902"/>
      <c r="AT7" s="902"/>
      <c r="AU7" s="902"/>
      <c r="AV7" s="902"/>
      <c r="AW7" s="902"/>
      <c r="AX7" s="902"/>
      <c r="AY7" s="902"/>
      <c r="AZ7" s="902"/>
      <c r="BA7" s="902"/>
      <c r="BB7" s="902"/>
      <c r="BC7" s="902"/>
      <c r="BD7" s="902"/>
      <c r="BE7" s="902"/>
      <c r="BF7" s="902"/>
      <c r="BG7" s="902"/>
      <c r="BH7" s="902"/>
      <c r="BI7" s="902"/>
      <c r="BJ7" s="902"/>
      <c r="BK7" s="902"/>
    </row>
    <row r="8" spans="1:63" s="909" customFormat="1" ht="104.25" customHeight="1" x14ac:dyDescent="0.2">
      <c r="A8" s="2336"/>
      <c r="B8" s="2266"/>
      <c r="C8" s="2267"/>
      <c r="D8" s="2267"/>
      <c r="E8" s="2266"/>
      <c r="F8" s="2267"/>
      <c r="G8" s="2267"/>
      <c r="H8" s="2266"/>
      <c r="I8" s="2267"/>
      <c r="J8" s="2267"/>
      <c r="K8" s="2266"/>
      <c r="L8" s="2239"/>
      <c r="M8" s="2893"/>
      <c r="N8" s="2239"/>
      <c r="O8" s="2239"/>
      <c r="P8" s="2239"/>
      <c r="Q8" s="2342"/>
      <c r="R8" s="2891"/>
      <c r="S8" s="2266"/>
      <c r="T8" s="2266"/>
      <c r="U8" s="2239"/>
      <c r="V8" s="2251"/>
      <c r="W8" s="2263"/>
      <c r="X8" s="2239"/>
      <c r="Y8" s="124" t="s">
        <v>1260</v>
      </c>
      <c r="Z8" s="124" t="s">
        <v>1261</v>
      </c>
      <c r="AA8" s="124" t="s">
        <v>30</v>
      </c>
      <c r="AB8" s="124" t="s">
        <v>31</v>
      </c>
      <c r="AC8" s="1123" t="s">
        <v>235</v>
      </c>
      <c r="AD8" s="124" t="s">
        <v>32</v>
      </c>
      <c r="AE8" s="124" t="s">
        <v>33</v>
      </c>
      <c r="AF8" s="124" t="s">
        <v>34</v>
      </c>
      <c r="AG8" s="124" t="s">
        <v>35</v>
      </c>
      <c r="AH8" s="124" t="s">
        <v>36</v>
      </c>
      <c r="AI8" s="124" t="s">
        <v>37</v>
      </c>
      <c r="AJ8" s="124" t="s">
        <v>38</v>
      </c>
      <c r="AK8" s="124" t="s">
        <v>39</v>
      </c>
      <c r="AL8" s="124" t="s">
        <v>40</v>
      </c>
      <c r="AM8" s="124" t="s">
        <v>41</v>
      </c>
      <c r="AN8" s="2338"/>
      <c r="AO8" s="2894"/>
      <c r="AP8" s="2894"/>
      <c r="AQ8" s="2340"/>
      <c r="AR8" s="902"/>
      <c r="AS8" s="902"/>
      <c r="AT8" s="902"/>
      <c r="AU8" s="902"/>
      <c r="AV8" s="902"/>
      <c r="AW8" s="902"/>
      <c r="AX8" s="902"/>
      <c r="AY8" s="902"/>
      <c r="AZ8" s="902"/>
      <c r="BA8" s="902"/>
      <c r="BB8" s="902"/>
      <c r="BC8" s="902"/>
      <c r="BD8" s="902"/>
      <c r="BE8" s="902"/>
      <c r="BF8" s="902"/>
      <c r="BG8" s="902"/>
      <c r="BH8" s="902"/>
      <c r="BI8" s="902"/>
      <c r="BJ8" s="902"/>
      <c r="BK8" s="902"/>
    </row>
    <row r="9" spans="1:63" ht="16.5" customHeight="1" x14ac:dyDescent="0.2">
      <c r="A9" s="1124">
        <v>2</v>
      </c>
      <c r="B9" s="127"/>
      <c r="C9" s="127" t="s">
        <v>602</v>
      </c>
      <c r="D9" s="900"/>
      <c r="E9" s="127"/>
      <c r="F9" s="127"/>
      <c r="G9" s="127"/>
      <c r="H9" s="127"/>
      <c r="I9" s="127"/>
      <c r="J9" s="127"/>
      <c r="K9" s="129"/>
      <c r="L9" s="129"/>
      <c r="M9" s="127"/>
      <c r="N9" s="127"/>
      <c r="O9" s="1125"/>
      <c r="P9" s="129"/>
      <c r="Q9" s="131"/>
      <c r="R9" s="1126"/>
      <c r="S9" s="129"/>
      <c r="T9" s="129"/>
      <c r="U9" s="129"/>
      <c r="V9" s="1127"/>
      <c r="W9" s="134"/>
      <c r="X9" s="130"/>
      <c r="Y9" s="1128"/>
      <c r="Z9" s="1128"/>
      <c r="AA9" s="127"/>
      <c r="AB9" s="127"/>
      <c r="AC9" s="127"/>
      <c r="AD9" s="127"/>
      <c r="AE9" s="127"/>
      <c r="AF9" s="127"/>
      <c r="AG9" s="127"/>
      <c r="AH9" s="127"/>
      <c r="AI9" s="127"/>
      <c r="AJ9" s="127"/>
      <c r="AK9" s="127"/>
      <c r="AL9" s="127"/>
      <c r="AM9" s="127"/>
      <c r="AN9" s="1129"/>
      <c r="AO9" s="1130"/>
      <c r="AP9" s="1130"/>
      <c r="AQ9" s="1131"/>
      <c r="AR9" s="109"/>
      <c r="AS9" s="109"/>
      <c r="AT9" s="109"/>
      <c r="AU9" s="109"/>
      <c r="AV9" s="109"/>
      <c r="AW9" s="109"/>
      <c r="AX9" s="109"/>
      <c r="AY9" s="109"/>
      <c r="AZ9" s="109"/>
      <c r="BA9" s="109"/>
      <c r="BB9" s="109"/>
      <c r="BC9" s="109"/>
      <c r="BD9" s="109"/>
      <c r="BE9" s="109"/>
      <c r="BF9" s="109"/>
      <c r="BG9" s="109"/>
      <c r="BH9" s="109"/>
      <c r="BI9" s="109"/>
      <c r="BJ9" s="109"/>
      <c r="BK9" s="109"/>
    </row>
    <row r="10" spans="1:63" s="109" customFormat="1" ht="20.25" customHeight="1" x14ac:dyDescent="0.2">
      <c r="A10" s="2880"/>
      <c r="B10" s="2881"/>
      <c r="C10" s="2882"/>
      <c r="D10" s="1132">
        <v>2</v>
      </c>
      <c r="E10" s="250" t="s">
        <v>603</v>
      </c>
      <c r="F10" s="250"/>
      <c r="G10" s="250"/>
      <c r="H10" s="250"/>
      <c r="I10" s="250"/>
      <c r="J10" s="140"/>
      <c r="K10" s="141"/>
      <c r="L10" s="141"/>
      <c r="M10" s="140"/>
      <c r="N10" s="140"/>
      <c r="O10" s="1133"/>
      <c r="P10" s="141"/>
      <c r="Q10" s="144"/>
      <c r="R10" s="1134"/>
      <c r="S10" s="141"/>
      <c r="T10" s="141"/>
      <c r="U10" s="141"/>
      <c r="V10" s="1135"/>
      <c r="W10" s="147"/>
      <c r="X10" s="142"/>
      <c r="Y10" s="1136"/>
      <c r="Z10" s="1136"/>
      <c r="AA10" s="140"/>
      <c r="AB10" s="140"/>
      <c r="AC10" s="140"/>
      <c r="AD10" s="140"/>
      <c r="AE10" s="140"/>
      <c r="AF10" s="140"/>
      <c r="AG10" s="140"/>
      <c r="AH10" s="140"/>
      <c r="AI10" s="140"/>
      <c r="AJ10" s="140"/>
      <c r="AK10" s="140"/>
      <c r="AL10" s="140"/>
      <c r="AM10" s="140"/>
      <c r="AN10" s="1137"/>
      <c r="AO10" s="1138"/>
      <c r="AP10" s="1138"/>
      <c r="AQ10" s="1139"/>
    </row>
    <row r="11" spans="1:63" s="109" customFormat="1" ht="21.75" customHeight="1" x14ac:dyDescent="0.2">
      <c r="A11" s="2883"/>
      <c r="B11" s="2884"/>
      <c r="C11" s="2885"/>
      <c r="D11" s="2562"/>
      <c r="E11" s="2562"/>
      <c r="F11" s="2563"/>
      <c r="G11" s="1140">
        <v>8</v>
      </c>
      <c r="H11" s="258" t="s">
        <v>1262</v>
      </c>
      <c r="I11" s="258"/>
      <c r="J11" s="152"/>
      <c r="K11" s="598"/>
      <c r="L11" s="598"/>
      <c r="M11" s="152"/>
      <c r="N11" s="160"/>
      <c r="O11" s="734"/>
      <c r="P11" s="598"/>
      <c r="Q11" s="600"/>
      <c r="R11" s="1141"/>
      <c r="S11" s="598"/>
      <c r="T11" s="598"/>
      <c r="U11" s="598"/>
      <c r="V11" s="1142"/>
      <c r="W11" s="672"/>
      <c r="X11" s="599"/>
      <c r="Y11" s="1143"/>
      <c r="Z11" s="1143"/>
      <c r="AA11" s="152"/>
      <c r="AB11" s="152"/>
      <c r="AC11" s="152"/>
      <c r="AD11" s="152"/>
      <c r="AE11" s="152"/>
      <c r="AF11" s="152"/>
      <c r="AG11" s="152"/>
      <c r="AH11" s="152"/>
      <c r="AI11" s="152"/>
      <c r="AJ11" s="152"/>
      <c r="AK11" s="152"/>
      <c r="AL11" s="152"/>
      <c r="AM11" s="152"/>
      <c r="AN11" s="1144"/>
      <c r="AO11" s="1145"/>
      <c r="AP11" s="1145"/>
      <c r="AQ11" s="1146"/>
    </row>
    <row r="12" spans="1:63" s="109" customFormat="1" ht="17.25" customHeight="1" x14ac:dyDescent="0.2">
      <c r="A12" s="2883"/>
      <c r="B12" s="2884"/>
      <c r="C12" s="2885"/>
      <c r="D12" s="2565"/>
      <c r="E12" s="2565"/>
      <c r="F12" s="2566"/>
      <c r="G12" s="2886"/>
      <c r="H12" s="2886"/>
      <c r="I12" s="2857"/>
      <c r="J12" s="2857">
        <v>38</v>
      </c>
      <c r="K12" s="2783" t="s">
        <v>1263</v>
      </c>
      <c r="L12" s="2783" t="s">
        <v>1264</v>
      </c>
      <c r="M12" s="2874">
        <v>4</v>
      </c>
      <c r="N12" s="2772" t="s">
        <v>1265</v>
      </c>
      <c r="O12" s="2857" t="s">
        <v>1266</v>
      </c>
      <c r="P12" s="2783" t="s">
        <v>1267</v>
      </c>
      <c r="Q12" s="2803">
        <f>(V12+V14)/R12</f>
        <v>0.18181818181818182</v>
      </c>
      <c r="R12" s="2215">
        <f>SUM(V12:V21)</f>
        <v>110000000</v>
      </c>
      <c r="S12" s="2783" t="s">
        <v>1268</v>
      </c>
      <c r="T12" s="2848" t="s">
        <v>1269</v>
      </c>
      <c r="U12" s="2872" t="s">
        <v>1270</v>
      </c>
      <c r="V12" s="2861">
        <v>3700000</v>
      </c>
      <c r="W12" s="2831" t="s">
        <v>1271</v>
      </c>
      <c r="X12" s="2772" t="s">
        <v>1272</v>
      </c>
      <c r="Y12" s="2877">
        <v>193964</v>
      </c>
      <c r="Z12" s="2877">
        <v>129308</v>
      </c>
      <c r="AA12" s="2841"/>
      <c r="AB12" s="2841"/>
      <c r="AC12" s="2785">
        <v>323272</v>
      </c>
      <c r="AD12" s="2841"/>
      <c r="AE12" s="2841"/>
      <c r="AF12" s="1147"/>
      <c r="AG12" s="1147"/>
      <c r="AH12" s="1147"/>
      <c r="AI12" s="1147"/>
      <c r="AJ12" s="1147"/>
      <c r="AK12" s="1147"/>
      <c r="AL12" s="1147"/>
      <c r="AM12" s="1147"/>
      <c r="AN12" s="2844">
        <f>Y12+Z12</f>
        <v>323272</v>
      </c>
      <c r="AO12" s="2850">
        <v>43110</v>
      </c>
      <c r="AP12" s="2850">
        <v>43306</v>
      </c>
      <c r="AQ12" s="2837" t="s">
        <v>1273</v>
      </c>
    </row>
    <row r="13" spans="1:63" s="109" customFormat="1" ht="38.25" customHeight="1" x14ac:dyDescent="0.2">
      <c r="A13" s="2883"/>
      <c r="B13" s="2884"/>
      <c r="C13" s="2885"/>
      <c r="D13" s="2565"/>
      <c r="E13" s="2565"/>
      <c r="F13" s="2566"/>
      <c r="G13" s="2887"/>
      <c r="H13" s="2887"/>
      <c r="I13" s="2858"/>
      <c r="J13" s="2858"/>
      <c r="K13" s="2793"/>
      <c r="L13" s="2793"/>
      <c r="M13" s="2874"/>
      <c r="N13" s="2773"/>
      <c r="O13" s="2858"/>
      <c r="P13" s="2793"/>
      <c r="Q13" s="2804"/>
      <c r="R13" s="2216"/>
      <c r="S13" s="2793"/>
      <c r="T13" s="2849"/>
      <c r="U13" s="2872"/>
      <c r="V13" s="2861"/>
      <c r="W13" s="2832"/>
      <c r="X13" s="2773"/>
      <c r="Y13" s="2878"/>
      <c r="Z13" s="2878"/>
      <c r="AA13" s="2842"/>
      <c r="AB13" s="2842"/>
      <c r="AC13" s="2822"/>
      <c r="AD13" s="2842"/>
      <c r="AE13" s="2842"/>
      <c r="AF13" s="1148"/>
      <c r="AG13" s="1148"/>
      <c r="AH13" s="1148"/>
      <c r="AI13" s="1148"/>
      <c r="AJ13" s="1148"/>
      <c r="AK13" s="1148"/>
      <c r="AL13" s="1148"/>
      <c r="AM13" s="1148"/>
      <c r="AN13" s="2845"/>
      <c r="AO13" s="2851"/>
      <c r="AP13" s="2851"/>
      <c r="AQ13" s="2838"/>
    </row>
    <row r="14" spans="1:63" s="109" customFormat="1" ht="11.25" customHeight="1" x14ac:dyDescent="0.2">
      <c r="A14" s="2883"/>
      <c r="B14" s="2884"/>
      <c r="C14" s="2885"/>
      <c r="D14" s="2565"/>
      <c r="E14" s="2565"/>
      <c r="F14" s="2566"/>
      <c r="G14" s="2887"/>
      <c r="H14" s="2887"/>
      <c r="I14" s="2858"/>
      <c r="J14" s="2858"/>
      <c r="K14" s="2793"/>
      <c r="L14" s="2793"/>
      <c r="M14" s="2874"/>
      <c r="N14" s="2773"/>
      <c r="O14" s="2858"/>
      <c r="P14" s="2793"/>
      <c r="Q14" s="2804"/>
      <c r="R14" s="2216"/>
      <c r="S14" s="2793"/>
      <c r="T14" s="2849"/>
      <c r="U14" s="2872" t="s">
        <v>1274</v>
      </c>
      <c r="V14" s="2861">
        <v>16300000</v>
      </c>
      <c r="W14" s="2832"/>
      <c r="X14" s="2773"/>
      <c r="Y14" s="2878"/>
      <c r="Z14" s="2878"/>
      <c r="AA14" s="2842"/>
      <c r="AB14" s="2842"/>
      <c r="AC14" s="2822"/>
      <c r="AD14" s="2842"/>
      <c r="AE14" s="2842"/>
      <c r="AF14" s="1148"/>
      <c r="AG14" s="1148"/>
      <c r="AH14" s="1148"/>
      <c r="AI14" s="1148"/>
      <c r="AJ14" s="1148"/>
      <c r="AK14" s="1148"/>
      <c r="AL14" s="1148"/>
      <c r="AM14" s="1148"/>
      <c r="AN14" s="2845"/>
      <c r="AO14" s="2851"/>
      <c r="AP14" s="2851"/>
      <c r="AQ14" s="2838"/>
    </row>
    <row r="15" spans="1:63" s="109" customFormat="1" ht="27.75" customHeight="1" x14ac:dyDescent="0.2">
      <c r="A15" s="2883"/>
      <c r="B15" s="2884"/>
      <c r="C15" s="2885"/>
      <c r="D15" s="2565"/>
      <c r="E15" s="2565"/>
      <c r="F15" s="2566"/>
      <c r="G15" s="2887"/>
      <c r="H15" s="2887"/>
      <c r="I15" s="2858"/>
      <c r="J15" s="2858"/>
      <c r="K15" s="2793"/>
      <c r="L15" s="2793"/>
      <c r="M15" s="2874"/>
      <c r="N15" s="2773"/>
      <c r="O15" s="2858"/>
      <c r="P15" s="2793"/>
      <c r="Q15" s="2804"/>
      <c r="R15" s="2216"/>
      <c r="S15" s="2793"/>
      <c r="T15" s="2849"/>
      <c r="U15" s="2872"/>
      <c r="V15" s="2861"/>
      <c r="W15" s="2832"/>
      <c r="X15" s="2773"/>
      <c r="Y15" s="2878"/>
      <c r="Z15" s="2878"/>
      <c r="AA15" s="2842"/>
      <c r="AB15" s="2842"/>
      <c r="AC15" s="2822"/>
      <c r="AD15" s="2842"/>
      <c r="AE15" s="2842"/>
      <c r="AF15" s="1148"/>
      <c r="AG15" s="1148"/>
      <c r="AH15" s="1148"/>
      <c r="AI15" s="1148"/>
      <c r="AJ15" s="1148"/>
      <c r="AK15" s="1148"/>
      <c r="AL15" s="1148"/>
      <c r="AM15" s="1148"/>
      <c r="AN15" s="2845"/>
      <c r="AO15" s="2851"/>
      <c r="AP15" s="2851"/>
      <c r="AQ15" s="2838"/>
    </row>
    <row r="16" spans="1:63" ht="11.25" customHeight="1" x14ac:dyDescent="0.2">
      <c r="A16" s="2883"/>
      <c r="B16" s="2884"/>
      <c r="C16" s="2885"/>
      <c r="D16" s="2565"/>
      <c r="E16" s="2565"/>
      <c r="F16" s="2566"/>
      <c r="G16" s="2887"/>
      <c r="H16" s="2887"/>
      <c r="I16" s="2858"/>
      <c r="J16" s="2857">
        <v>39</v>
      </c>
      <c r="K16" s="2783" t="s">
        <v>1275</v>
      </c>
      <c r="L16" s="2783" t="s">
        <v>1276</v>
      </c>
      <c r="M16" s="2855">
        <v>3</v>
      </c>
      <c r="N16" s="2773" t="s">
        <v>1277</v>
      </c>
      <c r="O16" s="2858"/>
      <c r="P16" s="2793"/>
      <c r="Q16" s="2803">
        <f>(V16+V18+V20)/R12</f>
        <v>0.81818181818181823</v>
      </c>
      <c r="R16" s="2216"/>
      <c r="S16" s="2793"/>
      <c r="T16" s="2849"/>
      <c r="U16" s="2872" t="s">
        <v>1278</v>
      </c>
      <c r="V16" s="2892">
        <f>14000000+50000000</f>
        <v>64000000</v>
      </c>
      <c r="W16" s="2832"/>
      <c r="X16" s="2773"/>
      <c r="Y16" s="2878"/>
      <c r="Z16" s="2878"/>
      <c r="AA16" s="2842"/>
      <c r="AB16" s="2842"/>
      <c r="AC16" s="2822"/>
      <c r="AD16" s="2842"/>
      <c r="AE16" s="2842"/>
      <c r="AF16" s="1148"/>
      <c r="AG16" s="1148"/>
      <c r="AH16" s="1148"/>
      <c r="AI16" s="1148"/>
      <c r="AJ16" s="1148"/>
      <c r="AK16" s="1148"/>
      <c r="AL16" s="1148"/>
      <c r="AM16" s="1148"/>
      <c r="AN16" s="2845"/>
      <c r="AO16" s="2851"/>
      <c r="AP16" s="2851"/>
      <c r="AQ16" s="2838"/>
    </row>
    <row r="17" spans="1:43" ht="61.5" customHeight="1" x14ac:dyDescent="0.2">
      <c r="A17" s="2883"/>
      <c r="B17" s="2884"/>
      <c r="C17" s="2885"/>
      <c r="D17" s="2565"/>
      <c r="E17" s="2565"/>
      <c r="F17" s="2566"/>
      <c r="G17" s="2887"/>
      <c r="H17" s="2887"/>
      <c r="I17" s="2858"/>
      <c r="J17" s="2858"/>
      <c r="K17" s="2793"/>
      <c r="L17" s="2793"/>
      <c r="M17" s="2855"/>
      <c r="N17" s="2773"/>
      <c r="O17" s="2858"/>
      <c r="P17" s="2793"/>
      <c r="Q17" s="2804"/>
      <c r="R17" s="2216"/>
      <c r="S17" s="2793"/>
      <c r="T17" s="2849"/>
      <c r="U17" s="2872"/>
      <c r="V17" s="2892"/>
      <c r="W17" s="2832"/>
      <c r="X17" s="2773"/>
      <c r="Y17" s="2878"/>
      <c r="Z17" s="2878"/>
      <c r="AA17" s="2842"/>
      <c r="AB17" s="2842"/>
      <c r="AC17" s="2822"/>
      <c r="AD17" s="2842"/>
      <c r="AE17" s="2842"/>
      <c r="AF17" s="1148"/>
      <c r="AG17" s="1148"/>
      <c r="AH17" s="1148"/>
      <c r="AI17" s="1148"/>
      <c r="AJ17" s="1148"/>
      <c r="AK17" s="1148"/>
      <c r="AL17" s="1148"/>
      <c r="AM17" s="1148"/>
      <c r="AN17" s="2845"/>
      <c r="AO17" s="2851"/>
      <c r="AP17" s="2851"/>
      <c r="AQ17" s="2838"/>
    </row>
    <row r="18" spans="1:43" ht="52.5" customHeight="1" x14ac:dyDescent="0.2">
      <c r="A18" s="2883"/>
      <c r="B18" s="2884"/>
      <c r="C18" s="2885"/>
      <c r="D18" s="2565"/>
      <c r="E18" s="2565"/>
      <c r="F18" s="2566"/>
      <c r="G18" s="2887"/>
      <c r="H18" s="2887"/>
      <c r="I18" s="2858"/>
      <c r="J18" s="2858"/>
      <c r="K18" s="2793"/>
      <c r="L18" s="2793"/>
      <c r="M18" s="2855"/>
      <c r="N18" s="2773"/>
      <c r="O18" s="2858"/>
      <c r="P18" s="2793"/>
      <c r="Q18" s="2804"/>
      <c r="R18" s="2216"/>
      <c r="S18" s="2793"/>
      <c r="T18" s="2849"/>
      <c r="U18" s="2787" t="s">
        <v>1279</v>
      </c>
      <c r="V18" s="2861">
        <v>14000000</v>
      </c>
      <c r="W18" s="2832"/>
      <c r="X18" s="2773"/>
      <c r="Y18" s="2878"/>
      <c r="Z18" s="2878"/>
      <c r="AA18" s="2842"/>
      <c r="AB18" s="2842"/>
      <c r="AC18" s="2822"/>
      <c r="AD18" s="2842"/>
      <c r="AE18" s="2842"/>
      <c r="AF18" s="1148"/>
      <c r="AG18" s="1148"/>
      <c r="AH18" s="1148"/>
      <c r="AI18" s="1148"/>
      <c r="AJ18" s="1148"/>
      <c r="AK18" s="1148"/>
      <c r="AL18" s="1148"/>
      <c r="AM18" s="1148"/>
      <c r="AN18" s="2845"/>
      <c r="AO18" s="2851"/>
      <c r="AP18" s="2851"/>
      <c r="AQ18" s="2838"/>
    </row>
    <row r="19" spans="1:43" ht="32.25" customHeight="1" x14ac:dyDescent="0.2">
      <c r="A19" s="2883"/>
      <c r="B19" s="2884"/>
      <c r="C19" s="2885"/>
      <c r="D19" s="2565"/>
      <c r="E19" s="2565"/>
      <c r="F19" s="2566"/>
      <c r="G19" s="2887"/>
      <c r="H19" s="2887"/>
      <c r="I19" s="2858"/>
      <c r="J19" s="2858"/>
      <c r="K19" s="2793"/>
      <c r="L19" s="2793"/>
      <c r="M19" s="2855"/>
      <c r="N19" s="2773"/>
      <c r="O19" s="2858"/>
      <c r="P19" s="2793"/>
      <c r="Q19" s="2804"/>
      <c r="R19" s="2216"/>
      <c r="S19" s="2793"/>
      <c r="T19" s="2849"/>
      <c r="U19" s="2788"/>
      <c r="V19" s="2861"/>
      <c r="W19" s="2832"/>
      <c r="X19" s="2773"/>
      <c r="Y19" s="2878"/>
      <c r="Z19" s="2878"/>
      <c r="AA19" s="2842"/>
      <c r="AB19" s="2842"/>
      <c r="AC19" s="2822"/>
      <c r="AD19" s="2842"/>
      <c r="AE19" s="2842"/>
      <c r="AF19" s="1148"/>
      <c r="AG19" s="1148"/>
      <c r="AH19" s="1148"/>
      <c r="AI19" s="1148"/>
      <c r="AJ19" s="1148"/>
      <c r="AK19" s="1148"/>
      <c r="AL19" s="1148"/>
      <c r="AM19" s="1148"/>
      <c r="AN19" s="2845"/>
      <c r="AO19" s="2851"/>
      <c r="AP19" s="2851"/>
      <c r="AQ19" s="2838"/>
    </row>
    <row r="20" spans="1:43" ht="25.5" customHeight="1" x14ac:dyDescent="0.2">
      <c r="A20" s="2883"/>
      <c r="B20" s="2884"/>
      <c r="C20" s="2885"/>
      <c r="D20" s="2565"/>
      <c r="E20" s="2565"/>
      <c r="F20" s="2566"/>
      <c r="G20" s="2887"/>
      <c r="H20" s="2887"/>
      <c r="I20" s="2858"/>
      <c r="J20" s="2858"/>
      <c r="K20" s="2793"/>
      <c r="L20" s="2793"/>
      <c r="M20" s="2855"/>
      <c r="N20" s="2773"/>
      <c r="O20" s="2858"/>
      <c r="P20" s="2793"/>
      <c r="Q20" s="2804"/>
      <c r="R20" s="2216"/>
      <c r="S20" s="2793"/>
      <c r="T20" s="2849"/>
      <c r="U20" s="2787" t="s">
        <v>1280</v>
      </c>
      <c r="V20" s="2861">
        <v>12000000</v>
      </c>
      <c r="W20" s="2832"/>
      <c r="X20" s="2773"/>
      <c r="Y20" s="2878"/>
      <c r="Z20" s="2878"/>
      <c r="AA20" s="2842"/>
      <c r="AB20" s="2842"/>
      <c r="AC20" s="2822"/>
      <c r="AD20" s="2842"/>
      <c r="AE20" s="2842"/>
      <c r="AF20" s="1148"/>
      <c r="AG20" s="1148"/>
      <c r="AH20" s="1148"/>
      <c r="AI20" s="1148"/>
      <c r="AJ20" s="1148"/>
      <c r="AK20" s="1148"/>
      <c r="AL20" s="1148"/>
      <c r="AM20" s="1148"/>
      <c r="AN20" s="2845"/>
      <c r="AO20" s="2851"/>
      <c r="AP20" s="2851"/>
      <c r="AQ20" s="2838"/>
    </row>
    <row r="21" spans="1:43" ht="36" customHeight="1" x14ac:dyDescent="0.2">
      <c r="A21" s="2883"/>
      <c r="B21" s="2884"/>
      <c r="C21" s="2885"/>
      <c r="D21" s="2565"/>
      <c r="E21" s="2565"/>
      <c r="F21" s="2566"/>
      <c r="G21" s="2887"/>
      <c r="H21" s="2887"/>
      <c r="I21" s="2858"/>
      <c r="J21" s="2858"/>
      <c r="K21" s="2793"/>
      <c r="L21" s="2793"/>
      <c r="M21" s="2855"/>
      <c r="N21" s="2774"/>
      <c r="O21" s="2858"/>
      <c r="P21" s="2793"/>
      <c r="Q21" s="2804"/>
      <c r="R21" s="2216"/>
      <c r="S21" s="2793"/>
      <c r="T21" s="2853"/>
      <c r="U21" s="2788"/>
      <c r="V21" s="2861"/>
      <c r="W21" s="2833"/>
      <c r="X21" s="2774"/>
      <c r="Y21" s="2879"/>
      <c r="Z21" s="2879"/>
      <c r="AA21" s="2863"/>
      <c r="AB21" s="2863"/>
      <c r="AC21" s="2786"/>
      <c r="AD21" s="2863"/>
      <c r="AE21" s="2863"/>
      <c r="AF21" s="1149"/>
      <c r="AG21" s="1149"/>
      <c r="AH21" s="1149"/>
      <c r="AI21" s="1149"/>
      <c r="AJ21" s="1149"/>
      <c r="AK21" s="1149"/>
      <c r="AL21" s="1149"/>
      <c r="AM21" s="1149"/>
      <c r="AN21" s="2862"/>
      <c r="AO21" s="2852"/>
      <c r="AP21" s="2852"/>
      <c r="AQ21" s="2860"/>
    </row>
    <row r="22" spans="1:43" ht="53.25" customHeight="1" x14ac:dyDescent="0.2">
      <c r="A22" s="2883"/>
      <c r="B22" s="2884"/>
      <c r="C22" s="2885"/>
      <c r="D22" s="2565"/>
      <c r="E22" s="2565"/>
      <c r="F22" s="2566"/>
      <c r="G22" s="2887"/>
      <c r="H22" s="2887"/>
      <c r="I22" s="2858"/>
      <c r="J22" s="2857">
        <v>40</v>
      </c>
      <c r="K22" s="2783" t="s">
        <v>1281</v>
      </c>
      <c r="L22" s="2783" t="s">
        <v>1282</v>
      </c>
      <c r="M22" s="2772">
        <v>0.4</v>
      </c>
      <c r="N22" s="907"/>
      <c r="O22" s="2772" t="s">
        <v>1283</v>
      </c>
      <c r="P22" s="2783" t="s">
        <v>1284</v>
      </c>
      <c r="Q22" s="2803">
        <f>(V22)/R22</f>
        <v>0.2896174863387978</v>
      </c>
      <c r="R22" s="2215">
        <f>SUM(V22:V30)</f>
        <v>183000000</v>
      </c>
      <c r="S22" s="2783" t="s">
        <v>1285</v>
      </c>
      <c r="T22" s="2848" t="s">
        <v>1286</v>
      </c>
      <c r="U22" s="2872" t="s">
        <v>1287</v>
      </c>
      <c r="V22" s="2861">
        <f>20000000+33000000</f>
        <v>53000000</v>
      </c>
      <c r="W22" s="2876" t="s">
        <v>67</v>
      </c>
      <c r="X22" s="2874" t="s">
        <v>1272</v>
      </c>
      <c r="Y22" s="2844">
        <v>193964</v>
      </c>
      <c r="Z22" s="2844">
        <v>129308</v>
      </c>
      <c r="AA22" s="2841"/>
      <c r="AB22" s="2841"/>
      <c r="AC22" s="2785">
        <v>323272</v>
      </c>
      <c r="AD22" s="2841"/>
      <c r="AE22" s="2841"/>
      <c r="AF22" s="1147"/>
      <c r="AG22" s="1147"/>
      <c r="AH22" s="1147"/>
      <c r="AI22" s="1147"/>
      <c r="AJ22" s="1147"/>
      <c r="AK22" s="1147"/>
      <c r="AL22" s="1147"/>
      <c r="AM22" s="1147"/>
      <c r="AN22" s="2844">
        <f>+Y22+Z22</f>
        <v>323272</v>
      </c>
      <c r="AO22" s="2850">
        <v>43110</v>
      </c>
      <c r="AP22" s="2850">
        <v>43306</v>
      </c>
      <c r="AQ22" s="2837" t="s">
        <v>1273</v>
      </c>
    </row>
    <row r="23" spans="1:43" ht="53.25" customHeight="1" x14ac:dyDescent="0.2">
      <c r="A23" s="2883"/>
      <c r="B23" s="2884"/>
      <c r="C23" s="2885"/>
      <c r="D23" s="2565"/>
      <c r="E23" s="2565"/>
      <c r="F23" s="2566"/>
      <c r="G23" s="2887"/>
      <c r="H23" s="2887"/>
      <c r="I23" s="2858"/>
      <c r="J23" s="2858"/>
      <c r="K23" s="2793"/>
      <c r="L23" s="2793"/>
      <c r="M23" s="2773"/>
      <c r="N23" s="907"/>
      <c r="O23" s="2773"/>
      <c r="P23" s="2793"/>
      <c r="Q23" s="2804"/>
      <c r="R23" s="2216"/>
      <c r="S23" s="2793"/>
      <c r="T23" s="2849"/>
      <c r="U23" s="2872"/>
      <c r="V23" s="2861"/>
      <c r="W23" s="2876"/>
      <c r="X23" s="2874"/>
      <c r="Y23" s="2845"/>
      <c r="Z23" s="2845"/>
      <c r="AA23" s="2842"/>
      <c r="AB23" s="2842"/>
      <c r="AC23" s="2822"/>
      <c r="AD23" s="2842"/>
      <c r="AE23" s="2842"/>
      <c r="AF23" s="1148"/>
      <c r="AG23" s="1148"/>
      <c r="AH23" s="1148"/>
      <c r="AI23" s="1148"/>
      <c r="AJ23" s="1148"/>
      <c r="AK23" s="1148"/>
      <c r="AL23" s="1148"/>
      <c r="AM23" s="1148"/>
      <c r="AN23" s="2845"/>
      <c r="AO23" s="2851"/>
      <c r="AP23" s="2851"/>
      <c r="AQ23" s="2838"/>
    </row>
    <row r="24" spans="1:43" ht="53.25" customHeight="1" x14ac:dyDescent="0.2">
      <c r="A24" s="2883"/>
      <c r="B24" s="2884"/>
      <c r="C24" s="2885"/>
      <c r="D24" s="2565"/>
      <c r="E24" s="2565"/>
      <c r="F24" s="2566"/>
      <c r="G24" s="2887"/>
      <c r="H24" s="2887"/>
      <c r="I24" s="2858"/>
      <c r="J24" s="2858"/>
      <c r="K24" s="2793"/>
      <c r="L24" s="2793"/>
      <c r="M24" s="2773"/>
      <c r="N24" s="907" t="s">
        <v>1288</v>
      </c>
      <c r="O24" s="2773"/>
      <c r="P24" s="2793"/>
      <c r="Q24" s="2804"/>
      <c r="R24" s="2216"/>
      <c r="S24" s="2793"/>
      <c r="T24" s="2849"/>
      <c r="U24" s="2872"/>
      <c r="V24" s="2861"/>
      <c r="W24" s="2876"/>
      <c r="X24" s="2874"/>
      <c r="Y24" s="2845"/>
      <c r="Z24" s="2845"/>
      <c r="AA24" s="2842"/>
      <c r="AB24" s="2842"/>
      <c r="AC24" s="2822"/>
      <c r="AD24" s="2842"/>
      <c r="AE24" s="2842"/>
      <c r="AF24" s="1148"/>
      <c r="AG24" s="1148"/>
      <c r="AH24" s="1148"/>
      <c r="AI24" s="1148"/>
      <c r="AJ24" s="1148"/>
      <c r="AK24" s="1148"/>
      <c r="AL24" s="1148"/>
      <c r="AM24" s="1148"/>
      <c r="AN24" s="2845"/>
      <c r="AO24" s="2851"/>
      <c r="AP24" s="2851"/>
      <c r="AQ24" s="2838"/>
    </row>
    <row r="25" spans="1:43" ht="38.25" customHeight="1" x14ac:dyDescent="0.2">
      <c r="A25" s="2883"/>
      <c r="B25" s="2884"/>
      <c r="C25" s="2885"/>
      <c r="D25" s="2565"/>
      <c r="E25" s="2565"/>
      <c r="F25" s="2566"/>
      <c r="G25" s="2887"/>
      <c r="H25" s="2887"/>
      <c r="I25" s="2858"/>
      <c r="J25" s="2857">
        <v>41</v>
      </c>
      <c r="K25" s="2783" t="s">
        <v>1289</v>
      </c>
      <c r="L25" s="2783" t="s">
        <v>1290</v>
      </c>
      <c r="M25" s="2772">
        <v>1</v>
      </c>
      <c r="N25" s="907"/>
      <c r="O25" s="2773"/>
      <c r="P25" s="2793"/>
      <c r="Q25" s="2803">
        <f>(V25)/R22</f>
        <v>0.13661202185792351</v>
      </c>
      <c r="R25" s="2216"/>
      <c r="S25" s="2793"/>
      <c r="T25" s="2848" t="s">
        <v>1291</v>
      </c>
      <c r="U25" s="2787" t="s">
        <v>1292</v>
      </c>
      <c r="V25" s="2861">
        <v>25000000</v>
      </c>
      <c r="W25" s="2876"/>
      <c r="X25" s="2874"/>
      <c r="Y25" s="2845"/>
      <c r="Z25" s="2845"/>
      <c r="AA25" s="2842"/>
      <c r="AB25" s="2842"/>
      <c r="AC25" s="2822"/>
      <c r="AD25" s="2842"/>
      <c r="AE25" s="2842"/>
      <c r="AF25" s="1148"/>
      <c r="AG25" s="1148"/>
      <c r="AH25" s="1148"/>
      <c r="AI25" s="1148"/>
      <c r="AJ25" s="1148"/>
      <c r="AK25" s="1148"/>
      <c r="AL25" s="1148"/>
      <c r="AM25" s="1148"/>
      <c r="AN25" s="2845"/>
      <c r="AO25" s="2851"/>
      <c r="AP25" s="2851"/>
      <c r="AQ25" s="2838"/>
    </row>
    <row r="26" spans="1:43" ht="36" customHeight="1" x14ac:dyDescent="0.2">
      <c r="A26" s="2883"/>
      <c r="B26" s="2884"/>
      <c r="C26" s="2885"/>
      <c r="D26" s="2565"/>
      <c r="E26" s="2565"/>
      <c r="F26" s="2566"/>
      <c r="G26" s="2887"/>
      <c r="H26" s="2887"/>
      <c r="I26" s="2858"/>
      <c r="J26" s="2858"/>
      <c r="K26" s="2793"/>
      <c r="L26" s="2793"/>
      <c r="M26" s="2773"/>
      <c r="N26" s="907" t="s">
        <v>1293</v>
      </c>
      <c r="O26" s="2773"/>
      <c r="P26" s="2793"/>
      <c r="Q26" s="2804"/>
      <c r="R26" s="2216"/>
      <c r="S26" s="2793"/>
      <c r="T26" s="2849"/>
      <c r="U26" s="2827"/>
      <c r="V26" s="2861"/>
      <c r="W26" s="2876"/>
      <c r="X26" s="2874"/>
      <c r="Y26" s="2845"/>
      <c r="Z26" s="2845"/>
      <c r="AA26" s="2842"/>
      <c r="AB26" s="2842"/>
      <c r="AC26" s="2822"/>
      <c r="AD26" s="2842"/>
      <c r="AE26" s="2842"/>
      <c r="AF26" s="1148"/>
      <c r="AG26" s="1148"/>
      <c r="AH26" s="1148"/>
      <c r="AI26" s="1148"/>
      <c r="AJ26" s="1148"/>
      <c r="AK26" s="1148"/>
      <c r="AL26" s="1148"/>
      <c r="AM26" s="1148"/>
      <c r="AN26" s="2845"/>
      <c r="AO26" s="2851"/>
      <c r="AP26" s="2851"/>
      <c r="AQ26" s="2838"/>
    </row>
    <row r="27" spans="1:43" ht="28.5" customHeight="1" x14ac:dyDescent="0.2">
      <c r="A27" s="2883"/>
      <c r="B27" s="2884"/>
      <c r="C27" s="2885"/>
      <c r="D27" s="2565"/>
      <c r="E27" s="2565"/>
      <c r="F27" s="2566"/>
      <c r="G27" s="2887"/>
      <c r="H27" s="2887"/>
      <c r="I27" s="2858"/>
      <c r="J27" s="2858"/>
      <c r="K27" s="2793"/>
      <c r="L27" s="2793"/>
      <c r="M27" s="2773"/>
      <c r="N27" s="907"/>
      <c r="O27" s="2773"/>
      <c r="P27" s="2793"/>
      <c r="Q27" s="2804"/>
      <c r="R27" s="2216"/>
      <c r="S27" s="2793"/>
      <c r="T27" s="2849"/>
      <c r="U27" s="2788"/>
      <c r="V27" s="2861"/>
      <c r="W27" s="2876"/>
      <c r="X27" s="2874"/>
      <c r="Y27" s="2845"/>
      <c r="Z27" s="2845"/>
      <c r="AA27" s="2842"/>
      <c r="AB27" s="2842"/>
      <c r="AC27" s="2822"/>
      <c r="AD27" s="2842"/>
      <c r="AE27" s="2842"/>
      <c r="AF27" s="1148"/>
      <c r="AG27" s="1148"/>
      <c r="AH27" s="1148"/>
      <c r="AI27" s="1148"/>
      <c r="AJ27" s="1148"/>
      <c r="AK27" s="1148"/>
      <c r="AL27" s="1148"/>
      <c r="AM27" s="1148"/>
      <c r="AN27" s="2845"/>
      <c r="AO27" s="2851"/>
      <c r="AP27" s="2851"/>
      <c r="AQ27" s="2838"/>
    </row>
    <row r="28" spans="1:43" ht="25.5" customHeight="1" x14ac:dyDescent="0.2">
      <c r="A28" s="2883"/>
      <c r="B28" s="2884"/>
      <c r="C28" s="2885"/>
      <c r="D28" s="2565"/>
      <c r="E28" s="2565"/>
      <c r="F28" s="2566"/>
      <c r="G28" s="2887"/>
      <c r="H28" s="2887"/>
      <c r="I28" s="2858"/>
      <c r="J28" s="2857">
        <v>42</v>
      </c>
      <c r="K28" s="2783" t="s">
        <v>1294</v>
      </c>
      <c r="L28" s="2783" t="s">
        <v>1295</v>
      </c>
      <c r="M28" s="2772">
        <v>1</v>
      </c>
      <c r="N28" s="907"/>
      <c r="O28" s="2773"/>
      <c r="P28" s="2793"/>
      <c r="Q28" s="2803">
        <f>(V28)/R22</f>
        <v>0.57377049180327866</v>
      </c>
      <c r="R28" s="2216"/>
      <c r="S28" s="2793"/>
      <c r="T28" s="2849"/>
      <c r="U28" s="2787" t="s">
        <v>1296</v>
      </c>
      <c r="V28" s="2861">
        <f>35000000+70000000</f>
        <v>105000000</v>
      </c>
      <c r="W28" s="2876"/>
      <c r="X28" s="2874"/>
      <c r="Y28" s="2845"/>
      <c r="Z28" s="2845"/>
      <c r="AA28" s="2842"/>
      <c r="AB28" s="2842"/>
      <c r="AC28" s="2822"/>
      <c r="AD28" s="2842"/>
      <c r="AE28" s="2842"/>
      <c r="AF28" s="1148"/>
      <c r="AG28" s="1148"/>
      <c r="AH28" s="1148"/>
      <c r="AI28" s="1148"/>
      <c r="AJ28" s="1148"/>
      <c r="AK28" s="1148"/>
      <c r="AL28" s="1148"/>
      <c r="AM28" s="1148"/>
      <c r="AN28" s="2845"/>
      <c r="AO28" s="2851"/>
      <c r="AP28" s="2851"/>
      <c r="AQ28" s="2838"/>
    </row>
    <row r="29" spans="1:43" ht="42" customHeight="1" x14ac:dyDescent="0.2">
      <c r="A29" s="2883"/>
      <c r="B29" s="2884"/>
      <c r="C29" s="2885"/>
      <c r="D29" s="2565"/>
      <c r="E29" s="2565"/>
      <c r="F29" s="2566"/>
      <c r="G29" s="2887"/>
      <c r="H29" s="2887"/>
      <c r="I29" s="2858"/>
      <c r="J29" s="2858"/>
      <c r="K29" s="2793"/>
      <c r="L29" s="2793"/>
      <c r="M29" s="2773"/>
      <c r="N29" s="907"/>
      <c r="O29" s="2773"/>
      <c r="P29" s="2793"/>
      <c r="Q29" s="2804"/>
      <c r="R29" s="2216"/>
      <c r="S29" s="2793"/>
      <c r="T29" s="2849"/>
      <c r="U29" s="2827"/>
      <c r="V29" s="2861"/>
      <c r="W29" s="2876"/>
      <c r="X29" s="2874"/>
      <c r="Y29" s="2845"/>
      <c r="Z29" s="2845"/>
      <c r="AA29" s="2842"/>
      <c r="AB29" s="2842"/>
      <c r="AC29" s="2822"/>
      <c r="AD29" s="2842"/>
      <c r="AE29" s="2842"/>
      <c r="AF29" s="1148"/>
      <c r="AG29" s="1148"/>
      <c r="AH29" s="1148"/>
      <c r="AI29" s="1148"/>
      <c r="AJ29" s="1148"/>
      <c r="AK29" s="1148"/>
      <c r="AL29" s="1148"/>
      <c r="AM29" s="1148"/>
      <c r="AN29" s="2845"/>
      <c r="AO29" s="2851"/>
      <c r="AP29" s="2851"/>
      <c r="AQ29" s="2838"/>
    </row>
    <row r="30" spans="1:43" ht="33" customHeight="1" x14ac:dyDescent="0.2">
      <c r="A30" s="2883"/>
      <c r="B30" s="2884"/>
      <c r="C30" s="2885"/>
      <c r="D30" s="2565"/>
      <c r="E30" s="2565"/>
      <c r="F30" s="2566"/>
      <c r="G30" s="2888"/>
      <c r="H30" s="2888"/>
      <c r="I30" s="2859"/>
      <c r="J30" s="2858"/>
      <c r="K30" s="2793"/>
      <c r="L30" s="2793"/>
      <c r="M30" s="2773"/>
      <c r="N30" s="907"/>
      <c r="O30" s="2773"/>
      <c r="P30" s="2793"/>
      <c r="Q30" s="2804"/>
      <c r="R30" s="2216"/>
      <c r="S30" s="2793"/>
      <c r="T30" s="2853"/>
      <c r="U30" s="2827"/>
      <c r="V30" s="2861"/>
      <c r="W30" s="2831"/>
      <c r="X30" s="2772"/>
      <c r="Y30" s="2862"/>
      <c r="Z30" s="2862"/>
      <c r="AA30" s="2863"/>
      <c r="AB30" s="2863"/>
      <c r="AC30" s="2786"/>
      <c r="AD30" s="2863"/>
      <c r="AE30" s="2863"/>
      <c r="AF30" s="1149"/>
      <c r="AG30" s="1149"/>
      <c r="AH30" s="1149"/>
      <c r="AI30" s="1149"/>
      <c r="AJ30" s="1149"/>
      <c r="AK30" s="1149"/>
      <c r="AL30" s="1149"/>
      <c r="AM30" s="1149"/>
      <c r="AN30" s="2862"/>
      <c r="AO30" s="2852"/>
      <c r="AP30" s="2852"/>
      <c r="AQ30" s="2838"/>
    </row>
    <row r="31" spans="1:43" ht="22.5" customHeight="1" x14ac:dyDescent="0.2">
      <c r="A31" s="2883"/>
      <c r="B31" s="2884"/>
      <c r="C31" s="2885"/>
      <c r="D31" s="2565"/>
      <c r="E31" s="2565"/>
      <c r="F31" s="2566"/>
      <c r="G31" s="1140">
        <v>9</v>
      </c>
      <c r="H31" s="258" t="s">
        <v>1297</v>
      </c>
      <c r="I31" s="258"/>
      <c r="J31" s="152"/>
      <c r="K31" s="598"/>
      <c r="L31" s="598"/>
      <c r="M31" s="152"/>
      <c r="N31" s="599"/>
      <c r="O31" s="734"/>
      <c r="P31" s="598"/>
      <c r="Q31" s="600"/>
      <c r="R31" s="1141"/>
      <c r="S31" s="598"/>
      <c r="T31" s="153"/>
      <c r="U31" s="153"/>
      <c r="V31" s="1150"/>
      <c r="W31" s="672"/>
      <c r="X31" s="599"/>
      <c r="Y31" s="1143"/>
      <c r="Z31" s="1143"/>
      <c r="AA31" s="152"/>
      <c r="AB31" s="152"/>
      <c r="AC31" s="152"/>
      <c r="AD31" s="152"/>
      <c r="AE31" s="152"/>
      <c r="AF31" s="152"/>
      <c r="AG31" s="152"/>
      <c r="AH31" s="152"/>
      <c r="AI31" s="152"/>
      <c r="AJ31" s="152"/>
      <c r="AK31" s="152"/>
      <c r="AL31" s="152"/>
      <c r="AM31" s="152"/>
      <c r="AN31" s="1143"/>
      <c r="AO31" s="1151"/>
      <c r="AP31" s="1151"/>
      <c r="AQ31" s="1152"/>
    </row>
    <row r="32" spans="1:43" ht="21.75" customHeight="1" x14ac:dyDescent="0.2">
      <c r="A32" s="2883"/>
      <c r="B32" s="2884"/>
      <c r="C32" s="2885"/>
      <c r="D32" s="2565"/>
      <c r="E32" s="2565"/>
      <c r="F32" s="2566"/>
      <c r="G32" s="2561"/>
      <c r="H32" s="2562"/>
      <c r="I32" s="2563"/>
      <c r="J32" s="2874">
        <v>44</v>
      </c>
      <c r="K32" s="2823" t="s">
        <v>1298</v>
      </c>
      <c r="L32" s="2823" t="s">
        <v>1299</v>
      </c>
      <c r="M32" s="2874">
        <v>1</v>
      </c>
      <c r="N32" s="910"/>
      <c r="O32" s="2773" t="s">
        <v>1300</v>
      </c>
      <c r="P32" s="2793" t="s">
        <v>1301</v>
      </c>
      <c r="Q32" s="2803">
        <f>(V32+V35)/R32</f>
        <v>0.2060353798126951</v>
      </c>
      <c r="R32" s="2216">
        <f>SUM(V32:V49)</f>
        <v>307520000</v>
      </c>
      <c r="S32" s="2793" t="s">
        <v>1302</v>
      </c>
      <c r="T32" s="2848" t="s">
        <v>1303</v>
      </c>
      <c r="U32" s="2787" t="s">
        <v>1304</v>
      </c>
      <c r="V32" s="2861">
        <f>16680000+31680000</f>
        <v>48360000</v>
      </c>
      <c r="W32" s="2876">
        <v>20</v>
      </c>
      <c r="X32" s="2874" t="s">
        <v>1305</v>
      </c>
      <c r="Y32" s="2845">
        <v>193964</v>
      </c>
      <c r="Z32" s="2845">
        <v>129308</v>
      </c>
      <c r="AA32" s="2842"/>
      <c r="AB32" s="2842"/>
      <c r="AC32" s="2822">
        <v>323272</v>
      </c>
      <c r="AD32" s="2842"/>
      <c r="AE32" s="2842"/>
      <c r="AF32" s="1148"/>
      <c r="AG32" s="1148"/>
      <c r="AH32" s="1148"/>
      <c r="AI32" s="1148"/>
      <c r="AJ32" s="1148"/>
      <c r="AK32" s="1148"/>
      <c r="AL32" s="1148"/>
      <c r="AM32" s="1148"/>
      <c r="AN32" s="2845">
        <f>+Y32+Z32</f>
        <v>323272</v>
      </c>
      <c r="AO32" s="2851">
        <v>43110</v>
      </c>
      <c r="AP32" s="2850">
        <v>43306</v>
      </c>
      <c r="AQ32" s="2873" t="s">
        <v>1273</v>
      </c>
    </row>
    <row r="33" spans="1:43" ht="27" customHeight="1" x14ac:dyDescent="0.2">
      <c r="A33" s="2883"/>
      <c r="B33" s="2884"/>
      <c r="C33" s="2885"/>
      <c r="D33" s="2565"/>
      <c r="E33" s="2565"/>
      <c r="F33" s="2566"/>
      <c r="G33" s="2564"/>
      <c r="H33" s="2565"/>
      <c r="I33" s="2566"/>
      <c r="J33" s="2874"/>
      <c r="K33" s="2823"/>
      <c r="L33" s="2823"/>
      <c r="M33" s="2874"/>
      <c r="N33" s="910"/>
      <c r="O33" s="2773"/>
      <c r="P33" s="2793"/>
      <c r="Q33" s="2804"/>
      <c r="R33" s="2216"/>
      <c r="S33" s="2793"/>
      <c r="T33" s="2849"/>
      <c r="U33" s="2827"/>
      <c r="V33" s="2861"/>
      <c r="W33" s="2876"/>
      <c r="X33" s="2874"/>
      <c r="Y33" s="2845"/>
      <c r="Z33" s="2845"/>
      <c r="AA33" s="2842"/>
      <c r="AB33" s="2842"/>
      <c r="AC33" s="2822"/>
      <c r="AD33" s="2842"/>
      <c r="AE33" s="2842"/>
      <c r="AF33" s="1148"/>
      <c r="AG33" s="1148"/>
      <c r="AH33" s="1148"/>
      <c r="AI33" s="1148"/>
      <c r="AJ33" s="1148"/>
      <c r="AK33" s="1148"/>
      <c r="AL33" s="1148"/>
      <c r="AM33" s="1148"/>
      <c r="AN33" s="2845"/>
      <c r="AO33" s="2851"/>
      <c r="AP33" s="2851"/>
      <c r="AQ33" s="2838"/>
    </row>
    <row r="34" spans="1:43" ht="44.25" customHeight="1" x14ac:dyDescent="0.2">
      <c r="A34" s="2883"/>
      <c r="B34" s="2884"/>
      <c r="C34" s="2885"/>
      <c r="D34" s="2565"/>
      <c r="E34" s="2565"/>
      <c r="F34" s="2566"/>
      <c r="G34" s="2564"/>
      <c r="H34" s="2565"/>
      <c r="I34" s="2566"/>
      <c r="J34" s="2874"/>
      <c r="K34" s="2823"/>
      <c r="L34" s="2823"/>
      <c r="M34" s="2874"/>
      <c r="N34" s="910"/>
      <c r="O34" s="2773"/>
      <c r="P34" s="2793"/>
      <c r="Q34" s="2804"/>
      <c r="R34" s="2216"/>
      <c r="S34" s="2793"/>
      <c r="T34" s="2849"/>
      <c r="U34" s="2827"/>
      <c r="V34" s="2215"/>
      <c r="W34" s="2876"/>
      <c r="X34" s="2874"/>
      <c r="Y34" s="2845"/>
      <c r="Z34" s="2845"/>
      <c r="AA34" s="2842"/>
      <c r="AB34" s="2842"/>
      <c r="AC34" s="2822"/>
      <c r="AD34" s="2842"/>
      <c r="AE34" s="2842"/>
      <c r="AF34" s="1148"/>
      <c r="AG34" s="1148"/>
      <c r="AH34" s="1148"/>
      <c r="AI34" s="1148"/>
      <c r="AJ34" s="1148"/>
      <c r="AK34" s="1148"/>
      <c r="AL34" s="1148"/>
      <c r="AM34" s="1148"/>
      <c r="AN34" s="2845"/>
      <c r="AO34" s="2851"/>
      <c r="AP34" s="2851"/>
      <c r="AQ34" s="2838"/>
    </row>
    <row r="35" spans="1:43" ht="30.75" customHeight="1" x14ac:dyDescent="0.2">
      <c r="A35" s="2883"/>
      <c r="B35" s="2884"/>
      <c r="C35" s="2885"/>
      <c r="D35" s="2565"/>
      <c r="E35" s="2565"/>
      <c r="F35" s="2566"/>
      <c r="G35" s="2564"/>
      <c r="H35" s="2565"/>
      <c r="I35" s="2566"/>
      <c r="J35" s="2874"/>
      <c r="K35" s="2823"/>
      <c r="L35" s="2823"/>
      <c r="M35" s="2874"/>
      <c r="N35" s="910"/>
      <c r="O35" s="2773"/>
      <c r="P35" s="2793"/>
      <c r="Q35" s="2804"/>
      <c r="R35" s="2216"/>
      <c r="S35" s="2793"/>
      <c r="T35" s="2849"/>
      <c r="U35" s="2787" t="s">
        <v>1306</v>
      </c>
      <c r="V35" s="2861">
        <v>15000000</v>
      </c>
      <c r="W35" s="2876"/>
      <c r="X35" s="2874"/>
      <c r="Y35" s="2845"/>
      <c r="Z35" s="2845"/>
      <c r="AA35" s="2842"/>
      <c r="AB35" s="2842"/>
      <c r="AC35" s="2822"/>
      <c r="AD35" s="2842"/>
      <c r="AE35" s="2842"/>
      <c r="AF35" s="1148"/>
      <c r="AG35" s="1148"/>
      <c r="AH35" s="1148"/>
      <c r="AI35" s="1148"/>
      <c r="AJ35" s="1148"/>
      <c r="AK35" s="1148"/>
      <c r="AL35" s="1148"/>
      <c r="AM35" s="1148"/>
      <c r="AN35" s="2845"/>
      <c r="AO35" s="2851"/>
      <c r="AP35" s="2851"/>
      <c r="AQ35" s="2838"/>
    </row>
    <row r="36" spans="1:43" ht="32.25" customHeight="1" x14ac:dyDescent="0.2">
      <c r="A36" s="2883"/>
      <c r="B36" s="2884"/>
      <c r="C36" s="2885"/>
      <c r="D36" s="2565"/>
      <c r="E36" s="2565"/>
      <c r="F36" s="2566"/>
      <c r="G36" s="2564"/>
      <c r="H36" s="2565"/>
      <c r="I36" s="2566"/>
      <c r="J36" s="2874"/>
      <c r="K36" s="2823"/>
      <c r="L36" s="2823"/>
      <c r="M36" s="2874"/>
      <c r="N36" s="910"/>
      <c r="O36" s="2773"/>
      <c r="P36" s="2793"/>
      <c r="Q36" s="2804"/>
      <c r="R36" s="2216"/>
      <c r="S36" s="2793"/>
      <c r="T36" s="2849"/>
      <c r="U36" s="2827"/>
      <c r="V36" s="2861"/>
      <c r="W36" s="2876"/>
      <c r="X36" s="2874"/>
      <c r="Y36" s="2845"/>
      <c r="Z36" s="2845"/>
      <c r="AA36" s="2842"/>
      <c r="AB36" s="2842"/>
      <c r="AC36" s="2822"/>
      <c r="AD36" s="2842"/>
      <c r="AE36" s="2842"/>
      <c r="AF36" s="1148"/>
      <c r="AG36" s="1148"/>
      <c r="AH36" s="1148"/>
      <c r="AI36" s="1148"/>
      <c r="AJ36" s="1148"/>
      <c r="AK36" s="1148"/>
      <c r="AL36" s="1148"/>
      <c r="AM36" s="1148"/>
      <c r="AN36" s="2845"/>
      <c r="AO36" s="2851"/>
      <c r="AP36" s="2851"/>
      <c r="AQ36" s="2838"/>
    </row>
    <row r="37" spans="1:43" ht="53.25" customHeight="1" x14ac:dyDescent="0.2">
      <c r="A37" s="2883"/>
      <c r="B37" s="2884"/>
      <c r="C37" s="2885"/>
      <c r="D37" s="2565"/>
      <c r="E37" s="2565"/>
      <c r="F37" s="2566"/>
      <c r="G37" s="2564"/>
      <c r="H37" s="2565"/>
      <c r="I37" s="2566"/>
      <c r="J37" s="2874"/>
      <c r="K37" s="2823"/>
      <c r="L37" s="2823"/>
      <c r="M37" s="2874"/>
      <c r="N37" s="910"/>
      <c r="O37" s="2773"/>
      <c r="P37" s="2793"/>
      <c r="Q37" s="2805"/>
      <c r="R37" s="2216"/>
      <c r="S37" s="2793"/>
      <c r="T37" s="2849"/>
      <c r="U37" s="2788"/>
      <c r="V37" s="2861"/>
      <c r="W37" s="2876"/>
      <c r="X37" s="2874"/>
      <c r="Y37" s="2845"/>
      <c r="Z37" s="2845"/>
      <c r="AA37" s="2842"/>
      <c r="AB37" s="2842"/>
      <c r="AC37" s="2822"/>
      <c r="AD37" s="2842"/>
      <c r="AE37" s="2842"/>
      <c r="AF37" s="1148"/>
      <c r="AG37" s="1148"/>
      <c r="AH37" s="1148"/>
      <c r="AI37" s="1148"/>
      <c r="AJ37" s="1148"/>
      <c r="AK37" s="1148"/>
      <c r="AL37" s="1148"/>
      <c r="AM37" s="1148"/>
      <c r="AN37" s="2845"/>
      <c r="AO37" s="2851"/>
      <c r="AP37" s="2851"/>
      <c r="AQ37" s="2838"/>
    </row>
    <row r="38" spans="1:43" ht="29.25" customHeight="1" x14ac:dyDescent="0.2">
      <c r="A38" s="2883"/>
      <c r="B38" s="2884"/>
      <c r="C38" s="2885"/>
      <c r="D38" s="2565"/>
      <c r="E38" s="2565"/>
      <c r="F38" s="2566"/>
      <c r="G38" s="2564"/>
      <c r="H38" s="2565"/>
      <c r="I38" s="2566"/>
      <c r="J38" s="2874">
        <v>43</v>
      </c>
      <c r="K38" s="2823" t="s">
        <v>1307</v>
      </c>
      <c r="L38" s="2823" t="s">
        <v>1308</v>
      </c>
      <c r="M38" s="2874">
        <v>3</v>
      </c>
      <c r="N38" s="910"/>
      <c r="O38" s="2773"/>
      <c r="P38" s="2793"/>
      <c r="Q38" s="2870">
        <f>(V38)/R32</f>
        <v>9.4302809573361082E-2</v>
      </c>
      <c r="R38" s="2216"/>
      <c r="S38" s="2793"/>
      <c r="T38" s="2875" t="s">
        <v>1309</v>
      </c>
      <c r="U38" s="2872" t="s">
        <v>1310</v>
      </c>
      <c r="V38" s="2217">
        <v>29000000</v>
      </c>
      <c r="W38" s="2876"/>
      <c r="X38" s="2874"/>
      <c r="Y38" s="2845"/>
      <c r="Z38" s="2845"/>
      <c r="AA38" s="2842"/>
      <c r="AB38" s="2842"/>
      <c r="AC38" s="2822"/>
      <c r="AD38" s="2842"/>
      <c r="AE38" s="2842"/>
      <c r="AF38" s="1148"/>
      <c r="AG38" s="1148"/>
      <c r="AH38" s="1148"/>
      <c r="AI38" s="1148"/>
      <c r="AJ38" s="1148"/>
      <c r="AK38" s="1148"/>
      <c r="AL38" s="1148"/>
      <c r="AM38" s="1148"/>
      <c r="AN38" s="2845"/>
      <c r="AO38" s="2851"/>
      <c r="AP38" s="2851"/>
      <c r="AQ38" s="2838"/>
    </row>
    <row r="39" spans="1:43" ht="27" customHeight="1" x14ac:dyDescent="0.2">
      <c r="A39" s="2883"/>
      <c r="B39" s="2884"/>
      <c r="C39" s="2885"/>
      <c r="D39" s="2565"/>
      <c r="E39" s="2565"/>
      <c r="F39" s="2566"/>
      <c r="G39" s="2564"/>
      <c r="H39" s="2565"/>
      <c r="I39" s="2566"/>
      <c r="J39" s="2874"/>
      <c r="K39" s="2823"/>
      <c r="L39" s="2823"/>
      <c r="M39" s="2874"/>
      <c r="N39" s="2773" t="s">
        <v>1311</v>
      </c>
      <c r="O39" s="2773"/>
      <c r="P39" s="2793"/>
      <c r="Q39" s="2870"/>
      <c r="R39" s="2216"/>
      <c r="S39" s="2793"/>
      <c r="T39" s="2875"/>
      <c r="U39" s="2872"/>
      <c r="V39" s="2861"/>
      <c r="W39" s="2876"/>
      <c r="X39" s="2874"/>
      <c r="Y39" s="2845"/>
      <c r="Z39" s="2845"/>
      <c r="AA39" s="2842"/>
      <c r="AB39" s="2842"/>
      <c r="AC39" s="2822"/>
      <c r="AD39" s="2842"/>
      <c r="AE39" s="2842"/>
      <c r="AF39" s="1148"/>
      <c r="AG39" s="1148"/>
      <c r="AH39" s="1148"/>
      <c r="AI39" s="1148"/>
      <c r="AJ39" s="1148"/>
      <c r="AK39" s="1148"/>
      <c r="AL39" s="1148"/>
      <c r="AM39" s="1148"/>
      <c r="AN39" s="2845"/>
      <c r="AO39" s="2851"/>
      <c r="AP39" s="2851"/>
      <c r="AQ39" s="2838"/>
    </row>
    <row r="40" spans="1:43" ht="30.75" customHeight="1" x14ac:dyDescent="0.2">
      <c r="A40" s="2883"/>
      <c r="B40" s="2884"/>
      <c r="C40" s="2885"/>
      <c r="D40" s="2565"/>
      <c r="E40" s="2565"/>
      <c r="F40" s="2566"/>
      <c r="G40" s="2564"/>
      <c r="H40" s="2565"/>
      <c r="I40" s="2566"/>
      <c r="J40" s="2874"/>
      <c r="K40" s="2823"/>
      <c r="L40" s="2823"/>
      <c r="M40" s="2874"/>
      <c r="N40" s="2773"/>
      <c r="O40" s="2773"/>
      <c r="P40" s="2793"/>
      <c r="Q40" s="2870"/>
      <c r="R40" s="2216"/>
      <c r="S40" s="2793"/>
      <c r="T40" s="2875"/>
      <c r="U40" s="2872"/>
      <c r="V40" s="2861"/>
      <c r="W40" s="2876"/>
      <c r="X40" s="2874"/>
      <c r="Y40" s="2845"/>
      <c r="Z40" s="2845"/>
      <c r="AA40" s="2842"/>
      <c r="AB40" s="2842"/>
      <c r="AC40" s="2822"/>
      <c r="AD40" s="2842"/>
      <c r="AE40" s="2842"/>
      <c r="AF40" s="1148"/>
      <c r="AG40" s="1148"/>
      <c r="AH40" s="1148"/>
      <c r="AI40" s="1148"/>
      <c r="AJ40" s="1148"/>
      <c r="AK40" s="1148"/>
      <c r="AL40" s="1148"/>
      <c r="AM40" s="1148"/>
      <c r="AN40" s="2845"/>
      <c r="AO40" s="2851"/>
      <c r="AP40" s="2851"/>
      <c r="AQ40" s="2838"/>
    </row>
    <row r="41" spans="1:43" ht="27" customHeight="1" x14ac:dyDescent="0.2">
      <c r="A41" s="2883"/>
      <c r="B41" s="2884"/>
      <c r="C41" s="2885"/>
      <c r="D41" s="2565"/>
      <c r="E41" s="2565"/>
      <c r="F41" s="2566"/>
      <c r="G41" s="2564"/>
      <c r="H41" s="2565"/>
      <c r="I41" s="2566"/>
      <c r="J41" s="2874"/>
      <c r="K41" s="2823"/>
      <c r="L41" s="2823"/>
      <c r="M41" s="2874"/>
      <c r="N41" s="910"/>
      <c r="O41" s="2773"/>
      <c r="P41" s="2793"/>
      <c r="Q41" s="2870"/>
      <c r="R41" s="2216"/>
      <c r="S41" s="2793"/>
      <c r="T41" s="2875"/>
      <c r="U41" s="2872"/>
      <c r="V41" s="2861"/>
      <c r="W41" s="2876"/>
      <c r="X41" s="2874"/>
      <c r="Y41" s="2845"/>
      <c r="Z41" s="2845"/>
      <c r="AA41" s="2842"/>
      <c r="AB41" s="2842"/>
      <c r="AC41" s="2822"/>
      <c r="AD41" s="2842"/>
      <c r="AE41" s="2842"/>
      <c r="AF41" s="1148"/>
      <c r="AG41" s="1148"/>
      <c r="AH41" s="1148"/>
      <c r="AI41" s="1148"/>
      <c r="AJ41" s="1148"/>
      <c r="AK41" s="1148"/>
      <c r="AL41" s="1148"/>
      <c r="AM41" s="1148"/>
      <c r="AN41" s="2845"/>
      <c r="AO41" s="2851"/>
      <c r="AP41" s="2851"/>
      <c r="AQ41" s="2838"/>
    </row>
    <row r="42" spans="1:43" ht="32.25" customHeight="1" x14ac:dyDescent="0.2">
      <c r="A42" s="2883"/>
      <c r="B42" s="2884"/>
      <c r="C42" s="2885"/>
      <c r="D42" s="2565"/>
      <c r="E42" s="2565"/>
      <c r="F42" s="2566"/>
      <c r="G42" s="2564"/>
      <c r="H42" s="2565"/>
      <c r="I42" s="2566"/>
      <c r="J42" s="2874">
        <v>45</v>
      </c>
      <c r="K42" s="2823" t="s">
        <v>1312</v>
      </c>
      <c r="L42" s="2823" t="s">
        <v>1308</v>
      </c>
      <c r="M42" s="2874">
        <v>3</v>
      </c>
      <c r="N42" s="907" t="s">
        <v>1313</v>
      </c>
      <c r="O42" s="2773"/>
      <c r="P42" s="2793"/>
      <c r="Q42" s="2870">
        <f>(V42)/R32</f>
        <v>0.37447970863683661</v>
      </c>
      <c r="R42" s="2216"/>
      <c r="S42" s="2793"/>
      <c r="T42" s="2875"/>
      <c r="U42" s="2871" t="s">
        <v>1314</v>
      </c>
      <c r="V42" s="2861">
        <f>99320000+15840000</f>
        <v>115160000</v>
      </c>
      <c r="W42" s="2876"/>
      <c r="X42" s="2874"/>
      <c r="Y42" s="2845"/>
      <c r="Z42" s="2845"/>
      <c r="AA42" s="2842"/>
      <c r="AB42" s="2842"/>
      <c r="AC42" s="2822"/>
      <c r="AD42" s="2842"/>
      <c r="AE42" s="2842"/>
      <c r="AF42" s="1148"/>
      <c r="AG42" s="1148"/>
      <c r="AH42" s="1148"/>
      <c r="AI42" s="1148"/>
      <c r="AJ42" s="1148"/>
      <c r="AK42" s="1148"/>
      <c r="AL42" s="1148"/>
      <c r="AM42" s="1148"/>
      <c r="AN42" s="2845"/>
      <c r="AO42" s="2851"/>
      <c r="AP42" s="2851"/>
      <c r="AQ42" s="2838"/>
    </row>
    <row r="43" spans="1:43" ht="32.25" customHeight="1" x14ac:dyDescent="0.2">
      <c r="A43" s="2883"/>
      <c r="B43" s="2884"/>
      <c r="C43" s="2885"/>
      <c r="D43" s="2565"/>
      <c r="E43" s="2565"/>
      <c r="F43" s="2566"/>
      <c r="G43" s="2564"/>
      <c r="H43" s="2565"/>
      <c r="I43" s="2566"/>
      <c r="J43" s="2874"/>
      <c r="K43" s="2823"/>
      <c r="L43" s="2823"/>
      <c r="M43" s="2874"/>
      <c r="N43" s="910"/>
      <c r="O43" s="2773"/>
      <c r="P43" s="2793"/>
      <c r="Q43" s="2870"/>
      <c r="R43" s="2216"/>
      <c r="S43" s="2793"/>
      <c r="T43" s="2875"/>
      <c r="U43" s="2871"/>
      <c r="V43" s="2861"/>
      <c r="W43" s="2876"/>
      <c r="X43" s="2874"/>
      <c r="Y43" s="2845"/>
      <c r="Z43" s="2845"/>
      <c r="AA43" s="2842"/>
      <c r="AB43" s="2842"/>
      <c r="AC43" s="2822"/>
      <c r="AD43" s="2842"/>
      <c r="AE43" s="2842"/>
      <c r="AF43" s="1148"/>
      <c r="AG43" s="1148"/>
      <c r="AH43" s="1148"/>
      <c r="AI43" s="1148"/>
      <c r="AJ43" s="1148"/>
      <c r="AK43" s="1148"/>
      <c r="AL43" s="1148"/>
      <c r="AM43" s="1148"/>
      <c r="AN43" s="2845"/>
      <c r="AO43" s="2851"/>
      <c r="AP43" s="2851"/>
      <c r="AQ43" s="2838"/>
    </row>
    <row r="44" spans="1:43" ht="23.25" customHeight="1" x14ac:dyDescent="0.2">
      <c r="A44" s="2883"/>
      <c r="B44" s="2884"/>
      <c r="C44" s="2885"/>
      <c r="D44" s="2565"/>
      <c r="E44" s="2565"/>
      <c r="F44" s="2566"/>
      <c r="G44" s="2564"/>
      <c r="H44" s="2565"/>
      <c r="I44" s="2566"/>
      <c r="J44" s="2874"/>
      <c r="K44" s="2823"/>
      <c r="L44" s="2823"/>
      <c r="M44" s="2874"/>
      <c r="N44" s="910"/>
      <c r="O44" s="2773"/>
      <c r="P44" s="2793"/>
      <c r="Q44" s="2870"/>
      <c r="R44" s="2216"/>
      <c r="S44" s="2793"/>
      <c r="T44" s="2875"/>
      <c r="U44" s="2871"/>
      <c r="V44" s="2861"/>
      <c r="W44" s="2876"/>
      <c r="X44" s="2874"/>
      <c r="Y44" s="2845"/>
      <c r="Z44" s="2845"/>
      <c r="AA44" s="2842"/>
      <c r="AB44" s="2842"/>
      <c r="AC44" s="2822"/>
      <c r="AD44" s="2842"/>
      <c r="AE44" s="2842"/>
      <c r="AF44" s="1148"/>
      <c r="AG44" s="1148"/>
      <c r="AH44" s="1148"/>
      <c r="AI44" s="1148"/>
      <c r="AJ44" s="1148"/>
      <c r="AK44" s="1148"/>
      <c r="AL44" s="1148"/>
      <c r="AM44" s="1148"/>
      <c r="AN44" s="2845"/>
      <c r="AO44" s="2851"/>
      <c r="AP44" s="2851"/>
      <c r="AQ44" s="2838"/>
    </row>
    <row r="45" spans="1:43" ht="21.75" customHeight="1" x14ac:dyDescent="0.2">
      <c r="A45" s="2883"/>
      <c r="B45" s="2884"/>
      <c r="C45" s="2885"/>
      <c r="D45" s="2565"/>
      <c r="E45" s="2565"/>
      <c r="F45" s="2566"/>
      <c r="G45" s="2564"/>
      <c r="H45" s="2565"/>
      <c r="I45" s="2566"/>
      <c r="J45" s="2874"/>
      <c r="K45" s="2823"/>
      <c r="L45" s="2823"/>
      <c r="M45" s="2874"/>
      <c r="N45" s="910"/>
      <c r="O45" s="2773"/>
      <c r="P45" s="2793"/>
      <c r="Q45" s="2870"/>
      <c r="R45" s="2216"/>
      <c r="S45" s="2793"/>
      <c r="T45" s="2875"/>
      <c r="U45" s="2871"/>
      <c r="V45" s="2861"/>
      <c r="W45" s="2876"/>
      <c r="X45" s="2874"/>
      <c r="Y45" s="2845"/>
      <c r="Z45" s="2845"/>
      <c r="AA45" s="2842"/>
      <c r="AB45" s="2842"/>
      <c r="AC45" s="2822"/>
      <c r="AD45" s="2842"/>
      <c r="AE45" s="2842"/>
      <c r="AF45" s="1148"/>
      <c r="AG45" s="1148"/>
      <c r="AH45" s="1148"/>
      <c r="AI45" s="1148"/>
      <c r="AJ45" s="1148"/>
      <c r="AK45" s="1148"/>
      <c r="AL45" s="1148"/>
      <c r="AM45" s="1148"/>
      <c r="AN45" s="2845"/>
      <c r="AO45" s="2851"/>
      <c r="AP45" s="2851"/>
      <c r="AQ45" s="2838"/>
    </row>
    <row r="46" spans="1:43" ht="34.5" customHeight="1" x14ac:dyDescent="0.2">
      <c r="A46" s="2883"/>
      <c r="B46" s="2884"/>
      <c r="C46" s="2885"/>
      <c r="D46" s="2565"/>
      <c r="E46" s="2565"/>
      <c r="F46" s="2566"/>
      <c r="G46" s="2564"/>
      <c r="H46" s="2565"/>
      <c r="I46" s="2566"/>
      <c r="J46" s="2772">
        <v>46</v>
      </c>
      <c r="K46" s="2783" t="s">
        <v>1315</v>
      </c>
      <c r="L46" s="2783" t="s">
        <v>1316</v>
      </c>
      <c r="M46" s="2772">
        <v>1</v>
      </c>
      <c r="N46" s="910"/>
      <c r="O46" s="2773"/>
      <c r="P46" s="2793"/>
      <c r="Q46" s="2803">
        <f>(V46)/R32</f>
        <v>0.32518210197710717</v>
      </c>
      <c r="R46" s="2216"/>
      <c r="S46" s="2793"/>
      <c r="T46" s="2875"/>
      <c r="U46" s="2788" t="s">
        <v>1317</v>
      </c>
      <c r="V46" s="2861">
        <v>100000000</v>
      </c>
      <c r="W46" s="2876"/>
      <c r="X46" s="2874"/>
      <c r="Y46" s="2845"/>
      <c r="Z46" s="2845"/>
      <c r="AA46" s="2842"/>
      <c r="AB46" s="2842"/>
      <c r="AC46" s="2822"/>
      <c r="AD46" s="2842"/>
      <c r="AE46" s="2842"/>
      <c r="AF46" s="1148"/>
      <c r="AG46" s="1148"/>
      <c r="AH46" s="1148"/>
      <c r="AI46" s="1148"/>
      <c r="AJ46" s="1148"/>
      <c r="AK46" s="1148"/>
      <c r="AL46" s="1148"/>
      <c r="AM46" s="1148"/>
      <c r="AN46" s="2845"/>
      <c r="AO46" s="2851"/>
      <c r="AP46" s="2851"/>
      <c r="AQ46" s="2838"/>
    </row>
    <row r="47" spans="1:43" ht="30.75" customHeight="1" x14ac:dyDescent="0.2">
      <c r="A47" s="2883"/>
      <c r="B47" s="2884"/>
      <c r="C47" s="2885"/>
      <c r="D47" s="2565"/>
      <c r="E47" s="2565"/>
      <c r="F47" s="2566"/>
      <c r="G47" s="2564"/>
      <c r="H47" s="2565"/>
      <c r="I47" s="2566"/>
      <c r="J47" s="2773"/>
      <c r="K47" s="2793"/>
      <c r="L47" s="2793"/>
      <c r="M47" s="2773"/>
      <c r="N47" s="910"/>
      <c r="O47" s="2773"/>
      <c r="P47" s="2793"/>
      <c r="Q47" s="2804"/>
      <c r="R47" s="2216"/>
      <c r="S47" s="2793"/>
      <c r="T47" s="2875"/>
      <c r="U47" s="2872"/>
      <c r="V47" s="2861"/>
      <c r="W47" s="2876"/>
      <c r="X47" s="2874"/>
      <c r="Y47" s="2845"/>
      <c r="Z47" s="2845"/>
      <c r="AA47" s="2842"/>
      <c r="AB47" s="2842"/>
      <c r="AC47" s="2822"/>
      <c r="AD47" s="2842"/>
      <c r="AE47" s="2842"/>
      <c r="AF47" s="1148"/>
      <c r="AG47" s="1148"/>
      <c r="AH47" s="1148"/>
      <c r="AI47" s="1148"/>
      <c r="AJ47" s="1148"/>
      <c r="AK47" s="1148"/>
      <c r="AL47" s="1148"/>
      <c r="AM47" s="1148"/>
      <c r="AN47" s="2845"/>
      <c r="AO47" s="2851"/>
      <c r="AP47" s="2851"/>
      <c r="AQ47" s="2838"/>
    </row>
    <row r="48" spans="1:43" ht="29.25" customHeight="1" x14ac:dyDescent="0.2">
      <c r="A48" s="2883"/>
      <c r="B48" s="2884"/>
      <c r="C48" s="2885"/>
      <c r="D48" s="2565"/>
      <c r="E48" s="2565"/>
      <c r="F48" s="2566"/>
      <c r="G48" s="2564"/>
      <c r="H48" s="2565"/>
      <c r="I48" s="2566"/>
      <c r="J48" s="2773"/>
      <c r="K48" s="2793"/>
      <c r="L48" s="2793"/>
      <c r="M48" s="2773"/>
      <c r="N48" s="910"/>
      <c r="O48" s="2773"/>
      <c r="P48" s="2793"/>
      <c r="Q48" s="2804"/>
      <c r="R48" s="2216"/>
      <c r="S48" s="2793"/>
      <c r="T48" s="2875"/>
      <c r="U48" s="2872"/>
      <c r="V48" s="2861"/>
      <c r="W48" s="2876"/>
      <c r="X48" s="2874"/>
      <c r="Y48" s="2845"/>
      <c r="Z48" s="2845"/>
      <c r="AA48" s="2842"/>
      <c r="AB48" s="2842"/>
      <c r="AC48" s="2822"/>
      <c r="AD48" s="2842"/>
      <c r="AE48" s="2842"/>
      <c r="AF48" s="1148"/>
      <c r="AG48" s="1148"/>
      <c r="AH48" s="1148"/>
      <c r="AI48" s="1148"/>
      <c r="AJ48" s="1148"/>
      <c r="AK48" s="1148"/>
      <c r="AL48" s="1148"/>
      <c r="AM48" s="1148"/>
      <c r="AN48" s="2845"/>
      <c r="AO48" s="2851"/>
      <c r="AP48" s="2851"/>
      <c r="AQ48" s="2838"/>
    </row>
    <row r="49" spans="1:43" ht="53.25" customHeight="1" x14ac:dyDescent="0.2">
      <c r="A49" s="2883"/>
      <c r="B49" s="2884"/>
      <c r="C49" s="2885"/>
      <c r="D49" s="2565"/>
      <c r="E49" s="2565"/>
      <c r="F49" s="2566"/>
      <c r="G49" s="2567"/>
      <c r="H49" s="2568"/>
      <c r="I49" s="2569"/>
      <c r="J49" s="2773"/>
      <c r="K49" s="2793"/>
      <c r="L49" s="2793"/>
      <c r="M49" s="2773"/>
      <c r="N49" s="910"/>
      <c r="O49" s="2773"/>
      <c r="P49" s="2793"/>
      <c r="Q49" s="2804"/>
      <c r="R49" s="2216"/>
      <c r="S49" s="2793"/>
      <c r="T49" s="2875"/>
      <c r="U49" s="2872"/>
      <c r="V49" s="2861"/>
      <c r="W49" s="2831"/>
      <c r="X49" s="2772"/>
      <c r="Y49" s="2862"/>
      <c r="Z49" s="2862"/>
      <c r="AA49" s="2863"/>
      <c r="AB49" s="2863"/>
      <c r="AC49" s="2786"/>
      <c r="AD49" s="2863"/>
      <c r="AE49" s="2863"/>
      <c r="AF49" s="1149"/>
      <c r="AG49" s="1149"/>
      <c r="AH49" s="1149"/>
      <c r="AI49" s="1149"/>
      <c r="AJ49" s="1149"/>
      <c r="AK49" s="1149"/>
      <c r="AL49" s="1149"/>
      <c r="AM49" s="1149"/>
      <c r="AN49" s="2862"/>
      <c r="AO49" s="2852"/>
      <c r="AP49" s="2852"/>
      <c r="AQ49" s="2838"/>
    </row>
    <row r="50" spans="1:43" ht="18.75" customHeight="1" x14ac:dyDescent="0.2">
      <c r="A50" s="2883"/>
      <c r="B50" s="2884"/>
      <c r="C50" s="2885"/>
      <c r="D50" s="2565"/>
      <c r="E50" s="2565"/>
      <c r="F50" s="2566"/>
      <c r="G50" s="1140">
        <v>10</v>
      </c>
      <c r="H50" s="258" t="s">
        <v>1318</v>
      </c>
      <c r="I50" s="258"/>
      <c r="J50" s="152"/>
      <c r="K50" s="598"/>
      <c r="L50" s="598"/>
      <c r="M50" s="152"/>
      <c r="N50" s="599"/>
      <c r="O50" s="734"/>
      <c r="P50" s="598"/>
      <c r="Q50" s="600"/>
      <c r="R50" s="1141"/>
      <c r="S50" s="598"/>
      <c r="T50" s="598"/>
      <c r="U50" s="598"/>
      <c r="V50" s="1150"/>
      <c r="W50" s="672"/>
      <c r="X50" s="599"/>
      <c r="Y50" s="1143"/>
      <c r="Z50" s="1143"/>
      <c r="AA50" s="152"/>
      <c r="AB50" s="152"/>
      <c r="AC50" s="152"/>
      <c r="AD50" s="152"/>
      <c r="AE50" s="152"/>
      <c r="AF50" s="152"/>
      <c r="AG50" s="152"/>
      <c r="AH50" s="152"/>
      <c r="AI50" s="152"/>
      <c r="AJ50" s="152"/>
      <c r="AK50" s="152"/>
      <c r="AL50" s="152"/>
      <c r="AM50" s="152"/>
      <c r="AN50" s="1143"/>
      <c r="AO50" s="1151"/>
      <c r="AP50" s="1151"/>
      <c r="AQ50" s="1152"/>
    </row>
    <row r="51" spans="1:43" ht="36" customHeight="1" x14ac:dyDescent="0.2">
      <c r="A51" s="2883"/>
      <c r="B51" s="2884"/>
      <c r="C51" s="2885"/>
      <c r="D51" s="2565"/>
      <c r="E51" s="2565"/>
      <c r="F51" s="2566"/>
      <c r="G51" s="2865"/>
      <c r="H51" s="2866"/>
      <c r="I51" s="2867"/>
      <c r="J51" s="2772">
        <v>47</v>
      </c>
      <c r="K51" s="2783" t="s">
        <v>1319</v>
      </c>
      <c r="L51" s="2783" t="s">
        <v>1320</v>
      </c>
      <c r="M51" s="2772">
        <v>36</v>
      </c>
      <c r="N51" s="906"/>
      <c r="O51" s="2772" t="s">
        <v>1321</v>
      </c>
      <c r="P51" s="2783" t="s">
        <v>1322</v>
      </c>
      <c r="Q51" s="2803">
        <f>(V51)/R51</f>
        <v>0.38959028108623156</v>
      </c>
      <c r="R51" s="2215">
        <f>SUM(V51:V59)</f>
        <v>335840000</v>
      </c>
      <c r="S51" s="2783" t="s">
        <v>1323</v>
      </c>
      <c r="T51" s="2848" t="s">
        <v>1324</v>
      </c>
      <c r="U51" s="2787" t="s">
        <v>1325</v>
      </c>
      <c r="V51" s="2861">
        <f>55000000+75840000</f>
        <v>130840000</v>
      </c>
      <c r="W51" s="2831" t="s">
        <v>1326</v>
      </c>
      <c r="X51" s="2772" t="s">
        <v>1327</v>
      </c>
      <c r="Y51" s="2844">
        <v>193964</v>
      </c>
      <c r="Z51" s="2844">
        <v>129308</v>
      </c>
      <c r="AA51" s="2841"/>
      <c r="AB51" s="2841"/>
      <c r="AC51" s="2785">
        <v>323272</v>
      </c>
      <c r="AD51" s="2841"/>
      <c r="AE51" s="2841"/>
      <c r="AF51" s="1147"/>
      <c r="AG51" s="1147"/>
      <c r="AH51" s="1147"/>
      <c r="AI51" s="1147"/>
      <c r="AJ51" s="1147"/>
      <c r="AK51" s="1147"/>
      <c r="AL51" s="1147"/>
      <c r="AM51" s="1147"/>
      <c r="AN51" s="2844">
        <f>+Y51+Z51</f>
        <v>323272</v>
      </c>
      <c r="AO51" s="2850">
        <v>43109</v>
      </c>
      <c r="AP51" s="2850">
        <v>43307</v>
      </c>
      <c r="AQ51" s="2837" t="s">
        <v>1273</v>
      </c>
    </row>
    <row r="52" spans="1:43" ht="21.75" customHeight="1" x14ac:dyDescent="0.2">
      <c r="A52" s="2883"/>
      <c r="B52" s="2884"/>
      <c r="C52" s="2885"/>
      <c r="D52" s="2565"/>
      <c r="E52" s="2565"/>
      <c r="F52" s="2566"/>
      <c r="G52" s="2868"/>
      <c r="H52" s="2836"/>
      <c r="I52" s="2869"/>
      <c r="J52" s="2773"/>
      <c r="K52" s="2793"/>
      <c r="L52" s="2793"/>
      <c r="M52" s="2773"/>
      <c r="N52" s="907"/>
      <c r="O52" s="2773"/>
      <c r="P52" s="2793"/>
      <c r="Q52" s="2804"/>
      <c r="R52" s="2216"/>
      <c r="S52" s="2793"/>
      <c r="T52" s="2849"/>
      <c r="U52" s="2827"/>
      <c r="V52" s="2861"/>
      <c r="W52" s="2832"/>
      <c r="X52" s="2773"/>
      <c r="Y52" s="2845"/>
      <c r="Z52" s="2845"/>
      <c r="AA52" s="2842"/>
      <c r="AB52" s="2842"/>
      <c r="AC52" s="2822"/>
      <c r="AD52" s="2842"/>
      <c r="AE52" s="2842"/>
      <c r="AF52" s="1148"/>
      <c r="AG52" s="1148"/>
      <c r="AH52" s="1148"/>
      <c r="AI52" s="1148"/>
      <c r="AJ52" s="1148"/>
      <c r="AK52" s="1148"/>
      <c r="AL52" s="1148"/>
      <c r="AM52" s="1148"/>
      <c r="AN52" s="2845"/>
      <c r="AO52" s="2851"/>
      <c r="AP52" s="2851"/>
      <c r="AQ52" s="2838"/>
    </row>
    <row r="53" spans="1:43" ht="43.5" customHeight="1" x14ac:dyDescent="0.2">
      <c r="A53" s="2883"/>
      <c r="B53" s="2884"/>
      <c r="C53" s="2885"/>
      <c r="D53" s="2565"/>
      <c r="E53" s="2565"/>
      <c r="F53" s="2566"/>
      <c r="G53" s="2868"/>
      <c r="H53" s="2836"/>
      <c r="I53" s="2869"/>
      <c r="J53" s="2773"/>
      <c r="K53" s="2793"/>
      <c r="L53" s="2793"/>
      <c r="M53" s="2773"/>
      <c r="N53" s="907"/>
      <c r="O53" s="2773"/>
      <c r="P53" s="2793"/>
      <c r="Q53" s="2804"/>
      <c r="R53" s="2216"/>
      <c r="S53" s="2793"/>
      <c r="T53" s="2849"/>
      <c r="U53" s="2788"/>
      <c r="V53" s="2861"/>
      <c r="W53" s="2832"/>
      <c r="X53" s="2773"/>
      <c r="Y53" s="2845"/>
      <c r="Z53" s="2845"/>
      <c r="AA53" s="2842"/>
      <c r="AB53" s="2842"/>
      <c r="AC53" s="2822"/>
      <c r="AD53" s="2842"/>
      <c r="AE53" s="2842"/>
      <c r="AF53" s="1148"/>
      <c r="AG53" s="1148"/>
      <c r="AH53" s="1148"/>
      <c r="AI53" s="1148"/>
      <c r="AJ53" s="1148"/>
      <c r="AK53" s="1148"/>
      <c r="AL53" s="1148"/>
      <c r="AM53" s="1148"/>
      <c r="AN53" s="2845"/>
      <c r="AO53" s="2851"/>
      <c r="AP53" s="2851"/>
      <c r="AQ53" s="2838"/>
    </row>
    <row r="54" spans="1:43" ht="36" customHeight="1" x14ac:dyDescent="0.2">
      <c r="A54" s="2883"/>
      <c r="B54" s="2884"/>
      <c r="C54" s="2885"/>
      <c r="D54" s="2565"/>
      <c r="E54" s="2565"/>
      <c r="F54" s="2566"/>
      <c r="G54" s="2868"/>
      <c r="H54" s="2836"/>
      <c r="I54" s="2869"/>
      <c r="J54" s="2772">
        <v>48</v>
      </c>
      <c r="K54" s="2783" t="s">
        <v>1328</v>
      </c>
      <c r="L54" s="2783" t="s">
        <v>1329</v>
      </c>
      <c r="M54" s="2772">
        <v>1</v>
      </c>
      <c r="N54" s="907" t="s">
        <v>1330</v>
      </c>
      <c r="O54" s="2773"/>
      <c r="P54" s="2793"/>
      <c r="Q54" s="2803">
        <f>(V54)/R51</f>
        <v>0.59552167698904235</v>
      </c>
      <c r="R54" s="2216"/>
      <c r="S54" s="2793"/>
      <c r="T54" s="2848" t="s">
        <v>1331</v>
      </c>
      <c r="U54" s="2787" t="s">
        <v>1332</v>
      </c>
      <c r="V54" s="2861">
        <v>200000000</v>
      </c>
      <c r="W54" s="2832"/>
      <c r="X54" s="2773"/>
      <c r="Y54" s="2845"/>
      <c r="Z54" s="2845"/>
      <c r="AA54" s="2842"/>
      <c r="AB54" s="2842"/>
      <c r="AC54" s="2822"/>
      <c r="AD54" s="2842"/>
      <c r="AE54" s="2842"/>
      <c r="AF54" s="1148"/>
      <c r="AG54" s="1148"/>
      <c r="AH54" s="1148"/>
      <c r="AI54" s="1148"/>
      <c r="AJ54" s="1148"/>
      <c r="AK54" s="1148"/>
      <c r="AL54" s="1148"/>
      <c r="AM54" s="1148"/>
      <c r="AN54" s="2845"/>
      <c r="AO54" s="2851"/>
      <c r="AP54" s="2851"/>
      <c r="AQ54" s="2838"/>
    </row>
    <row r="55" spans="1:43" ht="18" customHeight="1" x14ac:dyDescent="0.2">
      <c r="A55" s="2883"/>
      <c r="B55" s="2884"/>
      <c r="C55" s="2885"/>
      <c r="D55" s="2565"/>
      <c r="E55" s="2565"/>
      <c r="F55" s="2566"/>
      <c r="G55" s="2868"/>
      <c r="H55" s="2836"/>
      <c r="I55" s="2869"/>
      <c r="J55" s="2773"/>
      <c r="K55" s="2793"/>
      <c r="L55" s="2793"/>
      <c r="M55" s="2773"/>
      <c r="N55" s="907"/>
      <c r="O55" s="2773"/>
      <c r="P55" s="2793"/>
      <c r="Q55" s="2804"/>
      <c r="R55" s="2216"/>
      <c r="S55" s="2793"/>
      <c r="T55" s="2849"/>
      <c r="U55" s="2827"/>
      <c r="V55" s="2861"/>
      <c r="W55" s="2832"/>
      <c r="X55" s="2773"/>
      <c r="Y55" s="2845"/>
      <c r="Z55" s="2845"/>
      <c r="AA55" s="2842"/>
      <c r="AB55" s="2842"/>
      <c r="AC55" s="2822"/>
      <c r="AD55" s="2842"/>
      <c r="AE55" s="2842"/>
      <c r="AF55" s="1148"/>
      <c r="AG55" s="1148"/>
      <c r="AH55" s="1148"/>
      <c r="AI55" s="1148"/>
      <c r="AJ55" s="1148"/>
      <c r="AK55" s="1148"/>
      <c r="AL55" s="1148"/>
      <c r="AM55" s="1148"/>
      <c r="AN55" s="2845"/>
      <c r="AO55" s="2851"/>
      <c r="AP55" s="2851"/>
      <c r="AQ55" s="2838"/>
    </row>
    <row r="56" spans="1:43" ht="28.5" customHeight="1" x14ac:dyDescent="0.2">
      <c r="A56" s="2883"/>
      <c r="B56" s="2884"/>
      <c r="C56" s="2885"/>
      <c r="D56" s="2565"/>
      <c r="E56" s="2565"/>
      <c r="F56" s="2566"/>
      <c r="G56" s="2868"/>
      <c r="H56" s="2836"/>
      <c r="I56" s="2869"/>
      <c r="J56" s="2773"/>
      <c r="K56" s="2793"/>
      <c r="L56" s="2793"/>
      <c r="M56" s="2773"/>
      <c r="N56" s="907" t="s">
        <v>1333</v>
      </c>
      <c r="O56" s="2773"/>
      <c r="P56" s="2793"/>
      <c r="Q56" s="2804"/>
      <c r="R56" s="2216"/>
      <c r="S56" s="2793"/>
      <c r="T56" s="2849"/>
      <c r="U56" s="2788"/>
      <c r="V56" s="2861"/>
      <c r="W56" s="2832"/>
      <c r="X56" s="2773"/>
      <c r="Y56" s="2845"/>
      <c r="Z56" s="2845"/>
      <c r="AA56" s="2842"/>
      <c r="AB56" s="2842"/>
      <c r="AC56" s="2822"/>
      <c r="AD56" s="2842"/>
      <c r="AE56" s="2842"/>
      <c r="AF56" s="1148"/>
      <c r="AG56" s="1148"/>
      <c r="AH56" s="1148"/>
      <c r="AI56" s="1148"/>
      <c r="AJ56" s="1148"/>
      <c r="AK56" s="1148"/>
      <c r="AL56" s="1148"/>
      <c r="AM56" s="1148"/>
      <c r="AN56" s="2845"/>
      <c r="AO56" s="2851"/>
      <c r="AP56" s="2851"/>
      <c r="AQ56" s="2838"/>
    </row>
    <row r="57" spans="1:43" ht="53.25" customHeight="1" x14ac:dyDescent="0.2">
      <c r="A57" s="2883"/>
      <c r="B57" s="2884"/>
      <c r="C57" s="2885"/>
      <c r="D57" s="2565"/>
      <c r="E57" s="2565"/>
      <c r="F57" s="2566"/>
      <c r="G57" s="2868"/>
      <c r="H57" s="2836"/>
      <c r="I57" s="2869"/>
      <c r="J57" s="2772">
        <v>49</v>
      </c>
      <c r="K57" s="2783" t="s">
        <v>1334</v>
      </c>
      <c r="L57" s="2783" t="s">
        <v>1335</v>
      </c>
      <c r="M57" s="2772">
        <v>1</v>
      </c>
      <c r="N57" s="907"/>
      <c r="O57" s="2773"/>
      <c r="P57" s="2793"/>
      <c r="Q57" s="2803">
        <f>(V57)/R51</f>
        <v>1.4888041924726061E-2</v>
      </c>
      <c r="R57" s="2216"/>
      <c r="S57" s="2793"/>
      <c r="T57" s="2849"/>
      <c r="U57" s="2787" t="s">
        <v>1336</v>
      </c>
      <c r="V57" s="2861">
        <v>5000000</v>
      </c>
      <c r="W57" s="2832"/>
      <c r="X57" s="2773"/>
      <c r="Y57" s="2845"/>
      <c r="Z57" s="2845"/>
      <c r="AA57" s="2842"/>
      <c r="AB57" s="2842"/>
      <c r="AC57" s="2822"/>
      <c r="AD57" s="2842"/>
      <c r="AE57" s="2842"/>
      <c r="AF57" s="1148"/>
      <c r="AG57" s="1148"/>
      <c r="AH57" s="1148"/>
      <c r="AI57" s="1148"/>
      <c r="AJ57" s="1148"/>
      <c r="AK57" s="1148"/>
      <c r="AL57" s="1148"/>
      <c r="AM57" s="1148"/>
      <c r="AN57" s="2845"/>
      <c r="AO57" s="2851"/>
      <c r="AP57" s="2851"/>
      <c r="AQ57" s="2838"/>
    </row>
    <row r="58" spans="1:43" ht="53.25" customHeight="1" x14ac:dyDescent="0.2">
      <c r="A58" s="2883"/>
      <c r="B58" s="2884"/>
      <c r="C58" s="2885"/>
      <c r="D58" s="2565"/>
      <c r="E58" s="2565"/>
      <c r="F58" s="2566"/>
      <c r="G58" s="2868"/>
      <c r="H58" s="2836"/>
      <c r="I58" s="2869"/>
      <c r="J58" s="2773"/>
      <c r="K58" s="2793"/>
      <c r="L58" s="2793"/>
      <c r="M58" s="2773"/>
      <c r="N58" s="907"/>
      <c r="O58" s="2773"/>
      <c r="P58" s="2793"/>
      <c r="Q58" s="2804"/>
      <c r="R58" s="2216"/>
      <c r="S58" s="2793"/>
      <c r="T58" s="2849"/>
      <c r="U58" s="2827"/>
      <c r="V58" s="2861"/>
      <c r="W58" s="2832"/>
      <c r="X58" s="2773"/>
      <c r="Y58" s="2845"/>
      <c r="Z58" s="2845"/>
      <c r="AA58" s="2842"/>
      <c r="AB58" s="2842"/>
      <c r="AC58" s="2822"/>
      <c r="AD58" s="2842"/>
      <c r="AE58" s="2842"/>
      <c r="AF58" s="1148"/>
      <c r="AG58" s="1148"/>
      <c r="AH58" s="1148"/>
      <c r="AI58" s="1148"/>
      <c r="AJ58" s="1148"/>
      <c r="AK58" s="1148"/>
      <c r="AL58" s="1148"/>
      <c r="AM58" s="1148"/>
      <c r="AN58" s="2845"/>
      <c r="AO58" s="2851"/>
      <c r="AP58" s="2851"/>
      <c r="AQ58" s="2838"/>
    </row>
    <row r="59" spans="1:43" ht="53.25" customHeight="1" x14ac:dyDescent="0.2">
      <c r="A59" s="2883"/>
      <c r="B59" s="2884"/>
      <c r="C59" s="2885"/>
      <c r="D59" s="2565"/>
      <c r="E59" s="2565"/>
      <c r="F59" s="2566"/>
      <c r="G59" s="2868"/>
      <c r="H59" s="2836"/>
      <c r="I59" s="2869"/>
      <c r="J59" s="2774"/>
      <c r="K59" s="2784"/>
      <c r="L59" s="2784"/>
      <c r="M59" s="2774"/>
      <c r="N59" s="908"/>
      <c r="O59" s="2774"/>
      <c r="P59" s="2784"/>
      <c r="Q59" s="2805"/>
      <c r="R59" s="2217"/>
      <c r="S59" s="2784"/>
      <c r="T59" s="2853"/>
      <c r="U59" s="2788"/>
      <c r="V59" s="2861"/>
      <c r="W59" s="2833"/>
      <c r="X59" s="2774"/>
      <c r="Y59" s="2862"/>
      <c r="Z59" s="2862"/>
      <c r="AA59" s="2863"/>
      <c r="AB59" s="2863"/>
      <c r="AC59" s="2786"/>
      <c r="AD59" s="2863"/>
      <c r="AE59" s="2863"/>
      <c r="AF59" s="1149"/>
      <c r="AG59" s="1149"/>
      <c r="AH59" s="1149"/>
      <c r="AI59" s="1149"/>
      <c r="AJ59" s="1149"/>
      <c r="AK59" s="1149"/>
      <c r="AL59" s="1149"/>
      <c r="AM59" s="1149"/>
      <c r="AN59" s="2862"/>
      <c r="AO59" s="2852"/>
      <c r="AP59" s="2852"/>
      <c r="AQ59" s="2860"/>
    </row>
    <row r="60" spans="1:43" ht="21" customHeight="1" x14ac:dyDescent="0.2">
      <c r="A60" s="2883"/>
      <c r="B60" s="2884"/>
      <c r="C60" s="2885"/>
      <c r="D60" s="1132">
        <v>3</v>
      </c>
      <c r="E60" s="250" t="s">
        <v>1337</v>
      </c>
      <c r="F60" s="250"/>
      <c r="G60" s="250"/>
      <c r="H60" s="250"/>
      <c r="I60" s="250"/>
      <c r="J60" s="140"/>
      <c r="K60" s="141"/>
      <c r="L60" s="141"/>
      <c r="M60" s="140"/>
      <c r="N60" s="142"/>
      <c r="O60" s="1133"/>
      <c r="P60" s="141"/>
      <c r="Q60" s="144"/>
      <c r="R60" s="1134"/>
      <c r="S60" s="141"/>
      <c r="T60" s="141"/>
      <c r="U60" s="141"/>
      <c r="V60" s="252"/>
      <c r="W60" s="147"/>
      <c r="X60" s="142"/>
      <c r="Y60" s="1136"/>
      <c r="Z60" s="1136"/>
      <c r="AA60" s="140"/>
      <c r="AB60" s="140"/>
      <c r="AC60" s="140"/>
      <c r="AD60" s="140"/>
      <c r="AE60" s="140"/>
      <c r="AF60" s="140"/>
      <c r="AG60" s="140"/>
      <c r="AH60" s="140"/>
      <c r="AI60" s="140"/>
      <c r="AJ60" s="140"/>
      <c r="AK60" s="140"/>
      <c r="AL60" s="140"/>
      <c r="AM60" s="140"/>
      <c r="AN60" s="1136"/>
      <c r="AO60" s="1153"/>
      <c r="AP60" s="1153"/>
      <c r="AQ60" s="1154"/>
    </row>
    <row r="61" spans="1:43" ht="24.75" customHeight="1" x14ac:dyDescent="0.2">
      <c r="A61" s="2883"/>
      <c r="B61" s="2884"/>
      <c r="C61" s="2885"/>
      <c r="D61" s="2702"/>
      <c r="E61" s="2703"/>
      <c r="F61" s="2704"/>
      <c r="G61" s="1140">
        <v>11</v>
      </c>
      <c r="H61" s="258" t="s">
        <v>1338</v>
      </c>
      <c r="I61" s="258"/>
      <c r="J61" s="152"/>
      <c r="K61" s="598"/>
      <c r="L61" s="598"/>
      <c r="M61" s="152"/>
      <c r="N61" s="599"/>
      <c r="O61" s="734"/>
      <c r="P61" s="598"/>
      <c r="Q61" s="600"/>
      <c r="R61" s="1141"/>
      <c r="S61" s="598"/>
      <c r="T61" s="598"/>
      <c r="U61" s="598"/>
      <c r="V61" s="1150"/>
      <c r="W61" s="672"/>
      <c r="X61" s="599"/>
      <c r="Y61" s="1143"/>
      <c r="Z61" s="1143"/>
      <c r="AA61" s="152"/>
      <c r="AB61" s="152"/>
      <c r="AC61" s="152"/>
      <c r="AD61" s="152"/>
      <c r="AE61" s="152"/>
      <c r="AF61" s="152"/>
      <c r="AG61" s="152"/>
      <c r="AH61" s="152"/>
      <c r="AI61" s="152"/>
      <c r="AJ61" s="152"/>
      <c r="AK61" s="152"/>
      <c r="AL61" s="152"/>
      <c r="AM61" s="152"/>
      <c r="AN61" s="1143"/>
      <c r="AO61" s="1151"/>
      <c r="AP61" s="1151"/>
      <c r="AQ61" s="1152"/>
    </row>
    <row r="62" spans="1:43" ht="44.25" customHeight="1" x14ac:dyDescent="0.2">
      <c r="A62" s="2883"/>
      <c r="B62" s="2884"/>
      <c r="C62" s="2885"/>
      <c r="D62" s="2705"/>
      <c r="E62" s="2706"/>
      <c r="F62" s="2707"/>
      <c r="G62" s="109"/>
      <c r="H62" s="109"/>
      <c r="I62" s="109"/>
      <c r="J62" s="2773">
        <v>50</v>
      </c>
      <c r="K62" s="2793" t="s">
        <v>1339</v>
      </c>
      <c r="L62" s="2793" t="s">
        <v>1340</v>
      </c>
      <c r="M62" s="2773">
        <v>5</v>
      </c>
      <c r="N62" s="2772" t="s">
        <v>1341</v>
      </c>
      <c r="O62" s="2772" t="s">
        <v>1342</v>
      </c>
      <c r="P62" s="2783" t="s">
        <v>1343</v>
      </c>
      <c r="Q62" s="2804">
        <f>(V62)/R62</f>
        <v>0.8</v>
      </c>
      <c r="R62" s="2824">
        <f>SUM(V62:V66)</f>
        <v>150000000</v>
      </c>
      <c r="S62" s="2783" t="s">
        <v>1344</v>
      </c>
      <c r="T62" s="2848" t="s">
        <v>1345</v>
      </c>
      <c r="U62" s="2787" t="s">
        <v>1346</v>
      </c>
      <c r="V62" s="2839">
        <v>120000000</v>
      </c>
      <c r="W62" s="2831">
        <v>20</v>
      </c>
      <c r="X62" s="2772" t="s">
        <v>1347</v>
      </c>
      <c r="Y62" s="2844">
        <v>193964</v>
      </c>
      <c r="Z62" s="2844">
        <v>129308</v>
      </c>
      <c r="AA62" s="2841"/>
      <c r="AB62" s="2841"/>
      <c r="AC62" s="2785">
        <v>323272</v>
      </c>
      <c r="AD62" s="2841"/>
      <c r="AE62" s="2841"/>
      <c r="AF62" s="1147"/>
      <c r="AG62" s="1147"/>
      <c r="AH62" s="1147"/>
      <c r="AI62" s="1147"/>
      <c r="AJ62" s="1147"/>
      <c r="AK62" s="1147"/>
      <c r="AL62" s="1147"/>
      <c r="AM62" s="1147"/>
      <c r="AN62" s="2844">
        <f>+Y62+Z62</f>
        <v>323272</v>
      </c>
      <c r="AO62" s="2850">
        <v>43109</v>
      </c>
      <c r="AP62" s="1155"/>
      <c r="AQ62" s="2837" t="s">
        <v>1273</v>
      </c>
    </row>
    <row r="63" spans="1:43" ht="25.5" customHeight="1" x14ac:dyDescent="0.2">
      <c r="A63" s="2883"/>
      <c r="B63" s="2884"/>
      <c r="C63" s="2885"/>
      <c r="D63" s="2705"/>
      <c r="E63" s="2706"/>
      <c r="F63" s="2707"/>
      <c r="G63" s="109"/>
      <c r="H63" s="109"/>
      <c r="I63" s="109"/>
      <c r="J63" s="2773"/>
      <c r="K63" s="2793"/>
      <c r="L63" s="2793"/>
      <c r="M63" s="2773"/>
      <c r="N63" s="2773"/>
      <c r="O63" s="2773"/>
      <c r="P63" s="2793"/>
      <c r="Q63" s="2804"/>
      <c r="R63" s="2825"/>
      <c r="S63" s="2793"/>
      <c r="T63" s="2849"/>
      <c r="U63" s="2827"/>
      <c r="V63" s="2839"/>
      <c r="W63" s="2832"/>
      <c r="X63" s="2773"/>
      <c r="Y63" s="2845"/>
      <c r="Z63" s="2845"/>
      <c r="AA63" s="2842"/>
      <c r="AB63" s="2842"/>
      <c r="AC63" s="2822"/>
      <c r="AD63" s="2842"/>
      <c r="AE63" s="2842"/>
      <c r="AF63" s="1148"/>
      <c r="AG63" s="1148"/>
      <c r="AH63" s="1148"/>
      <c r="AI63" s="1148"/>
      <c r="AJ63" s="1148"/>
      <c r="AK63" s="1148"/>
      <c r="AL63" s="1148"/>
      <c r="AM63" s="1148"/>
      <c r="AN63" s="2845"/>
      <c r="AO63" s="2851"/>
      <c r="AP63" s="1156"/>
      <c r="AQ63" s="2838"/>
    </row>
    <row r="64" spans="1:43" ht="15.75" customHeight="1" x14ac:dyDescent="0.2">
      <c r="A64" s="2883"/>
      <c r="B64" s="2884"/>
      <c r="C64" s="2885"/>
      <c r="D64" s="2705"/>
      <c r="E64" s="2706"/>
      <c r="F64" s="2707"/>
      <c r="G64" s="109"/>
      <c r="H64" s="109"/>
      <c r="I64" s="109"/>
      <c r="J64" s="2773"/>
      <c r="K64" s="2793"/>
      <c r="L64" s="2793"/>
      <c r="M64" s="2773"/>
      <c r="N64" s="2773"/>
      <c r="O64" s="2773"/>
      <c r="P64" s="2793"/>
      <c r="Q64" s="2804"/>
      <c r="R64" s="2825"/>
      <c r="S64" s="2793"/>
      <c r="T64" s="2849"/>
      <c r="U64" s="2827"/>
      <c r="V64" s="2839"/>
      <c r="W64" s="2832"/>
      <c r="X64" s="2773"/>
      <c r="Y64" s="2845"/>
      <c r="Z64" s="2845"/>
      <c r="AA64" s="2842"/>
      <c r="AB64" s="2842"/>
      <c r="AC64" s="2822"/>
      <c r="AD64" s="2842"/>
      <c r="AE64" s="2842"/>
      <c r="AF64" s="1148"/>
      <c r="AG64" s="1148"/>
      <c r="AH64" s="1148"/>
      <c r="AI64" s="1148"/>
      <c r="AJ64" s="1148"/>
      <c r="AK64" s="1148"/>
      <c r="AL64" s="1148"/>
      <c r="AM64" s="1148"/>
      <c r="AN64" s="2845"/>
      <c r="AO64" s="2851"/>
      <c r="AP64" s="1156">
        <v>43304</v>
      </c>
      <c r="AQ64" s="2838"/>
    </row>
    <row r="65" spans="1:43" ht="32.25" customHeight="1" x14ac:dyDescent="0.2">
      <c r="A65" s="2883"/>
      <c r="B65" s="2884"/>
      <c r="C65" s="2885"/>
      <c r="D65" s="2705"/>
      <c r="E65" s="2706"/>
      <c r="F65" s="2707"/>
      <c r="G65" s="109"/>
      <c r="H65" s="109"/>
      <c r="I65" s="109"/>
      <c r="J65" s="2772">
        <v>51</v>
      </c>
      <c r="K65" s="2783" t="s">
        <v>1348</v>
      </c>
      <c r="L65" s="2783" t="s">
        <v>1349</v>
      </c>
      <c r="M65" s="2772">
        <v>1</v>
      </c>
      <c r="N65" s="2773"/>
      <c r="O65" s="2773"/>
      <c r="P65" s="2793"/>
      <c r="Q65" s="2803">
        <f>(V65)/R62</f>
        <v>0.2</v>
      </c>
      <c r="R65" s="2825"/>
      <c r="S65" s="2793"/>
      <c r="T65" s="2849"/>
      <c r="U65" s="2787" t="s">
        <v>1350</v>
      </c>
      <c r="V65" s="2839">
        <v>30000000</v>
      </c>
      <c r="W65" s="2832"/>
      <c r="X65" s="2773"/>
      <c r="Y65" s="2845"/>
      <c r="Z65" s="2845"/>
      <c r="AA65" s="2842"/>
      <c r="AB65" s="2842"/>
      <c r="AC65" s="2822"/>
      <c r="AD65" s="2842"/>
      <c r="AE65" s="2842"/>
      <c r="AF65" s="1148"/>
      <c r="AG65" s="1148"/>
      <c r="AH65" s="1148"/>
      <c r="AI65" s="1148"/>
      <c r="AJ65" s="1148"/>
      <c r="AK65" s="1148"/>
      <c r="AL65" s="1148"/>
      <c r="AM65" s="1148"/>
      <c r="AN65" s="2845"/>
      <c r="AO65" s="2851"/>
      <c r="AP65" s="1156"/>
      <c r="AQ65" s="2838"/>
    </row>
    <row r="66" spans="1:43" ht="21" customHeight="1" x14ac:dyDescent="0.2">
      <c r="A66" s="2883"/>
      <c r="B66" s="2884"/>
      <c r="C66" s="2885"/>
      <c r="D66" s="2705"/>
      <c r="E66" s="2706"/>
      <c r="F66" s="2707"/>
      <c r="G66" s="109"/>
      <c r="H66" s="109"/>
      <c r="I66" s="109"/>
      <c r="J66" s="2773"/>
      <c r="K66" s="2793"/>
      <c r="L66" s="2793"/>
      <c r="M66" s="2773"/>
      <c r="N66" s="2774"/>
      <c r="O66" s="2774"/>
      <c r="P66" s="2784"/>
      <c r="Q66" s="2804"/>
      <c r="R66" s="2825"/>
      <c r="S66" s="2793"/>
      <c r="T66" s="2849"/>
      <c r="U66" s="2788"/>
      <c r="V66" s="2839"/>
      <c r="W66" s="2833"/>
      <c r="X66" s="2774"/>
      <c r="Y66" s="2862"/>
      <c r="Z66" s="2862"/>
      <c r="AA66" s="2863"/>
      <c r="AB66" s="2863"/>
      <c r="AC66" s="2786"/>
      <c r="AD66" s="2863"/>
      <c r="AE66" s="2863"/>
      <c r="AF66" s="1149"/>
      <c r="AG66" s="1149"/>
      <c r="AH66" s="1149"/>
      <c r="AI66" s="1149"/>
      <c r="AJ66" s="1149"/>
      <c r="AK66" s="1149"/>
      <c r="AL66" s="1149"/>
      <c r="AM66" s="1149"/>
      <c r="AN66" s="2862"/>
      <c r="AO66" s="2852"/>
      <c r="AP66" s="1157"/>
      <c r="AQ66" s="2860"/>
    </row>
    <row r="67" spans="1:43" ht="23.25" customHeight="1" x14ac:dyDescent="0.2">
      <c r="A67" s="2883"/>
      <c r="B67" s="2884"/>
      <c r="C67" s="2885"/>
      <c r="D67" s="2705"/>
      <c r="E67" s="2706"/>
      <c r="F67" s="2707"/>
      <c r="G67" s="1140">
        <v>12</v>
      </c>
      <c r="H67" s="258" t="s">
        <v>1351</v>
      </c>
      <c r="I67" s="258"/>
      <c r="J67" s="152"/>
      <c r="K67" s="598"/>
      <c r="L67" s="598"/>
      <c r="M67" s="152"/>
      <c r="N67" s="154"/>
      <c r="O67" s="734"/>
      <c r="P67" s="598"/>
      <c r="Q67" s="600"/>
      <c r="R67" s="1141"/>
      <c r="S67" s="598"/>
      <c r="T67" s="598"/>
      <c r="U67" s="598"/>
      <c r="V67" s="1150"/>
      <c r="W67" s="672"/>
      <c r="X67" s="599"/>
      <c r="Y67" s="1143"/>
      <c r="Z67" s="1143"/>
      <c r="AA67" s="152"/>
      <c r="AB67" s="152"/>
      <c r="AC67" s="152"/>
      <c r="AD67" s="152"/>
      <c r="AE67" s="152"/>
      <c r="AF67" s="152"/>
      <c r="AG67" s="152"/>
      <c r="AH67" s="152"/>
      <c r="AI67" s="152"/>
      <c r="AJ67" s="152"/>
      <c r="AK67" s="152"/>
      <c r="AL67" s="152"/>
      <c r="AM67" s="152"/>
      <c r="AN67" s="1143"/>
      <c r="AO67" s="1151"/>
      <c r="AP67" s="1151"/>
      <c r="AQ67" s="1152"/>
    </row>
    <row r="68" spans="1:43" ht="30.75" customHeight="1" x14ac:dyDescent="0.2">
      <c r="A68" s="2883"/>
      <c r="B68" s="2884"/>
      <c r="C68" s="2885"/>
      <c r="D68" s="2705"/>
      <c r="E68" s="2706"/>
      <c r="F68" s="2707"/>
      <c r="G68" s="2703"/>
      <c r="H68" s="2703"/>
      <c r="I68" s="2704"/>
      <c r="J68" s="2772">
        <v>52</v>
      </c>
      <c r="K68" s="2783" t="s">
        <v>1352</v>
      </c>
      <c r="L68" s="2783" t="s">
        <v>1353</v>
      </c>
      <c r="M68" s="2854">
        <v>3</v>
      </c>
      <c r="N68" s="1158"/>
      <c r="O68" s="2857" t="s">
        <v>1354</v>
      </c>
      <c r="P68" s="2783" t="s">
        <v>1355</v>
      </c>
      <c r="Q68" s="2803">
        <f>(V68+V70+V72+V74+V76+V78)/R68</f>
        <v>1</v>
      </c>
      <c r="R68" s="2215">
        <f>SUM(V68:V79)</f>
        <v>256640000</v>
      </c>
      <c r="S68" s="2783" t="s">
        <v>1356</v>
      </c>
      <c r="T68" s="2848" t="s">
        <v>1357</v>
      </c>
      <c r="U68" s="2787" t="s">
        <v>1358</v>
      </c>
      <c r="V68" s="2861">
        <f>25000000+19800000</f>
        <v>44800000</v>
      </c>
      <c r="W68" s="2831" t="s">
        <v>67</v>
      </c>
      <c r="X68" s="2772" t="s">
        <v>1272</v>
      </c>
      <c r="Y68" s="2844">
        <v>193964</v>
      </c>
      <c r="Z68" s="2844">
        <v>129308</v>
      </c>
      <c r="AA68" s="2841"/>
      <c r="AB68" s="2841"/>
      <c r="AC68" s="2785">
        <v>323272</v>
      </c>
      <c r="AD68" s="2841"/>
      <c r="AE68" s="2843"/>
      <c r="AF68" s="903"/>
      <c r="AG68" s="903"/>
      <c r="AH68" s="903"/>
      <c r="AI68" s="903"/>
      <c r="AJ68" s="903"/>
      <c r="AK68" s="903"/>
      <c r="AL68" s="903"/>
      <c r="AM68" s="903"/>
      <c r="AN68" s="2844">
        <f>+Y68+Z68</f>
        <v>323272</v>
      </c>
      <c r="AO68" s="2850">
        <v>43109</v>
      </c>
      <c r="AP68" s="2850">
        <v>43306</v>
      </c>
      <c r="AQ68" s="2837" t="s">
        <v>1273</v>
      </c>
    </row>
    <row r="69" spans="1:43" ht="38.25" customHeight="1" x14ac:dyDescent="0.2">
      <c r="A69" s="2883"/>
      <c r="B69" s="2884"/>
      <c r="C69" s="2885"/>
      <c r="D69" s="2705"/>
      <c r="E69" s="2706"/>
      <c r="F69" s="2707"/>
      <c r="G69" s="2706"/>
      <c r="H69" s="2706"/>
      <c r="I69" s="2707"/>
      <c r="J69" s="2773"/>
      <c r="K69" s="2793"/>
      <c r="L69" s="2793"/>
      <c r="M69" s="2855"/>
      <c r="N69" s="907"/>
      <c r="O69" s="2858"/>
      <c r="P69" s="2793"/>
      <c r="Q69" s="2804"/>
      <c r="R69" s="2216"/>
      <c r="S69" s="2793"/>
      <c r="T69" s="2849"/>
      <c r="U69" s="2788"/>
      <c r="V69" s="2861"/>
      <c r="W69" s="2832"/>
      <c r="X69" s="2773"/>
      <c r="Y69" s="2845"/>
      <c r="Z69" s="2845"/>
      <c r="AA69" s="2842"/>
      <c r="AB69" s="2842"/>
      <c r="AC69" s="2822"/>
      <c r="AD69" s="2842"/>
      <c r="AE69" s="2807"/>
      <c r="AF69" s="905"/>
      <c r="AG69" s="905"/>
      <c r="AH69" s="905"/>
      <c r="AI69" s="905"/>
      <c r="AJ69" s="905"/>
      <c r="AK69" s="905"/>
      <c r="AL69" s="905"/>
      <c r="AM69" s="905"/>
      <c r="AN69" s="2845"/>
      <c r="AO69" s="2851"/>
      <c r="AP69" s="2851"/>
      <c r="AQ69" s="2838"/>
    </row>
    <row r="70" spans="1:43" ht="29.25" customHeight="1" x14ac:dyDescent="0.2">
      <c r="A70" s="2883"/>
      <c r="B70" s="2884"/>
      <c r="C70" s="2885"/>
      <c r="D70" s="2705"/>
      <c r="E70" s="2706"/>
      <c r="F70" s="2707"/>
      <c r="G70" s="2706"/>
      <c r="H70" s="2706"/>
      <c r="I70" s="2707"/>
      <c r="J70" s="2773"/>
      <c r="K70" s="2793"/>
      <c r="L70" s="2793"/>
      <c r="M70" s="2855"/>
      <c r="N70" s="907"/>
      <c r="O70" s="2858"/>
      <c r="P70" s="2793"/>
      <c r="Q70" s="2804"/>
      <c r="R70" s="2216"/>
      <c r="S70" s="2793"/>
      <c r="T70" s="2849"/>
      <c r="U70" s="2787" t="s">
        <v>1359</v>
      </c>
      <c r="V70" s="2861">
        <f>25000000+13200000</f>
        <v>38200000</v>
      </c>
      <c r="W70" s="2832"/>
      <c r="X70" s="2773"/>
      <c r="Y70" s="2845"/>
      <c r="Z70" s="2845"/>
      <c r="AA70" s="2842"/>
      <c r="AB70" s="2842"/>
      <c r="AC70" s="2822"/>
      <c r="AD70" s="2842"/>
      <c r="AE70" s="2807"/>
      <c r="AF70" s="905"/>
      <c r="AG70" s="905"/>
      <c r="AH70" s="905"/>
      <c r="AI70" s="905"/>
      <c r="AJ70" s="905"/>
      <c r="AK70" s="905"/>
      <c r="AL70" s="905"/>
      <c r="AM70" s="905"/>
      <c r="AN70" s="2845"/>
      <c r="AO70" s="2851"/>
      <c r="AP70" s="2851"/>
      <c r="AQ70" s="2838"/>
    </row>
    <row r="71" spans="1:43" ht="33" customHeight="1" x14ac:dyDescent="0.2">
      <c r="A71" s="2883"/>
      <c r="B71" s="2884"/>
      <c r="C71" s="2885"/>
      <c r="D71" s="2705"/>
      <c r="E71" s="2706"/>
      <c r="F71" s="2707"/>
      <c r="G71" s="2706"/>
      <c r="H71" s="2706"/>
      <c r="I71" s="2707"/>
      <c r="J71" s="2773"/>
      <c r="K71" s="2793"/>
      <c r="L71" s="2793"/>
      <c r="M71" s="2855"/>
      <c r="N71" s="907"/>
      <c r="O71" s="2858"/>
      <c r="P71" s="2793"/>
      <c r="Q71" s="2804"/>
      <c r="R71" s="2216"/>
      <c r="S71" s="2793"/>
      <c r="T71" s="2849"/>
      <c r="U71" s="2788"/>
      <c r="V71" s="2861"/>
      <c r="W71" s="2832"/>
      <c r="X71" s="2773"/>
      <c r="Y71" s="2845"/>
      <c r="Z71" s="2845"/>
      <c r="AA71" s="2842"/>
      <c r="AB71" s="2842"/>
      <c r="AC71" s="2822"/>
      <c r="AD71" s="2842"/>
      <c r="AE71" s="2807"/>
      <c r="AF71" s="905"/>
      <c r="AG71" s="905"/>
      <c r="AH71" s="905"/>
      <c r="AI71" s="905"/>
      <c r="AJ71" s="905"/>
      <c r="AK71" s="905"/>
      <c r="AL71" s="905"/>
      <c r="AM71" s="905"/>
      <c r="AN71" s="2845"/>
      <c r="AO71" s="2851"/>
      <c r="AP71" s="2851"/>
      <c r="AQ71" s="2838"/>
    </row>
    <row r="72" spans="1:43" ht="33" customHeight="1" x14ac:dyDescent="0.2">
      <c r="A72" s="2883"/>
      <c r="B72" s="2884"/>
      <c r="C72" s="2885"/>
      <c r="D72" s="2705"/>
      <c r="E72" s="2706"/>
      <c r="F72" s="2707"/>
      <c r="G72" s="2706"/>
      <c r="H72" s="2706"/>
      <c r="I72" s="2707"/>
      <c r="J72" s="2773"/>
      <c r="K72" s="2793"/>
      <c r="L72" s="2793"/>
      <c r="M72" s="2855"/>
      <c r="N72" s="907" t="s">
        <v>1360</v>
      </c>
      <c r="O72" s="2858"/>
      <c r="P72" s="2793"/>
      <c r="Q72" s="2804"/>
      <c r="R72" s="2216"/>
      <c r="S72" s="2793"/>
      <c r="T72" s="2849"/>
      <c r="U72" s="2787" t="s">
        <v>1361</v>
      </c>
      <c r="V72" s="2861">
        <f>30000000+29440000</f>
        <v>59440000</v>
      </c>
      <c r="W72" s="2832"/>
      <c r="X72" s="2773"/>
      <c r="Y72" s="2845"/>
      <c r="Z72" s="2845"/>
      <c r="AA72" s="2842"/>
      <c r="AB72" s="2842"/>
      <c r="AC72" s="2822"/>
      <c r="AD72" s="2842"/>
      <c r="AE72" s="2807"/>
      <c r="AF72" s="905"/>
      <c r="AG72" s="905"/>
      <c r="AH72" s="905"/>
      <c r="AI72" s="905"/>
      <c r="AJ72" s="905"/>
      <c r="AK72" s="905"/>
      <c r="AL72" s="905"/>
      <c r="AM72" s="905"/>
      <c r="AN72" s="2845"/>
      <c r="AO72" s="2851"/>
      <c r="AP72" s="2851"/>
      <c r="AQ72" s="2838"/>
    </row>
    <row r="73" spans="1:43" ht="21" customHeight="1" x14ac:dyDescent="0.2">
      <c r="A73" s="2883"/>
      <c r="B73" s="2884"/>
      <c r="C73" s="2885"/>
      <c r="D73" s="2705"/>
      <c r="E73" s="2706"/>
      <c r="F73" s="2707"/>
      <c r="G73" s="2706"/>
      <c r="H73" s="2706"/>
      <c r="I73" s="2707"/>
      <c r="J73" s="2773"/>
      <c r="K73" s="2793"/>
      <c r="L73" s="2793"/>
      <c r="M73" s="2855"/>
      <c r="N73" s="907"/>
      <c r="O73" s="2858"/>
      <c r="P73" s="2793"/>
      <c r="Q73" s="2804"/>
      <c r="R73" s="2216"/>
      <c r="S73" s="2793"/>
      <c r="T73" s="2849"/>
      <c r="U73" s="2788"/>
      <c r="V73" s="2861"/>
      <c r="W73" s="2832"/>
      <c r="X73" s="2773"/>
      <c r="Y73" s="2845"/>
      <c r="Z73" s="2845"/>
      <c r="AA73" s="2842"/>
      <c r="AB73" s="2842"/>
      <c r="AC73" s="2822"/>
      <c r="AD73" s="2842"/>
      <c r="AE73" s="2807"/>
      <c r="AF73" s="905"/>
      <c r="AG73" s="905"/>
      <c r="AH73" s="905"/>
      <c r="AI73" s="905"/>
      <c r="AJ73" s="905"/>
      <c r="AK73" s="905"/>
      <c r="AL73" s="905"/>
      <c r="AM73" s="905"/>
      <c r="AN73" s="2845"/>
      <c r="AO73" s="2851"/>
      <c r="AP73" s="2851"/>
      <c r="AQ73" s="2838"/>
    </row>
    <row r="74" spans="1:43" ht="53.25" customHeight="1" x14ac:dyDescent="0.2">
      <c r="A74" s="2883"/>
      <c r="B74" s="2884"/>
      <c r="C74" s="2885"/>
      <c r="D74" s="2705"/>
      <c r="E74" s="2706"/>
      <c r="F74" s="2707"/>
      <c r="G74" s="2706"/>
      <c r="H74" s="2706"/>
      <c r="I74" s="2707"/>
      <c r="J74" s="2773"/>
      <c r="K74" s="2793"/>
      <c r="L74" s="2793"/>
      <c r="M74" s="2855"/>
      <c r="N74" s="907" t="s">
        <v>1362</v>
      </c>
      <c r="O74" s="2858"/>
      <c r="P74" s="2793"/>
      <c r="Q74" s="2804"/>
      <c r="R74" s="2216"/>
      <c r="S74" s="2793"/>
      <c r="T74" s="2849"/>
      <c r="U74" s="2787" t="s">
        <v>1363</v>
      </c>
      <c r="V74" s="2861">
        <f>12000000+11000000</f>
        <v>23000000</v>
      </c>
      <c r="W74" s="2832"/>
      <c r="X74" s="2773"/>
      <c r="Y74" s="2845"/>
      <c r="Z74" s="2845"/>
      <c r="AA74" s="2842"/>
      <c r="AB74" s="2842"/>
      <c r="AC74" s="2822"/>
      <c r="AD74" s="2842"/>
      <c r="AE74" s="2807"/>
      <c r="AF74" s="905"/>
      <c r="AG74" s="905"/>
      <c r="AH74" s="905"/>
      <c r="AI74" s="905"/>
      <c r="AJ74" s="905"/>
      <c r="AK74" s="905"/>
      <c r="AL74" s="905"/>
      <c r="AM74" s="905"/>
      <c r="AN74" s="2845"/>
      <c r="AO74" s="2851"/>
      <c r="AP74" s="2851"/>
      <c r="AQ74" s="2838"/>
    </row>
    <row r="75" spans="1:43" ht="18" customHeight="1" x14ac:dyDescent="0.2">
      <c r="A75" s="2883"/>
      <c r="B75" s="2884"/>
      <c r="C75" s="2885"/>
      <c r="D75" s="2705"/>
      <c r="E75" s="2706"/>
      <c r="F75" s="2707"/>
      <c r="G75" s="2706"/>
      <c r="H75" s="2706"/>
      <c r="I75" s="2707"/>
      <c r="J75" s="2773"/>
      <c r="K75" s="2793"/>
      <c r="L75" s="2793"/>
      <c r="M75" s="2855"/>
      <c r="N75" s="907"/>
      <c r="O75" s="2858"/>
      <c r="P75" s="2793"/>
      <c r="Q75" s="2804"/>
      <c r="R75" s="2216"/>
      <c r="S75" s="2793"/>
      <c r="T75" s="2849"/>
      <c r="U75" s="2788"/>
      <c r="V75" s="2861"/>
      <c r="W75" s="2832"/>
      <c r="X75" s="2773"/>
      <c r="Y75" s="2845"/>
      <c r="Z75" s="2845"/>
      <c r="AA75" s="2842"/>
      <c r="AB75" s="2842"/>
      <c r="AC75" s="2822"/>
      <c r="AD75" s="2842"/>
      <c r="AE75" s="2807"/>
      <c r="AF75" s="905"/>
      <c r="AG75" s="905"/>
      <c r="AH75" s="905"/>
      <c r="AI75" s="905"/>
      <c r="AJ75" s="905"/>
      <c r="AK75" s="905"/>
      <c r="AL75" s="905"/>
      <c r="AM75" s="905"/>
      <c r="AN75" s="2845"/>
      <c r="AO75" s="2851"/>
      <c r="AP75" s="2851"/>
      <c r="AQ75" s="2838"/>
    </row>
    <row r="76" spans="1:43" ht="53.25" customHeight="1" x14ac:dyDescent="0.2">
      <c r="A76" s="2883"/>
      <c r="B76" s="2884"/>
      <c r="C76" s="2885"/>
      <c r="D76" s="2705"/>
      <c r="E76" s="2706"/>
      <c r="F76" s="2707"/>
      <c r="G76" s="2706"/>
      <c r="H76" s="2706"/>
      <c r="I76" s="2707"/>
      <c r="J76" s="2773"/>
      <c r="K76" s="2793"/>
      <c r="L76" s="2793"/>
      <c r="M76" s="2855"/>
      <c r="N76" s="907"/>
      <c r="O76" s="2858"/>
      <c r="P76" s="2793"/>
      <c r="Q76" s="2804"/>
      <c r="R76" s="2216"/>
      <c r="S76" s="2793"/>
      <c r="T76" s="2849"/>
      <c r="U76" s="2787" t="s">
        <v>1364</v>
      </c>
      <c r="V76" s="2861">
        <f>5500000+50000000</f>
        <v>55500000</v>
      </c>
      <c r="W76" s="2832"/>
      <c r="X76" s="2773"/>
      <c r="Y76" s="2845"/>
      <c r="Z76" s="2845"/>
      <c r="AA76" s="2842"/>
      <c r="AB76" s="2842"/>
      <c r="AC76" s="2822"/>
      <c r="AD76" s="2842"/>
      <c r="AE76" s="2807"/>
      <c r="AF76" s="905"/>
      <c r="AG76" s="905"/>
      <c r="AH76" s="905"/>
      <c r="AI76" s="905"/>
      <c r="AJ76" s="905"/>
      <c r="AK76" s="905"/>
      <c r="AL76" s="905"/>
      <c r="AM76" s="905"/>
      <c r="AN76" s="2845"/>
      <c r="AO76" s="2851"/>
      <c r="AP76" s="2851"/>
      <c r="AQ76" s="2838"/>
    </row>
    <row r="77" spans="1:43" ht="19.5" customHeight="1" x14ac:dyDescent="0.2">
      <c r="A77" s="2883"/>
      <c r="B77" s="2884"/>
      <c r="C77" s="2885"/>
      <c r="D77" s="2705"/>
      <c r="E77" s="2706"/>
      <c r="F77" s="2707"/>
      <c r="G77" s="2706"/>
      <c r="H77" s="2706"/>
      <c r="I77" s="2707"/>
      <c r="J77" s="2773"/>
      <c r="K77" s="2793"/>
      <c r="L77" s="2793"/>
      <c r="M77" s="2855"/>
      <c r="N77" s="907"/>
      <c r="O77" s="2858"/>
      <c r="P77" s="2793"/>
      <c r="Q77" s="2804"/>
      <c r="R77" s="2216"/>
      <c r="S77" s="2793"/>
      <c r="T77" s="2849"/>
      <c r="U77" s="2788"/>
      <c r="V77" s="2861"/>
      <c r="W77" s="2832"/>
      <c r="X77" s="2773"/>
      <c r="Y77" s="2845"/>
      <c r="Z77" s="2845"/>
      <c r="AA77" s="2842"/>
      <c r="AB77" s="2842"/>
      <c r="AC77" s="2822"/>
      <c r="AD77" s="2842"/>
      <c r="AE77" s="2807"/>
      <c r="AF77" s="905"/>
      <c r="AG77" s="905"/>
      <c r="AH77" s="905"/>
      <c r="AI77" s="905"/>
      <c r="AJ77" s="905"/>
      <c r="AK77" s="905"/>
      <c r="AL77" s="905"/>
      <c r="AM77" s="905"/>
      <c r="AN77" s="2845"/>
      <c r="AO77" s="2851"/>
      <c r="AP77" s="2851"/>
      <c r="AQ77" s="2838"/>
    </row>
    <row r="78" spans="1:43" ht="48.75" customHeight="1" x14ac:dyDescent="0.2">
      <c r="A78" s="2883"/>
      <c r="B78" s="2884"/>
      <c r="C78" s="2885"/>
      <c r="D78" s="2705"/>
      <c r="E78" s="2706"/>
      <c r="F78" s="2707"/>
      <c r="G78" s="2706"/>
      <c r="H78" s="2706"/>
      <c r="I78" s="2707"/>
      <c r="J78" s="2773"/>
      <c r="K78" s="2793"/>
      <c r="L78" s="2793"/>
      <c r="M78" s="2855"/>
      <c r="N78" s="907"/>
      <c r="O78" s="2858"/>
      <c r="P78" s="2793"/>
      <c r="Q78" s="2804"/>
      <c r="R78" s="2216"/>
      <c r="S78" s="2793"/>
      <c r="T78" s="2849"/>
      <c r="U78" s="2787" t="s">
        <v>1365</v>
      </c>
      <c r="V78" s="2861">
        <f>22500000+13200000</f>
        <v>35700000</v>
      </c>
      <c r="W78" s="2832"/>
      <c r="X78" s="2773"/>
      <c r="Y78" s="2845"/>
      <c r="Z78" s="2845"/>
      <c r="AA78" s="2842"/>
      <c r="AB78" s="2842"/>
      <c r="AC78" s="2822"/>
      <c r="AD78" s="2842"/>
      <c r="AE78" s="2807"/>
      <c r="AF78" s="905"/>
      <c r="AG78" s="905"/>
      <c r="AH78" s="905"/>
      <c r="AI78" s="905"/>
      <c r="AJ78" s="905"/>
      <c r="AK78" s="905"/>
      <c r="AL78" s="905"/>
      <c r="AM78" s="905"/>
      <c r="AN78" s="2845"/>
      <c r="AO78" s="2851"/>
      <c r="AP78" s="2851"/>
      <c r="AQ78" s="2838"/>
    </row>
    <row r="79" spans="1:43" ht="53.25" customHeight="1" x14ac:dyDescent="0.2">
      <c r="A79" s="2883"/>
      <c r="B79" s="2884"/>
      <c r="C79" s="2885"/>
      <c r="D79" s="2705"/>
      <c r="E79" s="2706"/>
      <c r="F79" s="2707"/>
      <c r="G79" s="2709"/>
      <c r="H79" s="2709"/>
      <c r="I79" s="2710"/>
      <c r="J79" s="2774"/>
      <c r="K79" s="2784"/>
      <c r="L79" s="2784"/>
      <c r="M79" s="2856"/>
      <c r="N79" s="908"/>
      <c r="O79" s="2859"/>
      <c r="P79" s="2784"/>
      <c r="Q79" s="2805"/>
      <c r="R79" s="2217"/>
      <c r="S79" s="2784"/>
      <c r="T79" s="2853"/>
      <c r="U79" s="2788"/>
      <c r="V79" s="2861"/>
      <c r="W79" s="2833"/>
      <c r="X79" s="2774"/>
      <c r="Y79" s="2862"/>
      <c r="Z79" s="2862"/>
      <c r="AA79" s="2863"/>
      <c r="AB79" s="2863"/>
      <c r="AC79" s="2786"/>
      <c r="AD79" s="2863"/>
      <c r="AE79" s="2864"/>
      <c r="AF79" s="904"/>
      <c r="AG79" s="904"/>
      <c r="AH79" s="904"/>
      <c r="AI79" s="904"/>
      <c r="AJ79" s="904"/>
      <c r="AK79" s="904"/>
      <c r="AL79" s="904"/>
      <c r="AM79" s="904"/>
      <c r="AN79" s="2862"/>
      <c r="AO79" s="2852"/>
      <c r="AP79" s="2852"/>
      <c r="AQ79" s="2860"/>
    </row>
    <row r="80" spans="1:43" ht="18" customHeight="1" x14ac:dyDescent="0.2">
      <c r="A80" s="2883"/>
      <c r="B80" s="2884"/>
      <c r="C80" s="2885"/>
      <c r="D80" s="2705"/>
      <c r="E80" s="2706"/>
      <c r="F80" s="2707"/>
      <c r="G80" s="1140">
        <v>13</v>
      </c>
      <c r="H80" s="258" t="s">
        <v>1366</v>
      </c>
      <c r="I80" s="258"/>
      <c r="J80" s="671"/>
      <c r="K80" s="1034"/>
      <c r="L80" s="1034"/>
      <c r="M80" s="671"/>
      <c r="N80" s="661"/>
      <c r="O80" s="1159"/>
      <c r="P80" s="1034"/>
      <c r="Q80" s="1160"/>
      <c r="R80" s="1161"/>
      <c r="S80" s="1034"/>
      <c r="T80" s="1034"/>
      <c r="U80" s="1034"/>
      <c r="V80" s="1150"/>
      <c r="W80" s="622"/>
      <c r="X80" s="623"/>
      <c r="Y80" s="1162"/>
      <c r="Z80" s="1162"/>
      <c r="AA80" s="671"/>
      <c r="AB80" s="671"/>
      <c r="AC80" s="671"/>
      <c r="AD80" s="671"/>
      <c r="AE80" s="671"/>
      <c r="AF80" s="671"/>
      <c r="AG80" s="671"/>
      <c r="AH80" s="671"/>
      <c r="AI80" s="671"/>
      <c r="AJ80" s="671"/>
      <c r="AK80" s="671"/>
      <c r="AL80" s="671"/>
      <c r="AM80" s="671"/>
      <c r="AN80" s="1162"/>
      <c r="AO80" s="1163"/>
      <c r="AP80" s="1163"/>
      <c r="AQ80" s="1164"/>
    </row>
    <row r="81" spans="1:43" ht="60.75" customHeight="1" x14ac:dyDescent="0.2">
      <c r="A81" s="2883"/>
      <c r="B81" s="2884"/>
      <c r="C81" s="2885"/>
      <c r="D81" s="2705"/>
      <c r="E81" s="2706"/>
      <c r="F81" s="2707"/>
      <c r="G81" s="2702"/>
      <c r="H81" s="2703"/>
      <c r="I81" s="2704"/>
      <c r="J81" s="2773">
        <v>53</v>
      </c>
      <c r="K81" s="2783" t="s">
        <v>1367</v>
      </c>
      <c r="L81" s="2783" t="s">
        <v>1368</v>
      </c>
      <c r="M81" s="2772">
        <v>1</v>
      </c>
      <c r="N81" s="2772" t="s">
        <v>1369</v>
      </c>
      <c r="O81" s="2772" t="s">
        <v>1370</v>
      </c>
      <c r="P81" s="2783" t="s">
        <v>1371</v>
      </c>
      <c r="Q81" s="2803">
        <f>(V81+V83)/R81</f>
        <v>1</v>
      </c>
      <c r="R81" s="2824">
        <f>SUM(V81:V84)</f>
        <v>960094912</v>
      </c>
      <c r="S81" s="2783" t="s">
        <v>1372</v>
      </c>
      <c r="T81" s="2848" t="s">
        <v>1373</v>
      </c>
      <c r="U81" s="2787" t="s">
        <v>1374</v>
      </c>
      <c r="V81" s="2839">
        <f>612000000+198094912</f>
        <v>810094912</v>
      </c>
      <c r="W81" s="2843" t="s">
        <v>1375</v>
      </c>
      <c r="X81" s="2772" t="s">
        <v>1376</v>
      </c>
      <c r="Y81" s="2846">
        <v>193964</v>
      </c>
      <c r="Z81" s="2844">
        <v>129308</v>
      </c>
      <c r="AA81" s="2841"/>
      <c r="AB81" s="2841"/>
      <c r="AC81" s="2785">
        <v>323272</v>
      </c>
      <c r="AD81" s="2841"/>
      <c r="AE81" s="2843"/>
      <c r="AF81" s="903"/>
      <c r="AG81" s="903"/>
      <c r="AH81" s="903"/>
      <c r="AI81" s="903"/>
      <c r="AJ81" s="903"/>
      <c r="AK81" s="903"/>
      <c r="AL81" s="903"/>
      <c r="AM81" s="903"/>
      <c r="AN81" s="2844">
        <f>+Y81+Z81</f>
        <v>323272</v>
      </c>
      <c r="AO81" s="2850">
        <v>43109</v>
      </c>
      <c r="AP81" s="2850">
        <v>43121</v>
      </c>
      <c r="AQ81" s="2837" t="s">
        <v>1273</v>
      </c>
    </row>
    <row r="82" spans="1:43" ht="37.5" customHeight="1" x14ac:dyDescent="0.2">
      <c r="A82" s="2883"/>
      <c r="B82" s="2884"/>
      <c r="C82" s="2885"/>
      <c r="D82" s="2705"/>
      <c r="E82" s="2706"/>
      <c r="F82" s="2707"/>
      <c r="G82" s="2705"/>
      <c r="H82" s="2706"/>
      <c r="I82" s="2707"/>
      <c r="J82" s="2773"/>
      <c r="K82" s="2793"/>
      <c r="L82" s="2793"/>
      <c r="M82" s="2773"/>
      <c r="N82" s="2773"/>
      <c r="O82" s="2773"/>
      <c r="P82" s="2793"/>
      <c r="Q82" s="2804"/>
      <c r="R82" s="2825"/>
      <c r="S82" s="2793"/>
      <c r="T82" s="2849"/>
      <c r="U82" s="2788"/>
      <c r="V82" s="2839"/>
      <c r="W82" s="2807"/>
      <c r="X82" s="2773"/>
      <c r="Y82" s="2847"/>
      <c r="Z82" s="2845"/>
      <c r="AA82" s="2842"/>
      <c r="AB82" s="2842"/>
      <c r="AC82" s="2822"/>
      <c r="AD82" s="2842"/>
      <c r="AE82" s="2807"/>
      <c r="AF82" s="905"/>
      <c r="AG82" s="905"/>
      <c r="AH82" s="905"/>
      <c r="AI82" s="905"/>
      <c r="AJ82" s="905"/>
      <c r="AK82" s="905"/>
      <c r="AL82" s="905"/>
      <c r="AM82" s="905"/>
      <c r="AN82" s="2845"/>
      <c r="AO82" s="2851"/>
      <c r="AP82" s="2851"/>
      <c r="AQ82" s="2838"/>
    </row>
    <row r="83" spans="1:43" ht="64.5" customHeight="1" x14ac:dyDescent="0.2">
      <c r="A83" s="2883"/>
      <c r="B83" s="2884"/>
      <c r="C83" s="2885"/>
      <c r="D83" s="2705"/>
      <c r="E83" s="2706"/>
      <c r="F83" s="2707"/>
      <c r="G83" s="2705"/>
      <c r="H83" s="2706"/>
      <c r="I83" s="2707"/>
      <c r="J83" s="2773"/>
      <c r="K83" s="2793"/>
      <c r="L83" s="2793"/>
      <c r="M83" s="2773"/>
      <c r="N83" s="2773"/>
      <c r="O83" s="2773"/>
      <c r="P83" s="2793"/>
      <c r="Q83" s="2804"/>
      <c r="R83" s="2825"/>
      <c r="S83" s="2793"/>
      <c r="T83" s="2849"/>
      <c r="U83" s="2787" t="s">
        <v>1377</v>
      </c>
      <c r="V83" s="2839">
        <v>150000000</v>
      </c>
      <c r="W83" s="2807"/>
      <c r="X83" s="2773"/>
      <c r="Y83" s="2847"/>
      <c r="Z83" s="2845"/>
      <c r="AA83" s="2842"/>
      <c r="AB83" s="2842"/>
      <c r="AC83" s="2822"/>
      <c r="AD83" s="2842"/>
      <c r="AE83" s="2807"/>
      <c r="AF83" s="905"/>
      <c r="AG83" s="905"/>
      <c r="AH83" s="905"/>
      <c r="AI83" s="905"/>
      <c r="AJ83" s="905"/>
      <c r="AK83" s="905"/>
      <c r="AL83" s="905"/>
      <c r="AM83" s="905"/>
      <c r="AN83" s="2845"/>
      <c r="AO83" s="2851"/>
      <c r="AP83" s="2851"/>
      <c r="AQ83" s="2838"/>
    </row>
    <row r="84" spans="1:43" ht="39.75" customHeight="1" thickBot="1" x14ac:dyDescent="0.25">
      <c r="A84" s="2883"/>
      <c r="B84" s="2884"/>
      <c r="C84" s="2885"/>
      <c r="D84" s="2705"/>
      <c r="E84" s="2706"/>
      <c r="F84" s="2707"/>
      <c r="G84" s="2705"/>
      <c r="H84" s="2706"/>
      <c r="I84" s="2707"/>
      <c r="J84" s="2773"/>
      <c r="K84" s="2793"/>
      <c r="L84" s="2793"/>
      <c r="M84" s="2773"/>
      <c r="N84" s="2773"/>
      <c r="O84" s="2773"/>
      <c r="P84" s="2793"/>
      <c r="Q84" s="2804"/>
      <c r="R84" s="2825"/>
      <c r="S84" s="2793"/>
      <c r="T84" s="2849"/>
      <c r="U84" s="2827"/>
      <c r="V84" s="2839"/>
      <c r="W84" s="2807"/>
      <c r="X84" s="2773"/>
      <c r="Y84" s="2847"/>
      <c r="Z84" s="2845"/>
      <c r="AA84" s="2842"/>
      <c r="AB84" s="2842"/>
      <c r="AC84" s="2822"/>
      <c r="AD84" s="2842"/>
      <c r="AE84" s="2807"/>
      <c r="AF84" s="905"/>
      <c r="AG84" s="905"/>
      <c r="AH84" s="905"/>
      <c r="AI84" s="905"/>
      <c r="AJ84" s="905"/>
      <c r="AK84" s="905"/>
      <c r="AL84" s="905"/>
      <c r="AM84" s="905"/>
      <c r="AN84" s="2845"/>
      <c r="AO84" s="2851"/>
      <c r="AP84" s="2851"/>
      <c r="AQ84" s="2838"/>
    </row>
    <row r="85" spans="1:43" ht="21.75" customHeight="1" thickBot="1" x14ac:dyDescent="0.25">
      <c r="A85" s="1165"/>
      <c r="B85" s="679"/>
      <c r="C85" s="679"/>
      <c r="D85" s="679"/>
      <c r="E85" s="679"/>
      <c r="F85" s="679"/>
      <c r="G85" s="679"/>
      <c r="H85" s="679"/>
      <c r="I85" s="679"/>
      <c r="J85" s="679"/>
      <c r="K85" s="192"/>
      <c r="L85" s="807"/>
      <c r="M85" s="1166"/>
      <c r="N85" s="1166"/>
      <c r="O85" s="1167"/>
      <c r="P85" s="1168" t="s">
        <v>221</v>
      </c>
      <c r="Q85" s="1169"/>
      <c r="R85" s="1170">
        <f>R81+R68+R62+R51+R32+R22+R12</f>
        <v>2303094912</v>
      </c>
      <c r="S85" s="810"/>
      <c r="T85" s="192"/>
      <c r="U85" s="811"/>
      <c r="V85" s="1171">
        <f>SUM(V12:V84)</f>
        <v>2303094912</v>
      </c>
      <c r="W85" s="191"/>
      <c r="X85" s="813"/>
      <c r="Y85" s="1172"/>
      <c r="Z85" s="1172"/>
      <c r="AA85" s="679"/>
      <c r="AB85" s="679"/>
      <c r="AC85" s="679"/>
      <c r="AD85" s="679"/>
      <c r="AE85" s="679"/>
      <c r="AF85" s="679"/>
      <c r="AG85" s="679"/>
      <c r="AH85" s="679"/>
      <c r="AI85" s="679"/>
      <c r="AJ85" s="679"/>
      <c r="AK85" s="679"/>
      <c r="AL85" s="679"/>
      <c r="AM85" s="679"/>
      <c r="AN85" s="1172"/>
      <c r="AO85" s="1173"/>
      <c r="AP85" s="1173"/>
      <c r="AQ85" s="189"/>
    </row>
    <row r="86" spans="1:43" ht="11.25" customHeight="1" x14ac:dyDescent="0.2">
      <c r="V86" s="1101"/>
    </row>
    <row r="91" spans="1:43" ht="22.5" customHeight="1" x14ac:dyDescent="0.2">
      <c r="D91" s="1177"/>
      <c r="E91" s="1177"/>
      <c r="F91" s="1177"/>
      <c r="G91" s="1177"/>
      <c r="H91" s="1177"/>
      <c r="I91" s="1177"/>
      <c r="J91" s="1177"/>
    </row>
    <row r="92" spans="1:43" ht="22.5" customHeight="1" x14ac:dyDescent="0.25">
      <c r="D92" s="2840" t="s">
        <v>1378</v>
      </c>
      <c r="E92" s="2840"/>
      <c r="F92" s="2840"/>
      <c r="G92" s="2840"/>
      <c r="H92" s="2840"/>
      <c r="I92" s="2840"/>
      <c r="J92" s="2840"/>
    </row>
    <row r="93" spans="1:43" ht="22.5" customHeight="1" x14ac:dyDescent="0.25">
      <c r="D93" s="308" t="s">
        <v>222</v>
      </c>
      <c r="E93" s="308"/>
      <c r="F93" s="308"/>
    </row>
    <row r="94" spans="1:43" ht="22.5" customHeight="1" x14ac:dyDescent="0.2"/>
    <row r="95" spans="1:43" ht="22.5" customHeight="1" x14ac:dyDescent="0.2"/>
  </sheetData>
  <sheetProtection password="CBEB" sheet="1" objects="1" scenarios="1"/>
  <mergeCells count="307">
    <mergeCell ref="L7:L8"/>
    <mergeCell ref="M7:M8"/>
    <mergeCell ref="N7:N8"/>
    <mergeCell ref="O7:O8"/>
    <mergeCell ref="A1:AP4"/>
    <mergeCell ref="A5:M6"/>
    <mergeCell ref="N5:AQ5"/>
    <mergeCell ref="Y6:AM6"/>
    <mergeCell ref="A7:A8"/>
    <mergeCell ref="B7:C8"/>
    <mergeCell ref="D7:D8"/>
    <mergeCell ref="E7:F8"/>
    <mergeCell ref="G7:G8"/>
    <mergeCell ref="H7:I8"/>
    <mergeCell ref="AK7:AM7"/>
    <mergeCell ref="AN7:AN8"/>
    <mergeCell ref="AO7:AO8"/>
    <mergeCell ref="AP7:AP8"/>
    <mergeCell ref="AQ7:AQ8"/>
    <mergeCell ref="AA7:AD7"/>
    <mergeCell ref="AE7:AJ7"/>
    <mergeCell ref="A10:C84"/>
    <mergeCell ref="D11:F59"/>
    <mergeCell ref="G12:I30"/>
    <mergeCell ref="J12:J15"/>
    <mergeCell ref="K12:K15"/>
    <mergeCell ref="V7:V8"/>
    <mergeCell ref="W7:W8"/>
    <mergeCell ref="X7:X8"/>
    <mergeCell ref="Y7:Z7"/>
    <mergeCell ref="P7:P8"/>
    <mergeCell ref="Q7:Q8"/>
    <mergeCell ref="R7:R8"/>
    <mergeCell ref="S7:S8"/>
    <mergeCell ref="T7:T8"/>
    <mergeCell ref="U7:U8"/>
    <mergeCell ref="J7:J8"/>
    <mergeCell ref="K7:K8"/>
    <mergeCell ref="W12:W21"/>
    <mergeCell ref="U14:U15"/>
    <mergeCell ref="V14:V15"/>
    <mergeCell ref="U16:U17"/>
    <mergeCell ref="V16:V17"/>
    <mergeCell ref="L12:L15"/>
    <mergeCell ref="M12:M15"/>
    <mergeCell ref="Q12:Q15"/>
    <mergeCell ref="AD12:AD21"/>
    <mergeCell ref="AE12:AE21"/>
    <mergeCell ref="AN12:AN21"/>
    <mergeCell ref="AO12:AO21"/>
    <mergeCell ref="AP12:AP21"/>
    <mergeCell ref="Q16:Q21"/>
    <mergeCell ref="R12:R21"/>
    <mergeCell ref="S12:S21"/>
    <mergeCell ref="T12:T21"/>
    <mergeCell ref="J16:J21"/>
    <mergeCell ref="K16:K21"/>
    <mergeCell ref="L16:L21"/>
    <mergeCell ref="M16:M21"/>
    <mergeCell ref="N16:N21"/>
    <mergeCell ref="K28:K30"/>
    <mergeCell ref="L28:L30"/>
    <mergeCell ref="M28:M30"/>
    <mergeCell ref="AQ12:AQ21"/>
    <mergeCell ref="X12:X21"/>
    <mergeCell ref="Y12:Y21"/>
    <mergeCell ref="Z12:Z21"/>
    <mergeCell ref="AA12:AA21"/>
    <mergeCell ref="AB12:AB21"/>
    <mergeCell ref="AC12:AC21"/>
    <mergeCell ref="U18:U19"/>
    <mergeCell ref="V18:V19"/>
    <mergeCell ref="U20:U21"/>
    <mergeCell ref="V20:V21"/>
    <mergeCell ref="U12:U13"/>
    <mergeCell ref="V12:V13"/>
    <mergeCell ref="N12:N15"/>
    <mergeCell ref="O12:O21"/>
    <mergeCell ref="P12:P21"/>
    <mergeCell ref="S22:S30"/>
    <mergeCell ref="T22:T24"/>
    <mergeCell ref="U22:U24"/>
    <mergeCell ref="V22:V24"/>
    <mergeCell ref="Q28:Q30"/>
    <mergeCell ref="U28:U30"/>
    <mergeCell ref="V28:V30"/>
    <mergeCell ref="J22:J24"/>
    <mergeCell ref="K22:K24"/>
    <mergeCell ref="L22:L24"/>
    <mergeCell ref="M22:M24"/>
    <mergeCell ref="O22:O30"/>
    <mergeCell ref="P22:P30"/>
    <mergeCell ref="AQ22:AQ30"/>
    <mergeCell ref="J25:J27"/>
    <mergeCell ref="K25:K27"/>
    <mergeCell ref="L25:L27"/>
    <mergeCell ref="M25:M27"/>
    <mergeCell ref="Q25:Q27"/>
    <mergeCell ref="T25:T30"/>
    <mergeCell ref="U25:U27"/>
    <mergeCell ref="V25:V27"/>
    <mergeCell ref="J28:J30"/>
    <mergeCell ref="AC22:AC30"/>
    <mergeCell ref="AD22:AD30"/>
    <mergeCell ref="AE22:AE30"/>
    <mergeCell ref="AN22:AN30"/>
    <mergeCell ref="AO22:AO30"/>
    <mergeCell ref="AP22:AP30"/>
    <mergeCell ref="W22:W30"/>
    <mergeCell ref="X22:X30"/>
    <mergeCell ref="Y22:Y30"/>
    <mergeCell ref="Z22:Z30"/>
    <mergeCell ref="AA22:AA30"/>
    <mergeCell ref="AB22:AB30"/>
    <mergeCell ref="Q22:Q24"/>
    <mergeCell ref="R22:R30"/>
    <mergeCell ref="G32:I49"/>
    <mergeCell ref="J32:J37"/>
    <mergeCell ref="K32:K37"/>
    <mergeCell ref="L32:L37"/>
    <mergeCell ref="M32:M37"/>
    <mergeCell ref="O32:O49"/>
    <mergeCell ref="N39:N40"/>
    <mergeCell ref="J42:J45"/>
    <mergeCell ref="K42:K45"/>
    <mergeCell ref="L42:L45"/>
    <mergeCell ref="M42:M45"/>
    <mergeCell ref="AP32:AP49"/>
    <mergeCell ref="AQ32:AQ49"/>
    <mergeCell ref="U35:U37"/>
    <mergeCell ref="V35:V37"/>
    <mergeCell ref="J38:J41"/>
    <mergeCell ref="K38:K41"/>
    <mergeCell ref="L38:L41"/>
    <mergeCell ref="M38:M41"/>
    <mergeCell ref="Q38:Q41"/>
    <mergeCell ref="T38:T49"/>
    <mergeCell ref="AB32:AB49"/>
    <mergeCell ref="AC32:AC49"/>
    <mergeCell ref="AD32:AD49"/>
    <mergeCell ref="AE32:AE49"/>
    <mergeCell ref="AN32:AN49"/>
    <mergeCell ref="AO32:AO49"/>
    <mergeCell ref="V32:V34"/>
    <mergeCell ref="W32:W49"/>
    <mergeCell ref="X32:X49"/>
    <mergeCell ref="Y32:Y49"/>
    <mergeCell ref="Z32:Z49"/>
    <mergeCell ref="AA32:AA49"/>
    <mergeCell ref="V38:V41"/>
    <mergeCell ref="V46:V49"/>
    <mergeCell ref="Q42:Q45"/>
    <mergeCell ref="U42:U45"/>
    <mergeCell ref="V42:V45"/>
    <mergeCell ref="J46:J49"/>
    <mergeCell ref="K46:K49"/>
    <mergeCell ref="L46:L49"/>
    <mergeCell ref="M46:M49"/>
    <mergeCell ref="Q46:Q49"/>
    <mergeCell ref="U46:U49"/>
    <mergeCell ref="P32:P49"/>
    <mergeCell ref="Q32:Q37"/>
    <mergeCell ref="R32:R49"/>
    <mergeCell ref="S32:S49"/>
    <mergeCell ref="T32:T37"/>
    <mergeCell ref="U32:U34"/>
    <mergeCell ref="U38:U41"/>
    <mergeCell ref="Q51:Q53"/>
    <mergeCell ref="R51:R59"/>
    <mergeCell ref="S51:S59"/>
    <mergeCell ref="T51:T53"/>
    <mergeCell ref="U51:U53"/>
    <mergeCell ref="Q57:Q59"/>
    <mergeCell ref="U57:U59"/>
    <mergeCell ref="G51:I59"/>
    <mergeCell ref="J51:J53"/>
    <mergeCell ref="K51:K53"/>
    <mergeCell ref="L51:L53"/>
    <mergeCell ref="M51:M53"/>
    <mergeCell ref="O51:O59"/>
    <mergeCell ref="J57:J59"/>
    <mergeCell ref="K57:K59"/>
    <mergeCell ref="L57:L59"/>
    <mergeCell ref="M57:M59"/>
    <mergeCell ref="AP51:AP59"/>
    <mergeCell ref="AQ51:AQ59"/>
    <mergeCell ref="J54:J56"/>
    <mergeCell ref="K54:K56"/>
    <mergeCell ref="L54:L56"/>
    <mergeCell ref="M54:M56"/>
    <mergeCell ref="Q54:Q56"/>
    <mergeCell ref="T54:T59"/>
    <mergeCell ref="U54:U56"/>
    <mergeCell ref="V54:V56"/>
    <mergeCell ref="AB51:AB59"/>
    <mergeCell ref="AC51:AC59"/>
    <mergeCell ref="AD51:AD59"/>
    <mergeCell ref="AE51:AE59"/>
    <mergeCell ref="AN51:AN59"/>
    <mergeCell ref="AO51:AO59"/>
    <mergeCell ref="V51:V53"/>
    <mergeCell ref="W51:W59"/>
    <mergeCell ref="X51:X59"/>
    <mergeCell ref="Y51:Y59"/>
    <mergeCell ref="Z51:Z59"/>
    <mergeCell ref="AA51:AA59"/>
    <mergeCell ref="V57:V59"/>
    <mergeCell ref="P51:P59"/>
    <mergeCell ref="R62:R66"/>
    <mergeCell ref="S62:S66"/>
    <mergeCell ref="T62:T66"/>
    <mergeCell ref="D61:F84"/>
    <mergeCell ref="J62:J64"/>
    <mergeCell ref="K62:K64"/>
    <mergeCell ref="L62:L64"/>
    <mergeCell ref="M62:M64"/>
    <mergeCell ref="N62:N66"/>
    <mergeCell ref="G68:I79"/>
    <mergeCell ref="J68:J79"/>
    <mergeCell ref="K68:K79"/>
    <mergeCell ref="L68:L79"/>
    <mergeCell ref="G81:I84"/>
    <mergeCell ref="J81:J84"/>
    <mergeCell ref="K81:K84"/>
    <mergeCell ref="L81:L84"/>
    <mergeCell ref="M81:M84"/>
    <mergeCell ref="N81:N84"/>
    <mergeCell ref="AO62:AO66"/>
    <mergeCell ref="AQ62:AQ66"/>
    <mergeCell ref="J65:J66"/>
    <mergeCell ref="K65:K66"/>
    <mergeCell ref="L65:L66"/>
    <mergeCell ref="M65:M66"/>
    <mergeCell ref="Q65:Q66"/>
    <mergeCell ref="U65:U66"/>
    <mergeCell ref="V65:V66"/>
    <mergeCell ref="AA62:AA66"/>
    <mergeCell ref="AB62:AB66"/>
    <mergeCell ref="AC62:AC66"/>
    <mergeCell ref="AD62:AD66"/>
    <mergeCell ref="AE62:AE66"/>
    <mergeCell ref="AN62:AN66"/>
    <mergeCell ref="U62:U64"/>
    <mergeCell ref="V62:V64"/>
    <mergeCell ref="W62:W66"/>
    <mergeCell ref="X62:X66"/>
    <mergeCell ref="Y62:Y66"/>
    <mergeCell ref="Z62:Z66"/>
    <mergeCell ref="O62:O66"/>
    <mergeCell ref="P62:P66"/>
    <mergeCell ref="Q62:Q64"/>
    <mergeCell ref="AQ68:AQ79"/>
    <mergeCell ref="U70:U71"/>
    <mergeCell ref="V70:V71"/>
    <mergeCell ref="U72:U73"/>
    <mergeCell ref="V72:V73"/>
    <mergeCell ref="U74:U75"/>
    <mergeCell ref="V74:V75"/>
    <mergeCell ref="Z68:Z79"/>
    <mergeCell ref="AA68:AA79"/>
    <mergeCell ref="AB68:AB79"/>
    <mergeCell ref="AC68:AC79"/>
    <mergeCell ref="AD68:AD79"/>
    <mergeCell ref="AE68:AE79"/>
    <mergeCell ref="U68:U69"/>
    <mergeCell ref="V68:V69"/>
    <mergeCell ref="W68:W79"/>
    <mergeCell ref="X68:X79"/>
    <mergeCell ref="Y68:Y79"/>
    <mergeCell ref="U76:U77"/>
    <mergeCell ref="V76:V77"/>
    <mergeCell ref="U78:U79"/>
    <mergeCell ref="V78:V79"/>
    <mergeCell ref="AN68:AN79"/>
    <mergeCell ref="AO68:AO79"/>
    <mergeCell ref="AP68:AP79"/>
    <mergeCell ref="T68:T79"/>
    <mergeCell ref="M68:M79"/>
    <mergeCell ref="O68:O79"/>
    <mergeCell ref="P68:P79"/>
    <mergeCell ref="Q68:Q79"/>
    <mergeCell ref="R68:R79"/>
    <mergeCell ref="S68:S79"/>
    <mergeCell ref="AO81:AO84"/>
    <mergeCell ref="AP81:AP84"/>
    <mergeCell ref="AQ81:AQ84"/>
    <mergeCell ref="U83:U84"/>
    <mergeCell ref="V83:V84"/>
    <mergeCell ref="D92:J92"/>
    <mergeCell ref="AA81:AA84"/>
    <mergeCell ref="AB81:AB84"/>
    <mergeCell ref="AC81:AC84"/>
    <mergeCell ref="AD81:AD84"/>
    <mergeCell ref="AE81:AE84"/>
    <mergeCell ref="AN81:AN84"/>
    <mergeCell ref="U81:U82"/>
    <mergeCell ref="V81:V82"/>
    <mergeCell ref="W81:W84"/>
    <mergeCell ref="X81:X84"/>
    <mergeCell ref="Y81:Y84"/>
    <mergeCell ref="Z81:Z84"/>
    <mergeCell ref="O81:O84"/>
    <mergeCell ref="P81:P84"/>
    <mergeCell ref="Q81:Q84"/>
    <mergeCell ref="R81:R84"/>
    <mergeCell ref="S81:S84"/>
    <mergeCell ref="T81:T8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Q79"/>
  <sheetViews>
    <sheetView showGridLines="0" topLeftCell="G1" zoomScale="50" zoomScaleNormal="50" workbookViewId="0">
      <selection activeCell="N26" sqref="N26:N31"/>
    </sheetView>
  </sheetViews>
  <sheetFormatPr baseColWidth="10" defaultColWidth="11.42578125" defaultRowHeight="15" x14ac:dyDescent="0.2"/>
  <cols>
    <col min="1" max="1" width="14.85546875" style="110" customWidth="1"/>
    <col min="2" max="2" width="5.28515625" style="110" customWidth="1"/>
    <col min="3" max="3" width="16.5703125" style="110" customWidth="1"/>
    <col min="4" max="4" width="15.28515625" style="110" customWidth="1"/>
    <col min="5" max="5" width="10.28515625" style="110" customWidth="1"/>
    <col min="6" max="6" width="9.85546875" style="110" customWidth="1"/>
    <col min="7" max="7" width="14" style="110" customWidth="1"/>
    <col min="8" max="8" width="6.140625" style="110" customWidth="1"/>
    <col min="9" max="9" width="17.28515625" style="110" customWidth="1"/>
    <col min="10" max="10" width="16.140625" style="110" customWidth="1"/>
    <col min="11" max="11" width="37.85546875" style="393" customWidth="1"/>
    <col min="12" max="12" width="28.42578125" style="393" customWidth="1"/>
    <col min="13" max="13" width="24.85546875" style="593" customWidth="1"/>
    <col min="14" max="14" width="41.140625" style="2044" customWidth="1"/>
    <col min="15" max="15" width="37" style="110" customWidth="1"/>
    <col min="16" max="16" width="30.7109375" style="393" customWidth="1"/>
    <col min="17" max="17" width="20.85546875" style="110" customWidth="1"/>
    <col min="18" max="18" width="30.140625" style="110" customWidth="1"/>
    <col min="19" max="19" width="27.42578125" style="393" customWidth="1"/>
    <col min="20" max="20" width="31.7109375" style="393" customWidth="1"/>
    <col min="21" max="21" width="45.140625" style="393" customWidth="1"/>
    <col min="22" max="22" width="27.7109375" style="207" bestFit="1" customWidth="1"/>
    <col min="23" max="23" width="14.42578125" style="110" customWidth="1"/>
    <col min="24" max="24" width="31.42578125" style="110" customWidth="1"/>
    <col min="25" max="39" width="11.42578125" style="110"/>
    <col min="40" max="40" width="16.7109375" style="110" customWidth="1"/>
    <col min="41" max="41" width="15.28515625" style="110" customWidth="1"/>
    <col min="42" max="42" width="23.85546875" style="110" customWidth="1"/>
    <col min="43" max="43" width="27.28515625" style="110" customWidth="1"/>
    <col min="44" max="16384" width="11.42578125" style="110"/>
  </cols>
  <sheetData>
    <row r="1" spans="1:43" ht="15.75" x14ac:dyDescent="0.2">
      <c r="A1" s="2323" t="s">
        <v>524</v>
      </c>
      <c r="B1" s="2324"/>
      <c r="C1" s="2324"/>
      <c r="D1" s="2324"/>
      <c r="E1" s="2324"/>
      <c r="F1" s="2324"/>
      <c r="G1" s="2324"/>
      <c r="H1" s="2324"/>
      <c r="I1" s="2324"/>
      <c r="J1" s="2324"/>
      <c r="K1" s="2324"/>
      <c r="L1" s="2324"/>
      <c r="M1" s="2324"/>
      <c r="N1" s="2324"/>
      <c r="O1" s="2324"/>
      <c r="P1" s="2324"/>
      <c r="Q1" s="2324"/>
      <c r="R1" s="2324"/>
      <c r="S1" s="2324"/>
      <c r="T1" s="2324"/>
      <c r="U1" s="2324"/>
      <c r="V1" s="2324"/>
      <c r="W1" s="2324"/>
      <c r="X1" s="2324"/>
      <c r="Y1" s="2324"/>
      <c r="Z1" s="2324"/>
      <c r="AA1" s="2324"/>
      <c r="AB1" s="2324"/>
      <c r="AC1" s="2324"/>
      <c r="AD1" s="2324"/>
      <c r="AE1" s="2324"/>
      <c r="AF1" s="2324"/>
      <c r="AG1" s="2324"/>
      <c r="AH1" s="2324"/>
      <c r="AI1" s="2324"/>
      <c r="AJ1" s="2324"/>
      <c r="AK1" s="2324"/>
      <c r="AL1" s="2324"/>
      <c r="AM1" s="2324"/>
      <c r="AN1" s="2324"/>
      <c r="AO1" s="2324"/>
      <c r="AP1" s="2325"/>
      <c r="AQ1" s="588" t="s">
        <v>134</v>
      </c>
    </row>
    <row r="2" spans="1:43" ht="15.75" x14ac:dyDescent="0.2">
      <c r="A2" s="2326"/>
      <c r="B2" s="2252"/>
      <c r="C2" s="2252"/>
      <c r="D2" s="2252"/>
      <c r="E2" s="2252"/>
      <c r="F2" s="2252"/>
      <c r="G2" s="2252"/>
      <c r="H2" s="2252"/>
      <c r="I2" s="2252"/>
      <c r="J2" s="2252"/>
      <c r="K2" s="2252"/>
      <c r="L2" s="2252"/>
      <c r="M2" s="2252"/>
      <c r="N2" s="2252"/>
      <c r="O2" s="2252"/>
      <c r="P2" s="2252"/>
      <c r="Q2" s="2252"/>
      <c r="R2" s="2252"/>
      <c r="S2" s="2252"/>
      <c r="T2" s="2252"/>
      <c r="U2" s="2252"/>
      <c r="V2" s="2252"/>
      <c r="W2" s="2252"/>
      <c r="X2" s="2252"/>
      <c r="Y2" s="2252"/>
      <c r="Z2" s="2252"/>
      <c r="AA2" s="2252"/>
      <c r="AB2" s="2252"/>
      <c r="AC2" s="2252"/>
      <c r="AD2" s="2252"/>
      <c r="AE2" s="2252"/>
      <c r="AF2" s="2252"/>
      <c r="AG2" s="2252"/>
      <c r="AH2" s="2252"/>
      <c r="AI2" s="2252"/>
      <c r="AJ2" s="2252"/>
      <c r="AK2" s="2252"/>
      <c r="AL2" s="2252"/>
      <c r="AM2" s="2252"/>
      <c r="AN2" s="2252"/>
      <c r="AO2" s="2252"/>
      <c r="AP2" s="2253"/>
      <c r="AQ2" s="589" t="s">
        <v>135</v>
      </c>
    </row>
    <row r="3" spans="1:43" ht="15.75" x14ac:dyDescent="0.25">
      <c r="A3" s="2326"/>
      <c r="B3" s="2252"/>
      <c r="C3" s="2252"/>
      <c r="D3" s="2252"/>
      <c r="E3" s="2252"/>
      <c r="F3" s="2252"/>
      <c r="G3" s="2252"/>
      <c r="H3" s="2252"/>
      <c r="I3" s="2252"/>
      <c r="J3" s="2252"/>
      <c r="K3" s="2252"/>
      <c r="L3" s="2252"/>
      <c r="M3" s="2252"/>
      <c r="N3" s="2252"/>
      <c r="O3" s="2252"/>
      <c r="P3" s="2252"/>
      <c r="Q3" s="2252"/>
      <c r="R3" s="2252"/>
      <c r="S3" s="2252"/>
      <c r="T3" s="2252"/>
      <c r="U3" s="2252"/>
      <c r="V3" s="2252"/>
      <c r="W3" s="2252"/>
      <c r="X3" s="2252"/>
      <c r="Y3" s="2252"/>
      <c r="Z3" s="2252"/>
      <c r="AA3" s="2252"/>
      <c r="AB3" s="2252"/>
      <c r="AC3" s="2252"/>
      <c r="AD3" s="2252"/>
      <c r="AE3" s="2252"/>
      <c r="AF3" s="2252"/>
      <c r="AG3" s="2252"/>
      <c r="AH3" s="2252"/>
      <c r="AI3" s="2252"/>
      <c r="AJ3" s="2252"/>
      <c r="AK3" s="2252"/>
      <c r="AL3" s="2252"/>
      <c r="AM3" s="2252"/>
      <c r="AN3" s="2252"/>
      <c r="AO3" s="2252"/>
      <c r="AP3" s="2253"/>
      <c r="AQ3" s="590" t="s">
        <v>136</v>
      </c>
    </row>
    <row r="4" spans="1:43" ht="15.75" x14ac:dyDescent="0.2">
      <c r="A4" s="2327"/>
      <c r="B4" s="2254"/>
      <c r="C4" s="2254"/>
      <c r="D4" s="2254"/>
      <c r="E4" s="2254"/>
      <c r="F4" s="2254"/>
      <c r="G4" s="2254"/>
      <c r="H4" s="2254"/>
      <c r="I4" s="2254"/>
      <c r="J4" s="2254"/>
      <c r="K4" s="2254"/>
      <c r="L4" s="2254"/>
      <c r="M4" s="2254"/>
      <c r="N4" s="2254"/>
      <c r="O4" s="2254"/>
      <c r="P4" s="2254"/>
      <c r="Q4" s="2254"/>
      <c r="R4" s="2254"/>
      <c r="S4" s="2254"/>
      <c r="T4" s="2254"/>
      <c r="U4" s="2254"/>
      <c r="V4" s="2254"/>
      <c r="W4" s="2254"/>
      <c r="X4" s="2254"/>
      <c r="Y4" s="2254"/>
      <c r="Z4" s="2254"/>
      <c r="AA4" s="2254"/>
      <c r="AB4" s="2254"/>
      <c r="AC4" s="2254"/>
      <c r="AD4" s="2254"/>
      <c r="AE4" s="2254"/>
      <c r="AF4" s="2254"/>
      <c r="AG4" s="2254"/>
      <c r="AH4" s="2254"/>
      <c r="AI4" s="2254"/>
      <c r="AJ4" s="2254"/>
      <c r="AK4" s="2254"/>
      <c r="AL4" s="2254"/>
      <c r="AM4" s="2254"/>
      <c r="AN4" s="2254"/>
      <c r="AO4" s="2254"/>
      <c r="AP4" s="2255"/>
      <c r="AQ4" s="591" t="s">
        <v>1</v>
      </c>
    </row>
    <row r="5" spans="1:43" ht="15.75" x14ac:dyDescent="0.2">
      <c r="A5" s="2328" t="s">
        <v>2</v>
      </c>
      <c r="B5" s="2329"/>
      <c r="C5" s="2329"/>
      <c r="D5" s="2329"/>
      <c r="E5" s="2329"/>
      <c r="F5" s="2329"/>
      <c r="G5" s="2329"/>
      <c r="H5" s="2329"/>
      <c r="I5" s="2329"/>
      <c r="J5" s="2329"/>
      <c r="K5" s="2329"/>
      <c r="L5" s="2329"/>
      <c r="M5" s="2329"/>
      <c r="N5" s="2258" t="s">
        <v>3</v>
      </c>
      <c r="O5" s="2258"/>
      <c r="P5" s="2258"/>
      <c r="Q5" s="2258"/>
      <c r="R5" s="2258"/>
      <c r="S5" s="2258"/>
      <c r="T5" s="2258"/>
      <c r="U5" s="2258"/>
      <c r="V5" s="2258"/>
      <c r="W5" s="2258"/>
      <c r="X5" s="2258"/>
      <c r="Y5" s="2258"/>
      <c r="Z5" s="2258"/>
      <c r="AA5" s="2258"/>
      <c r="AB5" s="2258"/>
      <c r="AC5" s="2258"/>
      <c r="AD5" s="2258"/>
      <c r="AE5" s="2258"/>
      <c r="AF5" s="2258"/>
      <c r="AG5" s="2258"/>
      <c r="AH5" s="2258"/>
      <c r="AI5" s="2258"/>
      <c r="AJ5" s="2258"/>
      <c r="AK5" s="2258"/>
      <c r="AL5" s="2258"/>
      <c r="AM5" s="2258"/>
      <c r="AN5" s="2258"/>
      <c r="AO5" s="2258"/>
      <c r="AP5" s="2258"/>
      <c r="AQ5" s="2332"/>
    </row>
    <row r="6" spans="1:43" ht="15.75" x14ac:dyDescent="0.2">
      <c r="A6" s="2330"/>
      <c r="B6" s="2331"/>
      <c r="C6" s="2331"/>
      <c r="D6" s="2331"/>
      <c r="E6" s="2331"/>
      <c r="F6" s="2331"/>
      <c r="G6" s="2331"/>
      <c r="H6" s="2331"/>
      <c r="I6" s="2331"/>
      <c r="J6" s="2331"/>
      <c r="K6" s="2331"/>
      <c r="L6" s="2331"/>
      <c r="M6" s="2331"/>
      <c r="N6" s="2043"/>
      <c r="O6" s="120"/>
      <c r="P6" s="116"/>
      <c r="Q6" s="120"/>
      <c r="R6" s="120"/>
      <c r="S6" s="116"/>
      <c r="T6" s="116"/>
      <c r="U6" s="116"/>
      <c r="V6" s="118"/>
      <c r="W6" s="120"/>
      <c r="X6" s="120"/>
      <c r="Y6" s="2333" t="s">
        <v>4</v>
      </c>
      <c r="Z6" s="2331"/>
      <c r="AA6" s="2331"/>
      <c r="AB6" s="2331"/>
      <c r="AC6" s="2331"/>
      <c r="AD6" s="2331"/>
      <c r="AE6" s="2331"/>
      <c r="AF6" s="2331"/>
      <c r="AG6" s="2331"/>
      <c r="AH6" s="2331"/>
      <c r="AI6" s="2331"/>
      <c r="AJ6" s="2331"/>
      <c r="AK6" s="2331"/>
      <c r="AL6" s="2331"/>
      <c r="AM6" s="2334"/>
      <c r="AN6" s="120"/>
      <c r="AO6" s="120"/>
      <c r="AP6" s="120"/>
      <c r="AQ6" s="121"/>
    </row>
    <row r="7" spans="1:43" ht="30" customHeight="1" x14ac:dyDescent="0.2">
      <c r="A7" s="2546" t="s">
        <v>5</v>
      </c>
      <c r="B7" s="2575" t="s">
        <v>6</v>
      </c>
      <c r="C7" s="2575"/>
      <c r="D7" s="2545" t="s">
        <v>5</v>
      </c>
      <c r="E7" s="2545" t="s">
        <v>7</v>
      </c>
      <c r="F7" s="2545"/>
      <c r="G7" s="2545" t="s">
        <v>5</v>
      </c>
      <c r="H7" s="2545" t="s">
        <v>8</v>
      </c>
      <c r="I7" s="2545"/>
      <c r="J7" s="2238" t="s">
        <v>5</v>
      </c>
      <c r="K7" s="2545" t="s">
        <v>9</v>
      </c>
      <c r="L7" s="2545" t="s">
        <v>10</v>
      </c>
      <c r="M7" s="2238" t="s">
        <v>11</v>
      </c>
      <c r="N7" s="2545" t="s">
        <v>12</v>
      </c>
      <c r="O7" s="2545" t="s">
        <v>13</v>
      </c>
      <c r="P7" s="2545" t="s">
        <v>3</v>
      </c>
      <c r="Q7" s="2576" t="s">
        <v>14</v>
      </c>
      <c r="R7" s="2577" t="s">
        <v>15</v>
      </c>
      <c r="S7" s="2896" t="s">
        <v>16</v>
      </c>
      <c r="T7" s="2896" t="s">
        <v>17</v>
      </c>
      <c r="U7" s="2896" t="s">
        <v>18</v>
      </c>
      <c r="V7" s="122" t="s">
        <v>15</v>
      </c>
      <c r="W7" s="2262" t="s">
        <v>5</v>
      </c>
      <c r="X7" s="2545" t="s">
        <v>19</v>
      </c>
      <c r="Y7" s="2889" t="s">
        <v>20</v>
      </c>
      <c r="Z7" s="2889"/>
      <c r="AA7" s="2243" t="s">
        <v>21</v>
      </c>
      <c r="AB7" s="2243"/>
      <c r="AC7" s="2243"/>
      <c r="AD7" s="2243"/>
      <c r="AE7" s="2244" t="s">
        <v>22</v>
      </c>
      <c r="AF7" s="2245"/>
      <c r="AG7" s="2245"/>
      <c r="AH7" s="2245"/>
      <c r="AI7" s="2245"/>
      <c r="AJ7" s="2245"/>
      <c r="AK7" s="2242" t="s">
        <v>23</v>
      </c>
      <c r="AL7" s="2243"/>
      <c r="AM7" s="2243"/>
      <c r="AN7" s="2337" t="s">
        <v>24</v>
      </c>
      <c r="AO7" s="2894" t="s">
        <v>25</v>
      </c>
      <c r="AP7" s="2894" t="s">
        <v>26</v>
      </c>
      <c r="AQ7" s="2548" t="s">
        <v>27</v>
      </c>
    </row>
    <row r="8" spans="1:43" s="593" customFormat="1" ht="164.25" customHeight="1" x14ac:dyDescent="0.25">
      <c r="A8" s="2546"/>
      <c r="B8" s="2575"/>
      <c r="C8" s="2575"/>
      <c r="D8" s="2545"/>
      <c r="E8" s="2545"/>
      <c r="F8" s="2545"/>
      <c r="G8" s="2545"/>
      <c r="H8" s="2545"/>
      <c r="I8" s="2545"/>
      <c r="J8" s="2239"/>
      <c r="K8" s="2545"/>
      <c r="L8" s="2545"/>
      <c r="M8" s="2239"/>
      <c r="N8" s="2545"/>
      <c r="O8" s="2545"/>
      <c r="P8" s="2545"/>
      <c r="Q8" s="2576"/>
      <c r="R8" s="2577"/>
      <c r="S8" s="2896"/>
      <c r="T8" s="2896"/>
      <c r="U8" s="2896"/>
      <c r="V8" s="2029" t="s">
        <v>42</v>
      </c>
      <c r="W8" s="2263"/>
      <c r="X8" s="2545"/>
      <c r="Y8" s="124" t="s">
        <v>28</v>
      </c>
      <c r="Z8" s="125" t="s">
        <v>29</v>
      </c>
      <c r="AA8" s="124" t="s">
        <v>30</v>
      </c>
      <c r="AB8" s="124" t="s">
        <v>31</v>
      </c>
      <c r="AC8" s="124" t="s">
        <v>525</v>
      </c>
      <c r="AD8" s="124" t="s">
        <v>225</v>
      </c>
      <c r="AE8" s="124" t="s">
        <v>33</v>
      </c>
      <c r="AF8" s="124" t="s">
        <v>34</v>
      </c>
      <c r="AG8" s="124" t="s">
        <v>35</v>
      </c>
      <c r="AH8" s="124" t="s">
        <v>36</v>
      </c>
      <c r="AI8" s="124" t="s">
        <v>37</v>
      </c>
      <c r="AJ8" s="124" t="s">
        <v>38</v>
      </c>
      <c r="AK8" s="124" t="s">
        <v>39</v>
      </c>
      <c r="AL8" s="124" t="s">
        <v>40</v>
      </c>
      <c r="AM8" s="124" t="s">
        <v>41</v>
      </c>
      <c r="AN8" s="2338"/>
      <c r="AO8" s="2894"/>
      <c r="AP8" s="2894"/>
      <c r="AQ8" s="2548"/>
    </row>
    <row r="9" spans="1:43" ht="27" customHeight="1" x14ac:dyDescent="0.2">
      <c r="A9" s="881">
        <v>1</v>
      </c>
      <c r="B9" s="127"/>
      <c r="C9" s="127" t="s">
        <v>526</v>
      </c>
      <c r="D9" s="127"/>
      <c r="E9" s="127"/>
      <c r="F9" s="127"/>
      <c r="G9" s="127"/>
      <c r="H9" s="127"/>
      <c r="I9" s="127"/>
      <c r="J9" s="127"/>
      <c r="K9" s="129"/>
      <c r="L9" s="129"/>
      <c r="M9" s="130"/>
      <c r="N9" s="130"/>
      <c r="O9" s="130"/>
      <c r="P9" s="129"/>
      <c r="Q9" s="131"/>
      <c r="R9" s="594"/>
      <c r="S9" s="129"/>
      <c r="T9" s="129"/>
      <c r="U9" s="129"/>
      <c r="V9" s="132"/>
      <c r="W9" s="134"/>
      <c r="X9" s="130"/>
      <c r="Y9" s="127"/>
      <c r="Z9" s="127"/>
      <c r="AA9" s="127"/>
      <c r="AB9" s="127"/>
      <c r="AC9" s="127"/>
      <c r="AD9" s="127"/>
      <c r="AE9" s="127"/>
      <c r="AF9" s="127"/>
      <c r="AG9" s="127"/>
      <c r="AH9" s="127"/>
      <c r="AI9" s="127"/>
      <c r="AJ9" s="127"/>
      <c r="AK9" s="127"/>
      <c r="AL9" s="127"/>
      <c r="AM9" s="127"/>
      <c r="AN9" s="127"/>
      <c r="AO9" s="135"/>
      <c r="AP9" s="135"/>
      <c r="AQ9" s="136"/>
    </row>
    <row r="10" spans="1:43" ht="22.5" customHeight="1" x14ac:dyDescent="0.2">
      <c r="A10" s="137"/>
      <c r="B10" s="138"/>
      <c r="C10" s="138"/>
      <c r="D10" s="595">
        <v>1</v>
      </c>
      <c r="E10" s="140" t="s">
        <v>527</v>
      </c>
      <c r="F10" s="140"/>
      <c r="G10" s="140"/>
      <c r="H10" s="140"/>
      <c r="I10" s="140"/>
      <c r="J10" s="140"/>
      <c r="K10" s="141"/>
      <c r="L10" s="141"/>
      <c r="M10" s="142"/>
      <c r="N10" s="142"/>
      <c r="O10" s="142"/>
      <c r="P10" s="141"/>
      <c r="Q10" s="144"/>
      <c r="R10" s="596"/>
      <c r="S10" s="141"/>
      <c r="T10" s="141"/>
      <c r="U10" s="141"/>
      <c r="V10" s="145"/>
      <c r="W10" s="147"/>
      <c r="X10" s="142"/>
      <c r="Y10" s="140"/>
      <c r="Z10" s="140"/>
      <c r="AA10" s="140"/>
      <c r="AB10" s="140"/>
      <c r="AC10" s="140"/>
      <c r="AD10" s="140"/>
      <c r="AE10" s="140"/>
      <c r="AF10" s="140"/>
      <c r="AG10" s="140"/>
      <c r="AH10" s="140"/>
      <c r="AI10" s="140"/>
      <c r="AJ10" s="140"/>
      <c r="AK10" s="140"/>
      <c r="AL10" s="140"/>
      <c r="AM10" s="140"/>
      <c r="AN10" s="140"/>
      <c r="AO10" s="148"/>
      <c r="AP10" s="148"/>
      <c r="AQ10" s="149"/>
    </row>
    <row r="11" spans="1:43" ht="24.75" customHeight="1" x14ac:dyDescent="0.2">
      <c r="A11" s="137"/>
      <c r="B11" s="138"/>
      <c r="C11" s="138"/>
      <c r="D11" s="150"/>
      <c r="E11" s="138"/>
      <c r="F11" s="138"/>
      <c r="G11" s="597">
        <v>1</v>
      </c>
      <c r="H11" s="152" t="s">
        <v>528</v>
      </c>
      <c r="I11" s="152"/>
      <c r="J11" s="152"/>
      <c r="K11" s="598"/>
      <c r="L11" s="598"/>
      <c r="M11" s="599"/>
      <c r="N11" s="599"/>
      <c r="O11" s="599"/>
      <c r="P11" s="598"/>
      <c r="Q11" s="600"/>
      <c r="R11" s="601"/>
      <c r="S11" s="598"/>
      <c r="T11" s="598"/>
      <c r="U11" s="598"/>
      <c r="V11" s="602"/>
      <c r="W11" s="159"/>
      <c r="X11" s="154"/>
      <c r="Y11" s="152"/>
      <c r="Z11" s="152"/>
      <c r="AA11" s="152"/>
      <c r="AB11" s="152"/>
      <c r="AC11" s="152"/>
      <c r="AD11" s="152"/>
      <c r="AE11" s="152"/>
      <c r="AF11" s="152"/>
      <c r="AG11" s="152"/>
      <c r="AH11" s="152"/>
      <c r="AI11" s="152"/>
      <c r="AJ11" s="152"/>
      <c r="AK11" s="152"/>
      <c r="AL11" s="152"/>
      <c r="AM11" s="152"/>
      <c r="AN11" s="152"/>
      <c r="AO11" s="603"/>
      <c r="AP11" s="603"/>
      <c r="AQ11" s="604"/>
    </row>
    <row r="12" spans="1:43" ht="41.25" customHeight="1" x14ac:dyDescent="0.2">
      <c r="A12" s="362"/>
      <c r="B12" s="406"/>
      <c r="C12" s="406"/>
      <c r="D12" s="367"/>
      <c r="E12" s="406"/>
      <c r="F12" s="406"/>
      <c r="G12" s="363"/>
      <c r="H12" s="406"/>
      <c r="I12" s="406"/>
      <c r="J12" s="2186">
        <v>1</v>
      </c>
      <c r="K12" s="2147" t="s">
        <v>529</v>
      </c>
      <c r="L12" s="2147" t="s">
        <v>530</v>
      </c>
      <c r="M12" s="2819">
        <v>1</v>
      </c>
      <c r="N12" s="2184" t="s">
        <v>531</v>
      </c>
      <c r="O12" s="2156" t="s">
        <v>532</v>
      </c>
      <c r="P12" s="2148" t="s">
        <v>533</v>
      </c>
      <c r="Q12" s="2897">
        <f>+(V12+V13)/R12</f>
        <v>0.23529411764705882</v>
      </c>
      <c r="R12" s="2899">
        <f>SUM(V12:V18)</f>
        <v>85000000</v>
      </c>
      <c r="S12" s="2148" t="s">
        <v>534</v>
      </c>
      <c r="T12" s="2912" t="s">
        <v>535</v>
      </c>
      <c r="U12" s="485" t="s">
        <v>536</v>
      </c>
      <c r="V12" s="606">
        <v>10000000</v>
      </c>
      <c r="W12" s="2156">
        <v>20</v>
      </c>
      <c r="X12" s="2186" t="s">
        <v>537</v>
      </c>
      <c r="Y12" s="2903">
        <v>35373</v>
      </c>
      <c r="Z12" s="2906">
        <v>33985</v>
      </c>
      <c r="AA12" s="2909">
        <v>16632</v>
      </c>
      <c r="AB12" s="2155">
        <v>3361</v>
      </c>
      <c r="AC12" s="2155">
        <v>39432</v>
      </c>
      <c r="AD12" s="2155">
        <v>9933</v>
      </c>
      <c r="AE12" s="2915"/>
      <c r="AF12" s="2915"/>
      <c r="AG12" s="2915"/>
      <c r="AH12" s="2900"/>
      <c r="AI12" s="2900"/>
      <c r="AJ12" s="2900"/>
      <c r="AK12" s="2915"/>
      <c r="AL12" s="2915"/>
      <c r="AM12" s="2916"/>
      <c r="AN12" s="2229">
        <f>SUM(Y12:Z18)</f>
        <v>69358</v>
      </c>
      <c r="AO12" s="2895">
        <v>43101</v>
      </c>
      <c r="AP12" s="2895">
        <v>43465</v>
      </c>
      <c r="AQ12" s="2294" t="s">
        <v>538</v>
      </c>
    </row>
    <row r="13" spans="1:43" ht="69.75" customHeight="1" x14ac:dyDescent="0.2">
      <c r="A13" s="362"/>
      <c r="B13" s="2887"/>
      <c r="C13" s="2858"/>
      <c r="D13" s="367"/>
      <c r="E13" s="608"/>
      <c r="F13" s="450"/>
      <c r="G13" s="367"/>
      <c r="H13" s="608"/>
      <c r="I13" s="450"/>
      <c r="J13" s="2187"/>
      <c r="K13" s="2147"/>
      <c r="L13" s="2147"/>
      <c r="M13" s="2821"/>
      <c r="N13" s="2184"/>
      <c r="O13" s="2200"/>
      <c r="P13" s="2218"/>
      <c r="Q13" s="2898"/>
      <c r="R13" s="2899"/>
      <c r="S13" s="2218"/>
      <c r="T13" s="2913"/>
      <c r="U13" s="609" t="s">
        <v>539</v>
      </c>
      <c r="V13" s="610">
        <v>10000000</v>
      </c>
      <c r="W13" s="2200"/>
      <c r="X13" s="2187"/>
      <c r="Y13" s="2904"/>
      <c r="Z13" s="2907"/>
      <c r="AA13" s="2910"/>
      <c r="AB13" s="2155"/>
      <c r="AC13" s="2155"/>
      <c r="AD13" s="2155"/>
      <c r="AE13" s="2915"/>
      <c r="AF13" s="2915"/>
      <c r="AG13" s="2915"/>
      <c r="AH13" s="2901"/>
      <c r="AI13" s="2901"/>
      <c r="AJ13" s="2901"/>
      <c r="AK13" s="2915"/>
      <c r="AL13" s="2915"/>
      <c r="AM13" s="2916"/>
      <c r="AN13" s="2229"/>
      <c r="AO13" s="2895"/>
      <c r="AP13" s="2895"/>
      <c r="AQ13" s="2294"/>
    </row>
    <row r="14" spans="1:43" ht="72" customHeight="1" x14ac:dyDescent="0.2">
      <c r="A14" s="362"/>
      <c r="B14" s="406"/>
      <c r="C14" s="406"/>
      <c r="D14" s="367"/>
      <c r="E14" s="406"/>
      <c r="F14" s="406"/>
      <c r="G14" s="367"/>
      <c r="H14" s="406"/>
      <c r="I14" s="406"/>
      <c r="J14" s="392">
        <v>2</v>
      </c>
      <c r="K14" s="391" t="s">
        <v>540</v>
      </c>
      <c r="L14" s="391" t="s">
        <v>541</v>
      </c>
      <c r="M14" s="611">
        <v>4</v>
      </c>
      <c r="N14" s="2184"/>
      <c r="O14" s="2200"/>
      <c r="P14" s="2218"/>
      <c r="Q14" s="612">
        <f>(+V14)/$R$12</f>
        <v>0.11764705882352941</v>
      </c>
      <c r="R14" s="2899"/>
      <c r="S14" s="2218"/>
      <c r="T14" s="2914"/>
      <c r="U14" s="485" t="s">
        <v>542</v>
      </c>
      <c r="V14" s="613">
        <v>10000000</v>
      </c>
      <c r="W14" s="2200"/>
      <c r="X14" s="2187"/>
      <c r="Y14" s="2904"/>
      <c r="Z14" s="2907"/>
      <c r="AA14" s="2910"/>
      <c r="AB14" s="2155"/>
      <c r="AC14" s="2155"/>
      <c r="AD14" s="2155"/>
      <c r="AE14" s="2915"/>
      <c r="AF14" s="2915"/>
      <c r="AG14" s="2915"/>
      <c r="AH14" s="2901"/>
      <c r="AI14" s="2901"/>
      <c r="AJ14" s="2901"/>
      <c r="AK14" s="2915"/>
      <c r="AL14" s="2915"/>
      <c r="AM14" s="2916"/>
      <c r="AN14" s="2229"/>
      <c r="AO14" s="2895"/>
      <c r="AP14" s="2895"/>
      <c r="AQ14" s="2294"/>
    </row>
    <row r="15" spans="1:43" ht="95.25" customHeight="1" x14ac:dyDescent="0.2">
      <c r="A15" s="362"/>
      <c r="B15" s="406"/>
      <c r="C15" s="406"/>
      <c r="D15" s="367"/>
      <c r="E15" s="406"/>
      <c r="F15" s="406"/>
      <c r="G15" s="367"/>
      <c r="H15" s="406"/>
      <c r="I15" s="406"/>
      <c r="J15" s="392">
        <v>3</v>
      </c>
      <c r="K15" s="391" t="s">
        <v>543</v>
      </c>
      <c r="L15" s="483" t="s">
        <v>544</v>
      </c>
      <c r="M15" s="611">
        <v>1</v>
      </c>
      <c r="N15" s="2184"/>
      <c r="O15" s="2200"/>
      <c r="P15" s="2218"/>
      <c r="Q15" s="612">
        <f>(+V15)/$R$12</f>
        <v>7.0588235294117646E-2</v>
      </c>
      <c r="R15" s="2899"/>
      <c r="S15" s="2218"/>
      <c r="T15" s="2148" t="s">
        <v>545</v>
      </c>
      <c r="U15" s="614" t="s">
        <v>546</v>
      </c>
      <c r="V15" s="610">
        <v>6000000</v>
      </c>
      <c r="W15" s="2200"/>
      <c r="X15" s="2187"/>
      <c r="Y15" s="2904"/>
      <c r="Z15" s="2907"/>
      <c r="AA15" s="2910"/>
      <c r="AB15" s="2155"/>
      <c r="AC15" s="2155"/>
      <c r="AD15" s="2155"/>
      <c r="AE15" s="2915"/>
      <c r="AF15" s="2915"/>
      <c r="AG15" s="2915"/>
      <c r="AH15" s="2901"/>
      <c r="AI15" s="2901"/>
      <c r="AJ15" s="2901"/>
      <c r="AK15" s="2915"/>
      <c r="AL15" s="2915"/>
      <c r="AM15" s="2916"/>
      <c r="AN15" s="2229"/>
      <c r="AO15" s="2895"/>
      <c r="AP15" s="2895"/>
      <c r="AQ15" s="2294"/>
    </row>
    <row r="16" spans="1:43" ht="75" x14ac:dyDescent="0.2">
      <c r="A16" s="362"/>
      <c r="B16" s="406"/>
      <c r="C16" s="406"/>
      <c r="D16" s="367"/>
      <c r="E16" s="406"/>
      <c r="F16" s="406"/>
      <c r="G16" s="367"/>
      <c r="H16" s="406"/>
      <c r="I16" s="406"/>
      <c r="J16" s="392">
        <v>4</v>
      </c>
      <c r="K16" s="391" t="s">
        <v>547</v>
      </c>
      <c r="L16" s="483" t="s">
        <v>548</v>
      </c>
      <c r="M16" s="611">
        <v>1</v>
      </c>
      <c r="N16" s="2184"/>
      <c r="O16" s="2200"/>
      <c r="P16" s="2218"/>
      <c r="Q16" s="612">
        <f>(+V16)/$R$12</f>
        <v>0.24705882352941178</v>
      </c>
      <c r="R16" s="2899"/>
      <c r="S16" s="2218"/>
      <c r="T16" s="2218"/>
      <c r="U16" s="485" t="s">
        <v>549</v>
      </c>
      <c r="V16" s="610">
        <v>21000000</v>
      </c>
      <c r="W16" s="2200"/>
      <c r="X16" s="2187"/>
      <c r="Y16" s="2904"/>
      <c r="Z16" s="2907"/>
      <c r="AA16" s="2910"/>
      <c r="AB16" s="2155"/>
      <c r="AC16" s="2155"/>
      <c r="AD16" s="2155"/>
      <c r="AE16" s="2915"/>
      <c r="AF16" s="2915"/>
      <c r="AG16" s="2915"/>
      <c r="AH16" s="2901"/>
      <c r="AI16" s="2901"/>
      <c r="AJ16" s="2901"/>
      <c r="AK16" s="2915"/>
      <c r="AL16" s="2915"/>
      <c r="AM16" s="2916"/>
      <c r="AN16" s="2229"/>
      <c r="AO16" s="2895"/>
      <c r="AP16" s="2895"/>
      <c r="AQ16" s="2294"/>
    </row>
    <row r="17" spans="1:43" ht="75" x14ac:dyDescent="0.2">
      <c r="A17" s="362"/>
      <c r="B17" s="406"/>
      <c r="C17" s="406"/>
      <c r="D17" s="367"/>
      <c r="E17" s="406"/>
      <c r="F17" s="406"/>
      <c r="G17" s="367"/>
      <c r="H17" s="406"/>
      <c r="I17" s="406"/>
      <c r="J17" s="392">
        <v>5</v>
      </c>
      <c r="K17" s="391" t="s">
        <v>550</v>
      </c>
      <c r="L17" s="483" t="s">
        <v>551</v>
      </c>
      <c r="M17" s="611">
        <v>2</v>
      </c>
      <c r="N17" s="2184"/>
      <c r="O17" s="2200"/>
      <c r="P17" s="2218"/>
      <c r="Q17" s="612">
        <f>(+V17)/$R$12</f>
        <v>0.24705882352941178</v>
      </c>
      <c r="R17" s="2899"/>
      <c r="S17" s="2218"/>
      <c r="T17" s="2218"/>
      <c r="U17" s="614" t="s">
        <v>552</v>
      </c>
      <c r="V17" s="610">
        <v>21000000</v>
      </c>
      <c r="W17" s="2200"/>
      <c r="X17" s="2187"/>
      <c r="Y17" s="2904"/>
      <c r="Z17" s="2907"/>
      <c r="AA17" s="2910"/>
      <c r="AB17" s="2155"/>
      <c r="AC17" s="2155"/>
      <c r="AD17" s="2155"/>
      <c r="AE17" s="2915"/>
      <c r="AF17" s="2915"/>
      <c r="AG17" s="2915"/>
      <c r="AH17" s="2901"/>
      <c r="AI17" s="2901"/>
      <c r="AJ17" s="2901"/>
      <c r="AK17" s="2915"/>
      <c r="AL17" s="2915"/>
      <c r="AM17" s="2916"/>
      <c r="AN17" s="2229"/>
      <c r="AO17" s="2895"/>
      <c r="AP17" s="2895"/>
      <c r="AQ17" s="2294"/>
    </row>
    <row r="18" spans="1:43" ht="107.25" customHeight="1" x14ac:dyDescent="0.2">
      <c r="A18" s="362"/>
      <c r="B18" s="2887"/>
      <c r="C18" s="2858"/>
      <c r="D18" s="367"/>
      <c r="E18" s="608"/>
      <c r="F18" s="450"/>
      <c r="G18" s="367"/>
      <c r="H18" s="608"/>
      <c r="I18" s="450"/>
      <c r="J18" s="392">
        <v>6</v>
      </c>
      <c r="K18" s="391" t="s">
        <v>553</v>
      </c>
      <c r="L18" s="483" t="s">
        <v>554</v>
      </c>
      <c r="M18" s="611">
        <v>12</v>
      </c>
      <c r="N18" s="2184"/>
      <c r="O18" s="2177"/>
      <c r="P18" s="2179"/>
      <c r="Q18" s="612">
        <f>(+V18)/$R$12</f>
        <v>8.2352941176470587E-2</v>
      </c>
      <c r="R18" s="2899"/>
      <c r="S18" s="2179"/>
      <c r="T18" s="2179"/>
      <c r="U18" s="614" t="s">
        <v>555</v>
      </c>
      <c r="V18" s="615">
        <v>7000000</v>
      </c>
      <c r="W18" s="2177"/>
      <c r="X18" s="2188"/>
      <c r="Y18" s="2905"/>
      <c r="Z18" s="2908"/>
      <c r="AA18" s="2911"/>
      <c r="AB18" s="2155"/>
      <c r="AC18" s="2155"/>
      <c r="AD18" s="2155"/>
      <c r="AE18" s="2915"/>
      <c r="AF18" s="2915"/>
      <c r="AG18" s="2915"/>
      <c r="AH18" s="2902"/>
      <c r="AI18" s="2902"/>
      <c r="AJ18" s="2902"/>
      <c r="AK18" s="2915"/>
      <c r="AL18" s="2915"/>
      <c r="AM18" s="2916"/>
      <c r="AN18" s="2229"/>
      <c r="AO18" s="2895"/>
      <c r="AP18" s="2895"/>
      <c r="AQ18" s="2294"/>
    </row>
    <row r="19" spans="1:43" ht="15.75" x14ac:dyDescent="0.2">
      <c r="A19" s="616"/>
      <c r="B19" s="617"/>
      <c r="C19" s="617"/>
      <c r="D19" s="367"/>
      <c r="E19" s="617"/>
      <c r="F19" s="618"/>
      <c r="G19" s="597">
        <v>2</v>
      </c>
      <c r="H19" s="152" t="s">
        <v>556</v>
      </c>
      <c r="I19" s="152"/>
      <c r="J19" s="152"/>
      <c r="K19" s="598"/>
      <c r="L19" s="598"/>
      <c r="M19" s="599"/>
      <c r="N19" s="599"/>
      <c r="O19" s="599"/>
      <c r="P19" s="598"/>
      <c r="Q19" s="619"/>
      <c r="R19" s="620"/>
      <c r="S19" s="598"/>
      <c r="T19" s="598"/>
      <c r="U19" s="598"/>
      <c r="V19" s="621"/>
      <c r="W19" s="622"/>
      <c r="X19" s="623"/>
      <c r="Y19" s="599"/>
      <c r="Z19" s="599"/>
      <c r="AA19" s="599"/>
      <c r="AB19" s="599"/>
      <c r="AC19" s="599"/>
      <c r="AD19" s="599"/>
      <c r="AE19" s="599"/>
      <c r="AF19" s="599"/>
      <c r="AG19" s="599"/>
      <c r="AH19" s="599"/>
      <c r="AI19" s="599"/>
      <c r="AJ19" s="599"/>
      <c r="AK19" s="599"/>
      <c r="AL19" s="599"/>
      <c r="AM19" s="599"/>
      <c r="AN19" s="152"/>
      <c r="AO19" s="624"/>
      <c r="AP19" s="603"/>
      <c r="AQ19" s="604"/>
    </row>
    <row r="20" spans="1:43" ht="108" customHeight="1" x14ac:dyDescent="0.2">
      <c r="A20" s="625"/>
      <c r="B20" s="109"/>
      <c r="C20" s="109"/>
      <c r="D20" s="2865"/>
      <c r="E20" s="2866"/>
      <c r="F20" s="2867"/>
      <c r="G20" s="2926"/>
      <c r="H20" s="2926"/>
      <c r="I20" s="2926"/>
      <c r="J20" s="392">
        <v>8</v>
      </c>
      <c r="K20" s="391" t="s">
        <v>557</v>
      </c>
      <c r="L20" s="483" t="s">
        <v>558</v>
      </c>
      <c r="M20" s="402">
        <v>1</v>
      </c>
      <c r="N20" s="2857" t="s">
        <v>559</v>
      </c>
      <c r="O20" s="2843" t="s">
        <v>560</v>
      </c>
      <c r="P20" s="2148" t="s">
        <v>561</v>
      </c>
      <c r="Q20" s="612">
        <f>V20*1/R20</f>
        <v>0.19</v>
      </c>
      <c r="R20" s="2927">
        <f>SUM(V20:V21)</f>
        <v>200000000</v>
      </c>
      <c r="S20" s="2783" t="s">
        <v>562</v>
      </c>
      <c r="T20" s="2823" t="s">
        <v>563</v>
      </c>
      <c r="U20" s="626" t="s">
        <v>564</v>
      </c>
      <c r="V20" s="627">
        <v>38000000</v>
      </c>
      <c r="W20" s="398">
        <v>20</v>
      </c>
      <c r="X20" s="400" t="s">
        <v>72</v>
      </c>
      <c r="Y20" s="2917">
        <v>252568</v>
      </c>
      <c r="Z20" s="2919">
        <v>243650</v>
      </c>
      <c r="AA20" s="2222">
        <v>97896</v>
      </c>
      <c r="AB20" s="2921">
        <v>53351</v>
      </c>
      <c r="AC20" s="2921">
        <v>140316</v>
      </c>
      <c r="AD20" s="2921">
        <v>30825</v>
      </c>
      <c r="AE20" s="2932"/>
      <c r="AF20" s="2932"/>
      <c r="AG20" s="2932"/>
      <c r="AH20" s="2932"/>
      <c r="AI20" s="2932"/>
      <c r="AJ20" s="2932"/>
      <c r="AK20" s="2932"/>
      <c r="AL20" s="2932"/>
      <c r="AM20" s="2932"/>
      <c r="AN20" s="2229">
        <f>SUM(Y20:Z21)</f>
        <v>496218</v>
      </c>
      <c r="AO20" s="2928">
        <v>43101</v>
      </c>
      <c r="AP20" s="2928">
        <v>43465</v>
      </c>
      <c r="AQ20" s="2929" t="s">
        <v>538</v>
      </c>
    </row>
    <row r="21" spans="1:43" ht="53.25" customHeight="1" x14ac:dyDescent="0.2">
      <c r="A21" s="625"/>
      <c r="B21" s="109"/>
      <c r="C21" s="109"/>
      <c r="D21" s="2868"/>
      <c r="E21" s="2836"/>
      <c r="F21" s="2869"/>
      <c r="G21" s="2926"/>
      <c r="H21" s="2926"/>
      <c r="I21" s="2926"/>
      <c r="J21" s="392">
        <v>7</v>
      </c>
      <c r="K21" s="391" t="s">
        <v>565</v>
      </c>
      <c r="L21" s="483" t="s">
        <v>566</v>
      </c>
      <c r="M21" s="402">
        <v>1</v>
      </c>
      <c r="N21" s="2859"/>
      <c r="O21" s="2864"/>
      <c r="P21" s="2179"/>
      <c r="Q21" s="612">
        <f>V21*1/R20</f>
        <v>0.81</v>
      </c>
      <c r="R21" s="2927"/>
      <c r="S21" s="2784"/>
      <c r="T21" s="2823"/>
      <c r="U21" s="626" t="s">
        <v>565</v>
      </c>
      <c r="V21" s="628">
        <f>62000000+100000000</f>
        <v>162000000</v>
      </c>
      <c r="W21" s="404">
        <v>88</v>
      </c>
      <c r="X21" s="405" t="s">
        <v>567</v>
      </c>
      <c r="Y21" s="2918"/>
      <c r="Z21" s="2920"/>
      <c r="AA21" s="2224"/>
      <c r="AB21" s="2922"/>
      <c r="AC21" s="2922"/>
      <c r="AD21" s="2922"/>
      <c r="AE21" s="2932"/>
      <c r="AF21" s="2932"/>
      <c r="AG21" s="2932"/>
      <c r="AH21" s="2932"/>
      <c r="AI21" s="2932"/>
      <c r="AJ21" s="2932"/>
      <c r="AK21" s="2932"/>
      <c r="AL21" s="2932"/>
      <c r="AM21" s="2932"/>
      <c r="AN21" s="2229"/>
      <c r="AO21" s="2928"/>
      <c r="AP21" s="2928"/>
      <c r="AQ21" s="2929"/>
    </row>
    <row r="22" spans="1:43" ht="15.75" x14ac:dyDescent="0.2">
      <c r="A22" s="616"/>
      <c r="B22" s="617"/>
      <c r="C22" s="617"/>
      <c r="D22" s="2923"/>
      <c r="E22" s="2924"/>
      <c r="F22" s="2925"/>
      <c r="G22" s="629">
        <v>3</v>
      </c>
      <c r="H22" s="152" t="s">
        <v>568</v>
      </c>
      <c r="I22" s="152"/>
      <c r="J22" s="152"/>
      <c r="K22" s="598"/>
      <c r="L22" s="598"/>
      <c r="M22" s="599"/>
      <c r="N22" s="599"/>
      <c r="O22" s="599"/>
      <c r="P22" s="598"/>
      <c r="Q22" s="619"/>
      <c r="R22" s="620"/>
      <c r="S22" s="598"/>
      <c r="T22" s="598"/>
      <c r="U22" s="598"/>
      <c r="V22" s="621"/>
      <c r="W22" s="622"/>
      <c r="X22" s="623"/>
      <c r="Y22" s="599"/>
      <c r="Z22" s="599"/>
      <c r="AA22" s="599"/>
      <c r="AB22" s="599"/>
      <c r="AC22" s="599"/>
      <c r="AD22" s="599"/>
      <c r="AE22" s="599"/>
      <c r="AF22" s="599"/>
      <c r="AG22" s="599"/>
      <c r="AH22" s="599"/>
      <c r="AI22" s="599"/>
      <c r="AJ22" s="599"/>
      <c r="AK22" s="599"/>
      <c r="AL22" s="599"/>
      <c r="AM22" s="599"/>
      <c r="AN22" s="152"/>
      <c r="AO22" s="624"/>
      <c r="AP22" s="603"/>
      <c r="AQ22" s="604"/>
    </row>
    <row r="23" spans="1:43" ht="41.25" customHeight="1" x14ac:dyDescent="0.2">
      <c r="A23" s="625"/>
      <c r="B23" s="109"/>
      <c r="C23" s="109"/>
      <c r="D23" s="2930"/>
      <c r="E23" s="2930"/>
      <c r="F23" s="2930"/>
      <c r="G23" s="2926"/>
      <c r="H23" s="2926"/>
      <c r="I23" s="2926"/>
      <c r="J23" s="2186">
        <v>14</v>
      </c>
      <c r="K23" s="2148" t="s">
        <v>569</v>
      </c>
      <c r="L23" s="2148" t="s">
        <v>570</v>
      </c>
      <c r="M23" s="2931">
        <v>6</v>
      </c>
      <c r="N23" s="2874" t="s">
        <v>571</v>
      </c>
      <c r="O23" s="2843" t="s">
        <v>572</v>
      </c>
      <c r="P23" s="2783" t="s">
        <v>573</v>
      </c>
      <c r="Q23" s="2797">
        <f>+(V23+V24+V25)/R23</f>
        <v>1</v>
      </c>
      <c r="R23" s="2935">
        <v>1122162444</v>
      </c>
      <c r="S23" s="2783" t="s">
        <v>562</v>
      </c>
      <c r="T23" s="2823" t="s">
        <v>574</v>
      </c>
      <c r="U23" s="485" t="s">
        <v>575</v>
      </c>
      <c r="V23" s="627">
        <v>180725334</v>
      </c>
      <c r="W23" s="2843" t="s">
        <v>67</v>
      </c>
      <c r="X23" s="2772" t="s">
        <v>576</v>
      </c>
      <c r="Y23" s="2934">
        <v>35373</v>
      </c>
      <c r="Z23" s="2933">
        <v>33985</v>
      </c>
      <c r="AA23" s="2229">
        <v>16632</v>
      </c>
      <c r="AB23" s="2933">
        <v>3361</v>
      </c>
      <c r="AC23" s="2933">
        <v>39432</v>
      </c>
      <c r="AD23" s="2933">
        <v>9933</v>
      </c>
      <c r="AE23" s="2933"/>
      <c r="AF23" s="2933"/>
      <c r="AG23" s="2933"/>
      <c r="AH23" s="2933"/>
      <c r="AI23" s="2933"/>
      <c r="AJ23" s="2933"/>
      <c r="AK23" s="2933"/>
      <c r="AL23" s="2933"/>
      <c r="AM23" s="2933"/>
      <c r="AN23" s="2229">
        <f>SUM(AA23:AM25)</f>
        <v>69358</v>
      </c>
      <c r="AO23" s="2895">
        <v>43101</v>
      </c>
      <c r="AP23" s="2895">
        <v>43435</v>
      </c>
      <c r="AQ23" s="2929" t="s">
        <v>538</v>
      </c>
    </row>
    <row r="24" spans="1:43" ht="45" x14ac:dyDescent="0.2">
      <c r="A24" s="625"/>
      <c r="B24" s="109"/>
      <c r="C24" s="109"/>
      <c r="D24" s="2930"/>
      <c r="E24" s="2930"/>
      <c r="F24" s="2930"/>
      <c r="G24" s="2926"/>
      <c r="H24" s="2926"/>
      <c r="I24" s="2926"/>
      <c r="J24" s="2187"/>
      <c r="K24" s="2218"/>
      <c r="L24" s="2218"/>
      <c r="M24" s="2931"/>
      <c r="N24" s="2874"/>
      <c r="O24" s="2807"/>
      <c r="P24" s="2793"/>
      <c r="Q24" s="2798"/>
      <c r="R24" s="2935"/>
      <c r="S24" s="2793"/>
      <c r="T24" s="2823"/>
      <c r="U24" s="485" t="s">
        <v>577</v>
      </c>
      <c r="V24" s="627">
        <v>180725334</v>
      </c>
      <c r="W24" s="2807"/>
      <c r="X24" s="2773"/>
      <c r="Y24" s="2934"/>
      <c r="Z24" s="2933"/>
      <c r="AA24" s="2229"/>
      <c r="AB24" s="2933"/>
      <c r="AC24" s="2933"/>
      <c r="AD24" s="2933"/>
      <c r="AE24" s="2933"/>
      <c r="AF24" s="2933"/>
      <c r="AG24" s="2933"/>
      <c r="AH24" s="2933"/>
      <c r="AI24" s="2933"/>
      <c r="AJ24" s="2933"/>
      <c r="AK24" s="2933"/>
      <c r="AL24" s="2933"/>
      <c r="AM24" s="2933"/>
      <c r="AN24" s="2229"/>
      <c r="AO24" s="2895"/>
      <c r="AP24" s="2895"/>
      <c r="AQ24" s="2929"/>
    </row>
    <row r="25" spans="1:43" ht="50.25" customHeight="1" x14ac:dyDescent="0.2">
      <c r="A25" s="625"/>
      <c r="B25" s="109"/>
      <c r="C25" s="109"/>
      <c r="D25" s="2930"/>
      <c r="E25" s="2930"/>
      <c r="F25" s="2930"/>
      <c r="G25" s="2926"/>
      <c r="H25" s="2926"/>
      <c r="I25" s="2926"/>
      <c r="J25" s="2188"/>
      <c r="K25" s="2179"/>
      <c r="L25" s="2179"/>
      <c r="M25" s="2931"/>
      <c r="N25" s="2874"/>
      <c r="O25" s="2864"/>
      <c r="P25" s="2784"/>
      <c r="Q25" s="2799"/>
      <c r="R25" s="2935"/>
      <c r="S25" s="2784"/>
      <c r="T25" s="2823"/>
      <c r="U25" s="485" t="s">
        <v>2509</v>
      </c>
      <c r="V25" s="627">
        <v>760711776</v>
      </c>
      <c r="W25" s="2864"/>
      <c r="X25" s="2774"/>
      <c r="Y25" s="2934"/>
      <c r="Z25" s="2933"/>
      <c r="AA25" s="2229"/>
      <c r="AB25" s="2933"/>
      <c r="AC25" s="2933"/>
      <c r="AD25" s="2933"/>
      <c r="AE25" s="2933"/>
      <c r="AF25" s="2933"/>
      <c r="AG25" s="2933"/>
      <c r="AH25" s="2933"/>
      <c r="AI25" s="2933"/>
      <c r="AJ25" s="2933"/>
      <c r="AK25" s="2933"/>
      <c r="AL25" s="2933"/>
      <c r="AM25" s="2933"/>
      <c r="AN25" s="2229"/>
      <c r="AO25" s="2895"/>
      <c r="AP25" s="2895"/>
      <c r="AQ25" s="2929"/>
    </row>
    <row r="26" spans="1:43" ht="64.5" customHeight="1" x14ac:dyDescent="0.2">
      <c r="A26" s="625"/>
      <c r="B26" s="109"/>
      <c r="C26" s="109"/>
      <c r="D26" s="2930"/>
      <c r="E26" s="2930"/>
      <c r="F26" s="2930"/>
      <c r="G26" s="2926"/>
      <c r="H26" s="2926"/>
      <c r="I26" s="2926"/>
      <c r="J26" s="2222">
        <v>15</v>
      </c>
      <c r="K26" s="2148" t="s">
        <v>578</v>
      </c>
      <c r="L26" s="2148" t="s">
        <v>579</v>
      </c>
      <c r="M26" s="2408">
        <v>2</v>
      </c>
      <c r="N26" s="2772" t="s">
        <v>580</v>
      </c>
      <c r="O26" s="2843" t="s">
        <v>581</v>
      </c>
      <c r="P26" s="2148" t="s">
        <v>582</v>
      </c>
      <c r="Q26" s="2938">
        <f>SUM(V26:V27)/R26</f>
        <v>0.86289549376797703</v>
      </c>
      <c r="R26" s="2935">
        <f>SUM(V26:V31)</f>
        <v>208600000</v>
      </c>
      <c r="S26" s="2823" t="s">
        <v>583</v>
      </c>
      <c r="T26" s="2848" t="s">
        <v>584</v>
      </c>
      <c r="U26" s="630" t="s">
        <v>585</v>
      </c>
      <c r="V26" s="627">
        <v>170000000</v>
      </c>
      <c r="W26" s="631"/>
      <c r="X26" s="398"/>
      <c r="Y26" s="2936">
        <v>40906</v>
      </c>
      <c r="Z26" s="2937">
        <v>37728</v>
      </c>
      <c r="AA26" s="2229">
        <v>16790</v>
      </c>
      <c r="AB26" s="2937">
        <v>8871</v>
      </c>
      <c r="AC26" s="2937">
        <v>46240</v>
      </c>
      <c r="AD26" s="2937">
        <v>10814</v>
      </c>
      <c r="AE26" s="2229"/>
      <c r="AF26" s="2229"/>
      <c r="AG26" s="2229"/>
      <c r="AH26" s="2229"/>
      <c r="AI26" s="2229"/>
      <c r="AJ26" s="2229"/>
      <c r="AK26" s="2229"/>
      <c r="AL26" s="2229"/>
      <c r="AM26" s="2229"/>
      <c r="AN26" s="2229">
        <f>SUM(Y26:Z31)</f>
        <v>78634</v>
      </c>
      <c r="AO26" s="2895" t="s">
        <v>586</v>
      </c>
      <c r="AP26" s="2895">
        <v>43435</v>
      </c>
      <c r="AQ26" s="2929" t="s">
        <v>538</v>
      </c>
    </row>
    <row r="27" spans="1:43" ht="42.75" customHeight="1" x14ac:dyDescent="0.2">
      <c r="A27" s="625"/>
      <c r="B27" s="109"/>
      <c r="C27" s="109"/>
      <c r="D27" s="2930"/>
      <c r="E27" s="2930"/>
      <c r="F27" s="2930"/>
      <c r="G27" s="2926"/>
      <c r="H27" s="2926"/>
      <c r="I27" s="2926"/>
      <c r="J27" s="2224"/>
      <c r="K27" s="2218"/>
      <c r="L27" s="2179"/>
      <c r="M27" s="2408"/>
      <c r="N27" s="2773"/>
      <c r="O27" s="2807"/>
      <c r="P27" s="2218"/>
      <c r="Q27" s="2938"/>
      <c r="R27" s="2935"/>
      <c r="S27" s="2823"/>
      <c r="T27" s="2849"/>
      <c r="U27" s="630" t="s">
        <v>587</v>
      </c>
      <c r="V27" s="627">
        <v>10000000</v>
      </c>
      <c r="W27" s="632"/>
      <c r="X27" s="399"/>
      <c r="Y27" s="2936"/>
      <c r="Z27" s="2937"/>
      <c r="AA27" s="2229"/>
      <c r="AB27" s="2937"/>
      <c r="AC27" s="2937"/>
      <c r="AD27" s="2937"/>
      <c r="AE27" s="2229"/>
      <c r="AF27" s="2229"/>
      <c r="AG27" s="2229"/>
      <c r="AH27" s="2229"/>
      <c r="AI27" s="2229"/>
      <c r="AJ27" s="2229"/>
      <c r="AK27" s="2229"/>
      <c r="AL27" s="2229"/>
      <c r="AM27" s="2229"/>
      <c r="AN27" s="2229"/>
      <c r="AO27" s="2895"/>
      <c r="AP27" s="2895"/>
      <c r="AQ27" s="2929"/>
    </row>
    <row r="28" spans="1:43" ht="75" x14ac:dyDescent="0.2">
      <c r="A28" s="625"/>
      <c r="B28" s="109"/>
      <c r="C28" s="109"/>
      <c r="D28" s="2930"/>
      <c r="E28" s="2930"/>
      <c r="F28" s="2930"/>
      <c r="G28" s="2926"/>
      <c r="H28" s="2926"/>
      <c r="I28" s="2926"/>
      <c r="J28" s="480">
        <v>16</v>
      </c>
      <c r="K28" s="407" t="s">
        <v>588</v>
      </c>
      <c r="L28" s="483" t="s">
        <v>589</v>
      </c>
      <c r="M28" s="633">
        <v>4</v>
      </c>
      <c r="N28" s="2773"/>
      <c r="O28" s="2807"/>
      <c r="P28" s="2218"/>
      <c r="Q28" s="634">
        <f>V28/$R$26</f>
        <v>2.8763183125599234E-2</v>
      </c>
      <c r="R28" s="2935"/>
      <c r="S28" s="2823"/>
      <c r="T28" s="2849"/>
      <c r="U28" s="289" t="s">
        <v>590</v>
      </c>
      <c r="V28" s="627">
        <v>6000000</v>
      </c>
      <c r="W28" s="632"/>
      <c r="X28" s="399"/>
      <c r="Y28" s="2936"/>
      <c r="Z28" s="2937"/>
      <c r="AA28" s="2229"/>
      <c r="AB28" s="2937"/>
      <c r="AC28" s="2937"/>
      <c r="AD28" s="2937"/>
      <c r="AE28" s="2229"/>
      <c r="AF28" s="2229"/>
      <c r="AG28" s="2229"/>
      <c r="AH28" s="2229"/>
      <c r="AI28" s="2229"/>
      <c r="AJ28" s="2229"/>
      <c r="AK28" s="2229"/>
      <c r="AL28" s="2229"/>
      <c r="AM28" s="2229"/>
      <c r="AN28" s="2229"/>
      <c r="AO28" s="2895"/>
      <c r="AP28" s="2895"/>
      <c r="AQ28" s="2929"/>
    </row>
    <row r="29" spans="1:43" ht="69" customHeight="1" x14ac:dyDescent="0.2">
      <c r="A29" s="625"/>
      <c r="B29" s="109"/>
      <c r="C29" s="109"/>
      <c r="D29" s="2930"/>
      <c r="E29" s="2930"/>
      <c r="F29" s="2930"/>
      <c r="G29" s="2926"/>
      <c r="H29" s="2926"/>
      <c r="I29" s="2926"/>
      <c r="J29" s="480">
        <v>18</v>
      </c>
      <c r="K29" s="390" t="s">
        <v>591</v>
      </c>
      <c r="L29" s="483" t="s">
        <v>592</v>
      </c>
      <c r="M29" s="633">
        <v>7</v>
      </c>
      <c r="N29" s="2773"/>
      <c r="O29" s="2807"/>
      <c r="P29" s="2218"/>
      <c r="Q29" s="634">
        <f>V29/$R$26</f>
        <v>4.1227229146692232E-2</v>
      </c>
      <c r="R29" s="2935"/>
      <c r="S29" s="2823"/>
      <c r="T29" s="2853"/>
      <c r="U29" s="635" t="s">
        <v>593</v>
      </c>
      <c r="V29" s="627">
        <v>8600000</v>
      </c>
      <c r="W29" s="632">
        <v>20</v>
      </c>
      <c r="X29" s="399" t="s">
        <v>537</v>
      </c>
      <c r="Y29" s="2936"/>
      <c r="Z29" s="2937"/>
      <c r="AA29" s="2229"/>
      <c r="AB29" s="2937"/>
      <c r="AC29" s="2937"/>
      <c r="AD29" s="2937"/>
      <c r="AE29" s="2229"/>
      <c r="AF29" s="2229"/>
      <c r="AG29" s="2229"/>
      <c r="AH29" s="2229"/>
      <c r="AI29" s="2229"/>
      <c r="AJ29" s="2229"/>
      <c r="AK29" s="2229"/>
      <c r="AL29" s="2229"/>
      <c r="AM29" s="2229"/>
      <c r="AN29" s="2229"/>
      <c r="AO29" s="2895"/>
      <c r="AP29" s="2895"/>
      <c r="AQ29" s="2929"/>
    </row>
    <row r="30" spans="1:43" ht="75" x14ac:dyDescent="0.2">
      <c r="A30" s="625"/>
      <c r="B30" s="109"/>
      <c r="C30" s="109"/>
      <c r="D30" s="2930"/>
      <c r="E30" s="2930"/>
      <c r="F30" s="2930"/>
      <c r="G30" s="2926"/>
      <c r="H30" s="2926"/>
      <c r="I30" s="2926"/>
      <c r="J30" s="480">
        <v>19</v>
      </c>
      <c r="K30" s="391" t="s">
        <v>594</v>
      </c>
      <c r="L30" s="483" t="s">
        <v>595</v>
      </c>
      <c r="M30" s="633">
        <v>9</v>
      </c>
      <c r="N30" s="2773"/>
      <c r="O30" s="2807"/>
      <c r="P30" s="2218"/>
      <c r="Q30" s="634">
        <f t="shared" ref="Q30:Q31" si="0">V30/$R$26</f>
        <v>3.3557046979865772E-2</v>
      </c>
      <c r="R30" s="2935"/>
      <c r="S30" s="2823"/>
      <c r="T30" s="403" t="s">
        <v>596</v>
      </c>
      <c r="U30" s="636" t="s">
        <v>597</v>
      </c>
      <c r="V30" s="627">
        <v>7000000</v>
      </c>
      <c r="W30" s="632"/>
      <c r="X30" s="399"/>
      <c r="Y30" s="2936"/>
      <c r="Z30" s="2937"/>
      <c r="AA30" s="2229"/>
      <c r="AB30" s="2937"/>
      <c r="AC30" s="2937"/>
      <c r="AD30" s="2937"/>
      <c r="AE30" s="2229"/>
      <c r="AF30" s="2229"/>
      <c r="AG30" s="2229"/>
      <c r="AH30" s="2229"/>
      <c r="AI30" s="2229"/>
      <c r="AJ30" s="2229"/>
      <c r="AK30" s="2229"/>
      <c r="AL30" s="2229"/>
      <c r="AM30" s="2229"/>
      <c r="AN30" s="2229"/>
      <c r="AO30" s="2895"/>
      <c r="AP30" s="2895"/>
      <c r="AQ30" s="2929"/>
    </row>
    <row r="31" spans="1:43" ht="75" x14ac:dyDescent="0.2">
      <c r="A31" s="625"/>
      <c r="B31" s="109"/>
      <c r="C31" s="109"/>
      <c r="D31" s="2930"/>
      <c r="E31" s="2930"/>
      <c r="F31" s="2930"/>
      <c r="G31" s="2926"/>
      <c r="H31" s="2926"/>
      <c r="I31" s="2926"/>
      <c r="J31" s="480">
        <v>20</v>
      </c>
      <c r="K31" s="391" t="s">
        <v>598</v>
      </c>
      <c r="L31" s="483" t="s">
        <v>599</v>
      </c>
      <c r="M31" s="389">
        <v>70</v>
      </c>
      <c r="N31" s="2774"/>
      <c r="O31" s="2864"/>
      <c r="P31" s="2179"/>
      <c r="Q31" s="634">
        <f t="shared" si="0"/>
        <v>3.3557046979865772E-2</v>
      </c>
      <c r="R31" s="2935"/>
      <c r="S31" s="2823"/>
      <c r="T31" s="403" t="s">
        <v>600</v>
      </c>
      <c r="U31" s="391" t="s">
        <v>601</v>
      </c>
      <c r="V31" s="627">
        <v>7000000</v>
      </c>
      <c r="W31" s="637"/>
      <c r="X31" s="404"/>
      <c r="Y31" s="2936"/>
      <c r="Z31" s="2937"/>
      <c r="AA31" s="2229"/>
      <c r="AB31" s="2937"/>
      <c r="AC31" s="2937"/>
      <c r="AD31" s="2937"/>
      <c r="AE31" s="2229"/>
      <c r="AF31" s="2229"/>
      <c r="AG31" s="2229"/>
      <c r="AH31" s="2229"/>
      <c r="AI31" s="2229"/>
      <c r="AJ31" s="2229"/>
      <c r="AK31" s="2229"/>
      <c r="AL31" s="2229"/>
      <c r="AM31" s="2229"/>
      <c r="AN31" s="2229"/>
      <c r="AO31" s="2895"/>
      <c r="AP31" s="2895"/>
      <c r="AQ31" s="2929"/>
    </row>
    <row r="32" spans="1:43" ht="15.75" x14ac:dyDescent="0.2">
      <c r="A32" s="126">
        <v>2</v>
      </c>
      <c r="B32" s="127" t="s">
        <v>602</v>
      </c>
      <c r="C32" s="127"/>
      <c r="D32" s="127"/>
      <c r="E32" s="127"/>
      <c r="F32" s="127"/>
      <c r="G32" s="127"/>
      <c r="H32" s="127"/>
      <c r="I32" s="127"/>
      <c r="J32" s="127"/>
      <c r="K32" s="129"/>
      <c r="L32" s="129"/>
      <c r="M32" s="130"/>
      <c r="N32" s="130"/>
      <c r="O32" s="130"/>
      <c r="P32" s="129"/>
      <c r="Q32" s="638"/>
      <c r="R32" s="639"/>
      <c r="S32" s="129"/>
      <c r="T32" s="129"/>
      <c r="U32" s="129"/>
      <c r="V32" s="640"/>
      <c r="W32" s="641"/>
      <c r="X32" s="642"/>
      <c r="Y32" s="130"/>
      <c r="Z32" s="130"/>
      <c r="AA32" s="130"/>
      <c r="AB32" s="130"/>
      <c r="AC32" s="130"/>
      <c r="AD32" s="130"/>
      <c r="AE32" s="130"/>
      <c r="AF32" s="130"/>
      <c r="AG32" s="130"/>
      <c r="AH32" s="130"/>
      <c r="AI32" s="130"/>
      <c r="AJ32" s="130"/>
      <c r="AK32" s="130"/>
      <c r="AL32" s="130"/>
      <c r="AM32" s="130"/>
      <c r="AN32" s="127"/>
      <c r="AO32" s="643"/>
      <c r="AP32" s="135"/>
      <c r="AQ32" s="136"/>
    </row>
    <row r="33" spans="1:43" ht="15.75" x14ac:dyDescent="0.2">
      <c r="A33" s="337"/>
      <c r="B33" s="338"/>
      <c r="C33" s="339"/>
      <c r="D33" s="644">
        <v>2</v>
      </c>
      <c r="E33" s="249" t="s">
        <v>603</v>
      </c>
      <c r="F33" s="249"/>
      <c r="G33" s="140"/>
      <c r="H33" s="140"/>
      <c r="I33" s="140"/>
      <c r="J33" s="140"/>
      <c r="K33" s="141"/>
      <c r="L33" s="141"/>
      <c r="M33" s="142"/>
      <c r="N33" s="142"/>
      <c r="O33" s="142"/>
      <c r="P33" s="141"/>
      <c r="Q33" s="645"/>
      <c r="R33" s="646"/>
      <c r="S33" s="141"/>
      <c r="T33" s="141"/>
      <c r="U33" s="141"/>
      <c r="V33" s="647"/>
      <c r="W33" s="147"/>
      <c r="X33" s="142"/>
      <c r="Y33" s="142"/>
      <c r="Z33" s="142"/>
      <c r="AA33" s="142"/>
      <c r="AB33" s="142"/>
      <c r="AC33" s="142"/>
      <c r="AD33" s="142"/>
      <c r="AE33" s="142"/>
      <c r="AF33" s="142"/>
      <c r="AG33" s="142"/>
      <c r="AH33" s="142"/>
      <c r="AI33" s="142"/>
      <c r="AJ33" s="142"/>
      <c r="AK33" s="142"/>
      <c r="AL33" s="142"/>
      <c r="AM33" s="142"/>
      <c r="AN33" s="140"/>
      <c r="AO33" s="648"/>
      <c r="AP33" s="148"/>
      <c r="AQ33" s="149"/>
    </row>
    <row r="34" spans="1:43" ht="15.75" x14ac:dyDescent="0.2">
      <c r="A34" s="137"/>
      <c r="B34" s="138"/>
      <c r="C34" s="138"/>
      <c r="D34" s="150"/>
      <c r="E34" s="338"/>
      <c r="F34" s="339"/>
      <c r="G34" s="629">
        <v>4</v>
      </c>
      <c r="H34" s="152" t="s">
        <v>604</v>
      </c>
      <c r="I34" s="152"/>
      <c r="J34" s="152"/>
      <c r="K34" s="598"/>
      <c r="L34" s="598"/>
      <c r="M34" s="599"/>
      <c r="N34" s="599"/>
      <c r="O34" s="599"/>
      <c r="P34" s="598"/>
      <c r="Q34" s="619"/>
      <c r="R34" s="620"/>
      <c r="S34" s="598"/>
      <c r="T34" s="598"/>
      <c r="U34" s="598"/>
      <c r="V34" s="621"/>
      <c r="W34" s="159"/>
      <c r="X34" s="154"/>
      <c r="Y34" s="599"/>
      <c r="Z34" s="599"/>
      <c r="AA34" s="599"/>
      <c r="AB34" s="599"/>
      <c r="AC34" s="599"/>
      <c r="AD34" s="599"/>
      <c r="AE34" s="599"/>
      <c r="AF34" s="599"/>
      <c r="AG34" s="599"/>
      <c r="AH34" s="599"/>
      <c r="AI34" s="599"/>
      <c r="AJ34" s="599"/>
      <c r="AK34" s="599"/>
      <c r="AL34" s="599"/>
      <c r="AM34" s="599"/>
      <c r="AN34" s="152"/>
      <c r="AO34" s="624"/>
      <c r="AP34" s="603"/>
      <c r="AQ34" s="604"/>
    </row>
    <row r="35" spans="1:43" ht="69" customHeight="1" x14ac:dyDescent="0.2">
      <c r="A35" s="625"/>
      <c r="B35" s="109"/>
      <c r="C35" s="109"/>
      <c r="D35" s="649"/>
      <c r="E35" s="109"/>
      <c r="F35" s="650"/>
      <c r="G35" s="651"/>
      <c r="H35" s="652"/>
      <c r="I35" s="653"/>
      <c r="J35" s="2772">
        <v>21</v>
      </c>
      <c r="K35" s="2783" t="s">
        <v>605</v>
      </c>
      <c r="L35" s="2783" t="s">
        <v>606</v>
      </c>
      <c r="M35" s="2398">
        <v>100</v>
      </c>
      <c r="N35" s="2857" t="s">
        <v>607</v>
      </c>
      <c r="O35" s="2843" t="s">
        <v>608</v>
      </c>
      <c r="P35" s="2148" t="s">
        <v>609</v>
      </c>
      <c r="Q35" s="2939">
        <f>SUM(V35:V36)*1/R35</f>
        <v>0.19393939393939394</v>
      </c>
      <c r="R35" s="2935">
        <f>SUM(V35:V42)</f>
        <v>330000000</v>
      </c>
      <c r="S35" s="2783" t="s">
        <v>610</v>
      </c>
      <c r="T35" s="2787" t="s">
        <v>611</v>
      </c>
      <c r="U35" s="485" t="s">
        <v>612</v>
      </c>
      <c r="V35" s="654">
        <f>30000000+20000000</f>
        <v>50000000</v>
      </c>
      <c r="W35" s="631"/>
      <c r="X35" s="400"/>
      <c r="Y35" s="2942">
        <v>40</v>
      </c>
      <c r="Z35" s="2409">
        <v>60</v>
      </c>
      <c r="AA35" s="2222">
        <v>10</v>
      </c>
      <c r="AB35" s="2229">
        <v>20</v>
      </c>
      <c r="AC35" s="2229">
        <v>30</v>
      </c>
      <c r="AD35" s="2229">
        <v>40</v>
      </c>
      <c r="AE35" s="2229">
        <v>5</v>
      </c>
      <c r="AF35" s="2184"/>
      <c r="AG35" s="2184"/>
      <c r="AH35" s="2184"/>
      <c r="AI35" s="2184"/>
      <c r="AJ35" s="2184"/>
      <c r="AK35" s="2941">
        <v>5</v>
      </c>
      <c r="AL35" s="2184"/>
      <c r="AM35" s="2184"/>
      <c r="AN35" s="2229">
        <v>100</v>
      </c>
      <c r="AO35" s="2895">
        <v>43101</v>
      </c>
      <c r="AP35" s="2895">
        <v>43435</v>
      </c>
      <c r="AQ35" s="2929" t="s">
        <v>538</v>
      </c>
    </row>
    <row r="36" spans="1:43" ht="45.75" customHeight="1" x14ac:dyDescent="0.2">
      <c r="A36" s="625"/>
      <c r="B36" s="109"/>
      <c r="C36" s="109"/>
      <c r="D36" s="649"/>
      <c r="E36" s="109"/>
      <c r="F36" s="650"/>
      <c r="G36" s="649"/>
      <c r="H36" s="109"/>
      <c r="I36" s="650"/>
      <c r="J36" s="2774"/>
      <c r="K36" s="2784"/>
      <c r="L36" s="2784"/>
      <c r="M36" s="2400"/>
      <c r="N36" s="2858"/>
      <c r="O36" s="2807"/>
      <c r="P36" s="2218"/>
      <c r="Q36" s="2940"/>
      <c r="R36" s="2935"/>
      <c r="S36" s="2793"/>
      <c r="T36" s="2827"/>
      <c r="U36" s="485" t="s">
        <v>613</v>
      </c>
      <c r="V36" s="654">
        <v>14000000</v>
      </c>
      <c r="W36" s="632"/>
      <c r="X36" s="401"/>
      <c r="Y36" s="2943"/>
      <c r="Z36" s="2420"/>
      <c r="AA36" s="2223"/>
      <c r="AB36" s="2229"/>
      <c r="AC36" s="2229"/>
      <c r="AD36" s="2229"/>
      <c r="AE36" s="2229"/>
      <c r="AF36" s="2184"/>
      <c r="AG36" s="2184"/>
      <c r="AH36" s="2184"/>
      <c r="AI36" s="2184"/>
      <c r="AJ36" s="2184"/>
      <c r="AK36" s="2941"/>
      <c r="AL36" s="2184"/>
      <c r="AM36" s="2184"/>
      <c r="AN36" s="2229"/>
      <c r="AO36" s="2895"/>
      <c r="AP36" s="2895"/>
      <c r="AQ36" s="2929"/>
    </row>
    <row r="37" spans="1:43" ht="94.5" customHeight="1" x14ac:dyDescent="0.2">
      <c r="A37" s="625"/>
      <c r="B37" s="109"/>
      <c r="C37" s="109"/>
      <c r="D37" s="649"/>
      <c r="E37" s="109"/>
      <c r="F37" s="650"/>
      <c r="G37" s="649"/>
      <c r="H37" s="109"/>
      <c r="I37" s="650"/>
      <c r="J37" s="2398">
        <v>22</v>
      </c>
      <c r="K37" s="2430" t="s">
        <v>614</v>
      </c>
      <c r="L37" s="2430" t="s">
        <v>615</v>
      </c>
      <c r="M37" s="2408">
        <v>2</v>
      </c>
      <c r="N37" s="2858"/>
      <c r="O37" s="2807"/>
      <c r="P37" s="2218"/>
      <c r="Q37" s="2939">
        <f>SUM(V37:V38)*1/R35</f>
        <v>8.4848484848484854E-2</v>
      </c>
      <c r="R37" s="2935"/>
      <c r="S37" s="2793"/>
      <c r="T37" s="2827"/>
      <c r="U37" s="289" t="s">
        <v>616</v>
      </c>
      <c r="V37" s="610">
        <v>10000000</v>
      </c>
      <c r="W37" s="632"/>
      <c r="X37" s="401"/>
      <c r="Y37" s="2943"/>
      <c r="Z37" s="2420"/>
      <c r="AA37" s="2223"/>
      <c r="AB37" s="2229"/>
      <c r="AC37" s="2229"/>
      <c r="AD37" s="2229"/>
      <c r="AE37" s="2229"/>
      <c r="AF37" s="2184"/>
      <c r="AG37" s="2184"/>
      <c r="AH37" s="2184"/>
      <c r="AI37" s="2184"/>
      <c r="AJ37" s="2184"/>
      <c r="AK37" s="2941"/>
      <c r="AL37" s="2184"/>
      <c r="AM37" s="2184"/>
      <c r="AN37" s="2229"/>
      <c r="AO37" s="2895"/>
      <c r="AP37" s="2895"/>
      <c r="AQ37" s="2929"/>
    </row>
    <row r="38" spans="1:43" ht="60" x14ac:dyDescent="0.2">
      <c r="A38" s="625"/>
      <c r="B38" s="109"/>
      <c r="C38" s="109"/>
      <c r="D38" s="649"/>
      <c r="E38" s="109"/>
      <c r="F38" s="650"/>
      <c r="G38" s="649"/>
      <c r="H38" s="109"/>
      <c r="I38" s="650"/>
      <c r="J38" s="2400"/>
      <c r="K38" s="2430"/>
      <c r="L38" s="2430"/>
      <c r="M38" s="2408"/>
      <c r="N38" s="2858"/>
      <c r="O38" s="2807"/>
      <c r="P38" s="2218"/>
      <c r="Q38" s="2940"/>
      <c r="R38" s="2935"/>
      <c r="S38" s="2793"/>
      <c r="T38" s="2788"/>
      <c r="U38" s="289" t="s">
        <v>617</v>
      </c>
      <c r="V38" s="610">
        <v>18000000</v>
      </c>
      <c r="W38" s="632">
        <v>20</v>
      </c>
      <c r="X38" s="401" t="s">
        <v>537</v>
      </c>
      <c r="Y38" s="2943"/>
      <c r="Z38" s="2420"/>
      <c r="AA38" s="2223"/>
      <c r="AB38" s="2229"/>
      <c r="AC38" s="2229"/>
      <c r="AD38" s="2229"/>
      <c r="AE38" s="2229"/>
      <c r="AF38" s="2184"/>
      <c r="AG38" s="2184"/>
      <c r="AH38" s="2184"/>
      <c r="AI38" s="2184"/>
      <c r="AJ38" s="2184"/>
      <c r="AK38" s="2941"/>
      <c r="AL38" s="2184"/>
      <c r="AM38" s="2184"/>
      <c r="AN38" s="2229"/>
      <c r="AO38" s="2895"/>
      <c r="AP38" s="2895"/>
      <c r="AQ38" s="2929"/>
    </row>
    <row r="39" spans="1:43" ht="63" customHeight="1" x14ac:dyDescent="0.2">
      <c r="A39" s="625"/>
      <c r="B39" s="109"/>
      <c r="C39" s="109"/>
      <c r="D39" s="649"/>
      <c r="E39" s="109"/>
      <c r="F39" s="650"/>
      <c r="G39" s="649"/>
      <c r="H39" s="109"/>
      <c r="I39" s="650"/>
      <c r="J39" s="2398">
        <v>23</v>
      </c>
      <c r="K39" s="2390" t="s">
        <v>618</v>
      </c>
      <c r="L39" s="2390" t="s">
        <v>619</v>
      </c>
      <c r="M39" s="2134">
        <v>1</v>
      </c>
      <c r="N39" s="2858"/>
      <c r="O39" s="2807"/>
      <c r="P39" s="2218"/>
      <c r="Q39" s="2938">
        <f>SUM(V39:V41)*1/R35</f>
        <v>0.43636363636363634</v>
      </c>
      <c r="R39" s="2935"/>
      <c r="S39" s="2793"/>
      <c r="T39" s="2148" t="s">
        <v>620</v>
      </c>
      <c r="U39" s="485" t="s">
        <v>621</v>
      </c>
      <c r="V39" s="627">
        <v>60000000</v>
      </c>
      <c r="W39" s="632">
        <v>88</v>
      </c>
      <c r="X39" s="401" t="s">
        <v>622</v>
      </c>
      <c r="Y39" s="2943"/>
      <c r="Z39" s="2420"/>
      <c r="AA39" s="2223"/>
      <c r="AB39" s="2229"/>
      <c r="AC39" s="2229"/>
      <c r="AD39" s="2229"/>
      <c r="AE39" s="2229"/>
      <c r="AF39" s="2184"/>
      <c r="AG39" s="2184"/>
      <c r="AH39" s="2184"/>
      <c r="AI39" s="2184"/>
      <c r="AJ39" s="2184"/>
      <c r="AK39" s="2941"/>
      <c r="AL39" s="2184"/>
      <c r="AM39" s="2184"/>
      <c r="AN39" s="2229"/>
      <c r="AO39" s="2895"/>
      <c r="AP39" s="2895"/>
      <c r="AQ39" s="2929"/>
    </row>
    <row r="40" spans="1:43" ht="72" customHeight="1" x14ac:dyDescent="0.2">
      <c r="A40" s="625"/>
      <c r="B40" s="109"/>
      <c r="C40" s="109"/>
      <c r="D40" s="649"/>
      <c r="E40" s="109"/>
      <c r="F40" s="650"/>
      <c r="G40" s="649"/>
      <c r="H40" s="109"/>
      <c r="I40" s="650"/>
      <c r="J40" s="2399"/>
      <c r="K40" s="2391"/>
      <c r="L40" s="2391"/>
      <c r="M40" s="2134"/>
      <c r="N40" s="2858"/>
      <c r="O40" s="2807"/>
      <c r="P40" s="2218"/>
      <c r="Q40" s="2938"/>
      <c r="R40" s="2935"/>
      <c r="S40" s="2793"/>
      <c r="T40" s="2218"/>
      <c r="U40" s="407" t="s">
        <v>623</v>
      </c>
      <c r="V40" s="628">
        <f>14000000+20000000</f>
        <v>34000000</v>
      </c>
      <c r="W40" s="632"/>
      <c r="X40" s="401"/>
      <c r="Y40" s="2943"/>
      <c r="Z40" s="2420"/>
      <c r="AA40" s="2223"/>
      <c r="AB40" s="2229"/>
      <c r="AC40" s="2229"/>
      <c r="AD40" s="2229"/>
      <c r="AE40" s="2229"/>
      <c r="AF40" s="2184"/>
      <c r="AG40" s="2184"/>
      <c r="AH40" s="2184"/>
      <c r="AI40" s="2184"/>
      <c r="AJ40" s="2184"/>
      <c r="AK40" s="2941"/>
      <c r="AL40" s="2184"/>
      <c r="AM40" s="2184"/>
      <c r="AN40" s="2229"/>
      <c r="AO40" s="2895"/>
      <c r="AP40" s="2895"/>
      <c r="AQ40" s="2929"/>
    </row>
    <row r="41" spans="1:43" ht="39.75" customHeight="1" x14ac:dyDescent="0.2">
      <c r="A41" s="625"/>
      <c r="B41" s="109"/>
      <c r="C41" s="109"/>
      <c r="D41" s="649"/>
      <c r="E41" s="109"/>
      <c r="F41" s="650"/>
      <c r="G41" s="649"/>
      <c r="H41" s="109"/>
      <c r="I41" s="650"/>
      <c r="J41" s="2400"/>
      <c r="K41" s="2392"/>
      <c r="L41" s="2392"/>
      <c r="M41" s="2134"/>
      <c r="N41" s="2858"/>
      <c r="O41" s="2807"/>
      <c r="P41" s="2218"/>
      <c r="Q41" s="2938"/>
      <c r="R41" s="2935"/>
      <c r="S41" s="2793"/>
      <c r="T41" s="2218"/>
      <c r="U41" s="485" t="s">
        <v>624</v>
      </c>
      <c r="V41" s="654">
        <f>40000000+10000000</f>
        <v>50000000</v>
      </c>
      <c r="W41" s="632"/>
      <c r="X41" s="401"/>
      <c r="Y41" s="2943"/>
      <c r="Z41" s="2420"/>
      <c r="AA41" s="2223"/>
      <c r="AB41" s="2229"/>
      <c r="AC41" s="2229"/>
      <c r="AD41" s="2229"/>
      <c r="AE41" s="2229"/>
      <c r="AF41" s="2184"/>
      <c r="AG41" s="2184"/>
      <c r="AH41" s="2184"/>
      <c r="AI41" s="2184"/>
      <c r="AJ41" s="2184"/>
      <c r="AK41" s="2941"/>
      <c r="AL41" s="2184"/>
      <c r="AM41" s="2184"/>
      <c r="AN41" s="2229"/>
      <c r="AO41" s="2895"/>
      <c r="AP41" s="2895"/>
      <c r="AQ41" s="2929"/>
    </row>
    <row r="42" spans="1:43" ht="92.25" customHeight="1" x14ac:dyDescent="0.2">
      <c r="A42" s="625"/>
      <c r="B42" s="109"/>
      <c r="C42" s="109"/>
      <c r="D42" s="649"/>
      <c r="E42" s="109"/>
      <c r="F42" s="650"/>
      <c r="G42" s="655"/>
      <c r="H42" s="656"/>
      <c r="I42" s="657"/>
      <c r="J42" s="633">
        <v>24</v>
      </c>
      <c r="K42" s="483" t="s">
        <v>625</v>
      </c>
      <c r="L42" s="483" t="s">
        <v>626</v>
      </c>
      <c r="M42" s="464">
        <v>1</v>
      </c>
      <c r="N42" s="2859"/>
      <c r="O42" s="2864"/>
      <c r="P42" s="2179"/>
      <c r="Q42" s="634">
        <f>V42*1/R35</f>
        <v>0.28484848484848485</v>
      </c>
      <c r="R42" s="2935"/>
      <c r="S42" s="2784"/>
      <c r="T42" s="2179"/>
      <c r="U42" s="391" t="s">
        <v>627</v>
      </c>
      <c r="V42" s="628">
        <f>44000000+50000000</f>
        <v>94000000</v>
      </c>
      <c r="W42" s="637"/>
      <c r="X42" s="405"/>
      <c r="Y42" s="2944"/>
      <c r="Z42" s="2410"/>
      <c r="AA42" s="2224"/>
      <c r="AB42" s="2229"/>
      <c r="AC42" s="2229"/>
      <c r="AD42" s="2229"/>
      <c r="AE42" s="2229"/>
      <c r="AF42" s="2184"/>
      <c r="AG42" s="2184"/>
      <c r="AH42" s="2184"/>
      <c r="AI42" s="2184"/>
      <c r="AJ42" s="2184"/>
      <c r="AK42" s="2941"/>
      <c r="AL42" s="2184"/>
      <c r="AM42" s="2184"/>
      <c r="AN42" s="2229"/>
      <c r="AO42" s="2895"/>
      <c r="AP42" s="2895"/>
      <c r="AQ42" s="2929"/>
    </row>
    <row r="43" spans="1:43" ht="15.75" x14ac:dyDescent="0.2">
      <c r="A43" s="137"/>
      <c r="B43" s="138"/>
      <c r="C43" s="138"/>
      <c r="D43" s="658"/>
      <c r="E43" s="138"/>
      <c r="F43" s="351"/>
      <c r="G43" s="659">
        <v>5</v>
      </c>
      <c r="H43" s="160" t="s">
        <v>628</v>
      </c>
      <c r="I43" s="160"/>
      <c r="J43" s="152"/>
      <c r="K43" s="598"/>
      <c r="L43" s="598"/>
      <c r="M43" s="599"/>
      <c r="N43" s="599"/>
      <c r="O43" s="599"/>
      <c r="P43" s="598"/>
      <c r="Q43" s="619"/>
      <c r="R43" s="620"/>
      <c r="S43" s="598"/>
      <c r="T43" s="598"/>
      <c r="U43" s="598"/>
      <c r="V43" s="621"/>
      <c r="W43" s="660"/>
      <c r="X43" s="661"/>
      <c r="Y43" s="599"/>
      <c r="Z43" s="599"/>
      <c r="AA43" s="599"/>
      <c r="AB43" s="599"/>
      <c r="AC43" s="599"/>
      <c r="AD43" s="599"/>
      <c r="AE43" s="599"/>
      <c r="AF43" s="599"/>
      <c r="AG43" s="599"/>
      <c r="AH43" s="599"/>
      <c r="AI43" s="599"/>
      <c r="AJ43" s="599"/>
      <c r="AK43" s="599"/>
      <c r="AL43" s="599"/>
      <c r="AM43" s="599"/>
      <c r="AN43" s="152"/>
      <c r="AO43" s="624"/>
      <c r="AP43" s="603"/>
      <c r="AQ43" s="604"/>
    </row>
    <row r="44" spans="1:43" ht="105" customHeight="1" x14ac:dyDescent="0.2">
      <c r="A44" s="625"/>
      <c r="B44" s="109"/>
      <c r="C44" s="109"/>
      <c r="D44" s="649"/>
      <c r="E44" s="109"/>
      <c r="F44" s="109"/>
      <c r="G44" s="651"/>
      <c r="H44" s="652"/>
      <c r="I44" s="653"/>
      <c r="J44" s="2367">
        <v>25</v>
      </c>
      <c r="K44" s="2390" t="s">
        <v>629</v>
      </c>
      <c r="L44" s="2390" t="s">
        <v>630</v>
      </c>
      <c r="M44" s="2408">
        <v>2</v>
      </c>
      <c r="N44" s="2045"/>
      <c r="O44" s="2843" t="s">
        <v>631</v>
      </c>
      <c r="P44" s="2783" t="s">
        <v>632</v>
      </c>
      <c r="Q44" s="2938">
        <f>SUM(V44:V46)*1/R44</f>
        <v>0.62552126772310257</v>
      </c>
      <c r="R44" s="2947">
        <f>SUM(V44:V50)</f>
        <v>1199000000</v>
      </c>
      <c r="S44" s="2823" t="s">
        <v>633</v>
      </c>
      <c r="T44" s="2783" t="s">
        <v>634</v>
      </c>
      <c r="U44" s="396" t="s">
        <v>635</v>
      </c>
      <c r="V44" s="662">
        <v>530000000</v>
      </c>
      <c r="W44" s="398"/>
      <c r="X44" s="400"/>
      <c r="Y44" s="2222">
        <v>600</v>
      </c>
      <c r="Z44" s="2222">
        <v>600</v>
      </c>
      <c r="AA44" s="2222">
        <v>125</v>
      </c>
      <c r="AB44" s="2222">
        <v>75</v>
      </c>
      <c r="AC44" s="2222">
        <v>300</v>
      </c>
      <c r="AD44" s="2222">
        <v>700</v>
      </c>
      <c r="AE44" s="2222">
        <v>50</v>
      </c>
      <c r="AF44" s="2222">
        <v>30</v>
      </c>
      <c r="AG44" s="2937"/>
      <c r="AH44" s="2937"/>
      <c r="AI44" s="2937"/>
      <c r="AJ44" s="2937"/>
      <c r="AK44" s="2946">
        <v>10</v>
      </c>
      <c r="AL44" s="2946">
        <v>10</v>
      </c>
      <c r="AM44" s="2222"/>
      <c r="AN44" s="2229">
        <f>SUM(Y44:Z50)</f>
        <v>1200</v>
      </c>
      <c r="AO44" s="2895">
        <v>43101</v>
      </c>
      <c r="AP44" s="2895">
        <v>43435</v>
      </c>
      <c r="AQ44" s="2945" t="s">
        <v>538</v>
      </c>
    </row>
    <row r="45" spans="1:43" ht="72.75" customHeight="1" x14ac:dyDescent="0.2">
      <c r="A45" s="625"/>
      <c r="B45" s="109"/>
      <c r="C45" s="109"/>
      <c r="D45" s="649"/>
      <c r="E45" s="109"/>
      <c r="F45" s="109"/>
      <c r="G45" s="649"/>
      <c r="H45" s="109"/>
      <c r="I45" s="650"/>
      <c r="J45" s="2370"/>
      <c r="K45" s="2391"/>
      <c r="L45" s="2391"/>
      <c r="M45" s="2408"/>
      <c r="N45" s="2046"/>
      <c r="O45" s="2807"/>
      <c r="P45" s="2793"/>
      <c r="Q45" s="2938"/>
      <c r="R45" s="2948"/>
      <c r="S45" s="2823"/>
      <c r="T45" s="2793"/>
      <c r="U45" s="396" t="s">
        <v>636</v>
      </c>
      <c r="V45" s="662">
        <v>20000000</v>
      </c>
      <c r="W45" s="399"/>
      <c r="X45" s="401"/>
      <c r="Y45" s="2223"/>
      <c r="Z45" s="2223"/>
      <c r="AA45" s="2223"/>
      <c r="AB45" s="2223"/>
      <c r="AC45" s="2223"/>
      <c r="AD45" s="2223"/>
      <c r="AE45" s="2223"/>
      <c r="AF45" s="2223"/>
      <c r="AG45" s="2937"/>
      <c r="AH45" s="2937"/>
      <c r="AI45" s="2937"/>
      <c r="AJ45" s="2937"/>
      <c r="AK45" s="2946"/>
      <c r="AL45" s="2946"/>
      <c r="AM45" s="2223"/>
      <c r="AN45" s="2229"/>
      <c r="AO45" s="2895"/>
      <c r="AP45" s="2895"/>
      <c r="AQ45" s="2945"/>
    </row>
    <row r="46" spans="1:43" ht="60" customHeight="1" x14ac:dyDescent="0.2">
      <c r="A46" s="625"/>
      <c r="B46" s="109"/>
      <c r="C46" s="109"/>
      <c r="D46" s="649"/>
      <c r="E46" s="109"/>
      <c r="F46" s="109"/>
      <c r="G46" s="649"/>
      <c r="H46" s="109"/>
      <c r="I46" s="650"/>
      <c r="J46" s="2370"/>
      <c r="K46" s="2391"/>
      <c r="L46" s="2391"/>
      <c r="M46" s="2408"/>
      <c r="N46" s="2046" t="s">
        <v>637</v>
      </c>
      <c r="O46" s="2807"/>
      <c r="P46" s="2793"/>
      <c r="Q46" s="2938"/>
      <c r="R46" s="2948"/>
      <c r="S46" s="2823"/>
      <c r="T46" s="2793"/>
      <c r="U46" s="267" t="s">
        <v>638</v>
      </c>
      <c r="V46" s="662">
        <v>200000000</v>
      </c>
      <c r="W46" s="399"/>
      <c r="X46" s="401"/>
      <c r="Y46" s="2223"/>
      <c r="Z46" s="2223"/>
      <c r="AA46" s="2223"/>
      <c r="AB46" s="2223"/>
      <c r="AC46" s="2223"/>
      <c r="AD46" s="2223"/>
      <c r="AE46" s="2223"/>
      <c r="AF46" s="2223"/>
      <c r="AG46" s="2937"/>
      <c r="AH46" s="2937"/>
      <c r="AI46" s="2937"/>
      <c r="AJ46" s="2937"/>
      <c r="AK46" s="2946"/>
      <c r="AL46" s="2946"/>
      <c r="AM46" s="2223"/>
      <c r="AN46" s="2229"/>
      <c r="AO46" s="2895"/>
      <c r="AP46" s="2895"/>
      <c r="AQ46" s="2945"/>
    </row>
    <row r="47" spans="1:43" ht="75" customHeight="1" x14ac:dyDescent="0.2">
      <c r="A47" s="625"/>
      <c r="B47" s="109"/>
      <c r="C47" s="109"/>
      <c r="D47" s="649"/>
      <c r="E47" s="109"/>
      <c r="F47" s="109"/>
      <c r="G47" s="649"/>
      <c r="H47" s="109"/>
      <c r="I47" s="650"/>
      <c r="J47" s="2398">
        <v>26</v>
      </c>
      <c r="K47" s="2390" t="s">
        <v>639</v>
      </c>
      <c r="L47" s="2390" t="s">
        <v>640</v>
      </c>
      <c r="M47" s="2398">
        <v>2</v>
      </c>
      <c r="N47" s="2046" t="s">
        <v>641</v>
      </c>
      <c r="O47" s="2807"/>
      <c r="P47" s="2793"/>
      <c r="Q47" s="2939">
        <f>SUM(V47:V48*1/R44)</f>
        <v>0.35446205170975814</v>
      </c>
      <c r="R47" s="2948"/>
      <c r="S47" s="2823"/>
      <c r="T47" s="2783" t="s">
        <v>642</v>
      </c>
      <c r="U47" s="440" t="s">
        <v>643</v>
      </c>
      <c r="V47" s="662">
        <v>425000000</v>
      </c>
      <c r="W47" s="399">
        <v>20</v>
      </c>
      <c r="X47" s="401" t="s">
        <v>72</v>
      </c>
      <c r="Y47" s="2223"/>
      <c r="Z47" s="2223"/>
      <c r="AA47" s="2223"/>
      <c r="AB47" s="2223"/>
      <c r="AC47" s="2223"/>
      <c r="AD47" s="2223"/>
      <c r="AE47" s="2223"/>
      <c r="AF47" s="2223"/>
      <c r="AG47" s="2937"/>
      <c r="AH47" s="2937"/>
      <c r="AI47" s="2937"/>
      <c r="AJ47" s="2937"/>
      <c r="AK47" s="2946"/>
      <c r="AL47" s="2946"/>
      <c r="AM47" s="2223"/>
      <c r="AN47" s="2229"/>
      <c r="AO47" s="2895"/>
      <c r="AP47" s="2895"/>
      <c r="AQ47" s="2945"/>
    </row>
    <row r="48" spans="1:43" ht="65.25" customHeight="1" x14ac:dyDescent="0.2">
      <c r="A48" s="625"/>
      <c r="B48" s="109"/>
      <c r="C48" s="109"/>
      <c r="D48" s="649"/>
      <c r="E48" s="109"/>
      <c r="F48" s="109"/>
      <c r="G48" s="649"/>
      <c r="H48" s="109"/>
      <c r="I48" s="650"/>
      <c r="J48" s="2400"/>
      <c r="K48" s="2392"/>
      <c r="L48" s="2392"/>
      <c r="M48" s="2400"/>
      <c r="N48" s="2046"/>
      <c r="O48" s="2807"/>
      <c r="P48" s="2793"/>
      <c r="Q48" s="2940"/>
      <c r="R48" s="2948"/>
      <c r="S48" s="2823"/>
      <c r="T48" s="2784"/>
      <c r="U48" s="267" t="s">
        <v>644</v>
      </c>
      <c r="V48" s="662">
        <v>3000000</v>
      </c>
      <c r="W48" s="399">
        <v>46</v>
      </c>
      <c r="X48" s="401" t="s">
        <v>645</v>
      </c>
      <c r="Y48" s="2223"/>
      <c r="Z48" s="2223"/>
      <c r="AA48" s="2223"/>
      <c r="AB48" s="2223"/>
      <c r="AC48" s="2223"/>
      <c r="AD48" s="2223"/>
      <c r="AE48" s="2223"/>
      <c r="AF48" s="2223"/>
      <c r="AG48" s="2937"/>
      <c r="AH48" s="2937"/>
      <c r="AI48" s="2937"/>
      <c r="AJ48" s="2937"/>
      <c r="AK48" s="2946"/>
      <c r="AL48" s="2946"/>
      <c r="AM48" s="2223"/>
      <c r="AN48" s="2229"/>
      <c r="AO48" s="2895"/>
      <c r="AP48" s="2895"/>
      <c r="AQ48" s="2945"/>
    </row>
    <row r="49" spans="1:43" ht="73.5" customHeight="1" x14ac:dyDescent="0.2">
      <c r="A49" s="625"/>
      <c r="B49" s="109"/>
      <c r="C49" s="109"/>
      <c r="D49" s="649"/>
      <c r="E49" s="109"/>
      <c r="F49" s="109"/>
      <c r="G49" s="649"/>
      <c r="H49" s="109"/>
      <c r="I49" s="650"/>
      <c r="J49" s="663">
        <v>27</v>
      </c>
      <c r="K49" s="483" t="s">
        <v>646</v>
      </c>
      <c r="L49" s="390" t="s">
        <v>647</v>
      </c>
      <c r="M49" s="389">
        <v>2</v>
      </c>
      <c r="N49" s="2046"/>
      <c r="O49" s="2807"/>
      <c r="P49" s="2793"/>
      <c r="Q49" s="634">
        <f>V49*1/R44</f>
        <v>0</v>
      </c>
      <c r="R49" s="2948"/>
      <c r="S49" s="2823"/>
      <c r="T49" s="397" t="s">
        <v>648</v>
      </c>
      <c r="U49" s="664"/>
      <c r="V49" s="662">
        <v>0</v>
      </c>
      <c r="W49" s="399"/>
      <c r="X49" s="401"/>
      <c r="Y49" s="2223"/>
      <c r="Z49" s="2223"/>
      <c r="AA49" s="2223"/>
      <c r="AB49" s="2223"/>
      <c r="AC49" s="2223"/>
      <c r="AD49" s="2223"/>
      <c r="AE49" s="2223"/>
      <c r="AF49" s="2223"/>
      <c r="AG49" s="2937"/>
      <c r="AH49" s="2937"/>
      <c r="AI49" s="2937"/>
      <c r="AJ49" s="2937"/>
      <c r="AK49" s="2946"/>
      <c r="AL49" s="2946"/>
      <c r="AM49" s="2223"/>
      <c r="AN49" s="2229"/>
      <c r="AO49" s="2895"/>
      <c r="AP49" s="2895"/>
      <c r="AQ49" s="2945"/>
    </row>
    <row r="50" spans="1:43" ht="59.25" customHeight="1" x14ac:dyDescent="0.2">
      <c r="A50" s="625"/>
      <c r="B50" s="109"/>
      <c r="C50" s="109"/>
      <c r="D50" s="649"/>
      <c r="E50" s="109"/>
      <c r="F50" s="109"/>
      <c r="G50" s="649"/>
      <c r="H50" s="109"/>
      <c r="I50" s="650"/>
      <c r="J50" s="663">
        <v>28</v>
      </c>
      <c r="K50" s="396" t="s">
        <v>649</v>
      </c>
      <c r="L50" s="483" t="s">
        <v>650</v>
      </c>
      <c r="M50" s="633">
        <v>2</v>
      </c>
      <c r="N50" s="2047"/>
      <c r="O50" s="2864"/>
      <c r="P50" s="2784"/>
      <c r="Q50" s="634">
        <f>V50*1/R44</f>
        <v>1.7514595496246871E-2</v>
      </c>
      <c r="R50" s="2949"/>
      <c r="S50" s="2823"/>
      <c r="T50" s="395"/>
      <c r="U50" s="267" t="s">
        <v>651</v>
      </c>
      <c r="V50" s="662">
        <v>21000000</v>
      </c>
      <c r="W50" s="404"/>
      <c r="X50" s="405"/>
      <c r="Y50" s="2224"/>
      <c r="Z50" s="2224"/>
      <c r="AA50" s="2224"/>
      <c r="AB50" s="2224"/>
      <c r="AC50" s="2224"/>
      <c r="AD50" s="2224"/>
      <c r="AE50" s="2224"/>
      <c r="AF50" s="2224"/>
      <c r="AG50" s="2937"/>
      <c r="AH50" s="2937"/>
      <c r="AI50" s="2937"/>
      <c r="AJ50" s="2937"/>
      <c r="AK50" s="2946"/>
      <c r="AL50" s="2946"/>
      <c r="AM50" s="2224"/>
      <c r="AN50" s="2229"/>
      <c r="AO50" s="2895"/>
      <c r="AP50" s="2895"/>
      <c r="AQ50" s="2945"/>
    </row>
    <row r="51" spans="1:43" ht="133.5" customHeight="1" x14ac:dyDescent="0.2">
      <c r="A51" s="625"/>
      <c r="B51" s="109"/>
      <c r="C51" s="109"/>
      <c r="D51" s="649"/>
      <c r="E51" s="109"/>
      <c r="F51" s="109"/>
      <c r="G51" s="649"/>
      <c r="H51" s="109"/>
      <c r="I51" s="650"/>
      <c r="J51" s="663">
        <v>29</v>
      </c>
      <c r="K51" s="483" t="s">
        <v>652</v>
      </c>
      <c r="L51" s="483" t="s">
        <v>653</v>
      </c>
      <c r="M51" s="633">
        <v>1</v>
      </c>
      <c r="N51" s="2049" t="s">
        <v>654</v>
      </c>
      <c r="O51" s="514" t="s">
        <v>655</v>
      </c>
      <c r="P51" s="395" t="s">
        <v>656</v>
      </c>
      <c r="Q51" s="634">
        <v>1</v>
      </c>
      <c r="R51" s="665">
        <f>SUM(V51)</f>
        <v>14000000</v>
      </c>
      <c r="S51" s="396" t="s">
        <v>657</v>
      </c>
      <c r="T51" s="396" t="s">
        <v>658</v>
      </c>
      <c r="U51" s="267" t="s">
        <v>659</v>
      </c>
      <c r="V51" s="662">
        <v>14000000</v>
      </c>
      <c r="W51" s="514">
        <v>20</v>
      </c>
      <c r="X51" s="405" t="s">
        <v>72</v>
      </c>
      <c r="Y51" s="480">
        <v>210</v>
      </c>
      <c r="Z51" s="593">
        <v>140</v>
      </c>
      <c r="AA51" s="480"/>
      <c r="AB51" s="480"/>
      <c r="AC51" s="480"/>
      <c r="AD51" s="480"/>
      <c r="AE51" s="480"/>
      <c r="AF51" s="480"/>
      <c r="AG51" s="480"/>
      <c r="AH51" s="480"/>
      <c r="AI51" s="480"/>
      <c r="AJ51" s="480"/>
      <c r="AK51" s="480"/>
      <c r="AL51" s="480"/>
      <c r="AM51" s="480"/>
      <c r="AN51" s="480">
        <f>SUM(Y51:AM51)</f>
        <v>350</v>
      </c>
      <c r="AO51" s="666">
        <v>43101</v>
      </c>
      <c r="AP51" s="667">
        <v>43435</v>
      </c>
      <c r="AQ51" s="668" t="s">
        <v>538</v>
      </c>
    </row>
    <row r="52" spans="1:43" ht="93" customHeight="1" x14ac:dyDescent="0.2">
      <c r="A52" s="625"/>
      <c r="B52" s="109"/>
      <c r="C52" s="109"/>
      <c r="D52" s="649"/>
      <c r="E52" s="109"/>
      <c r="F52" s="109"/>
      <c r="G52" s="649"/>
      <c r="H52" s="109"/>
      <c r="I52" s="650"/>
      <c r="J52" s="2398">
        <v>30</v>
      </c>
      <c r="K52" s="2430" t="s">
        <v>660</v>
      </c>
      <c r="L52" s="2430" t="s">
        <v>661</v>
      </c>
      <c r="M52" s="2134">
        <v>1</v>
      </c>
      <c r="N52" s="2874" t="s">
        <v>662</v>
      </c>
      <c r="O52" s="2950" t="s">
        <v>663</v>
      </c>
      <c r="P52" s="2783" t="s">
        <v>664</v>
      </c>
      <c r="Q52" s="2938">
        <v>1</v>
      </c>
      <c r="R52" s="2935">
        <f>SUM(V52:V53)</f>
        <v>64000000</v>
      </c>
      <c r="S52" s="2823" t="s">
        <v>665</v>
      </c>
      <c r="T52" s="669" t="s">
        <v>666</v>
      </c>
      <c r="U52" s="267" t="s">
        <v>667</v>
      </c>
      <c r="V52" s="662">
        <v>10000000</v>
      </c>
      <c r="W52" s="514">
        <v>20</v>
      </c>
      <c r="X52" s="405" t="s">
        <v>72</v>
      </c>
      <c r="Y52" s="2954">
        <v>8</v>
      </c>
      <c r="Z52" s="2956">
        <v>12</v>
      </c>
      <c r="AA52" s="2184"/>
      <c r="AB52" s="2184"/>
      <c r="AC52" s="2184"/>
      <c r="AD52" s="2954"/>
      <c r="AE52" s="2184"/>
      <c r="AF52" s="2184"/>
      <c r="AG52" s="2184"/>
      <c r="AH52" s="2184"/>
      <c r="AI52" s="2184"/>
      <c r="AJ52" s="2184"/>
      <c r="AK52" s="2184"/>
      <c r="AL52" s="2184"/>
      <c r="AM52" s="2184"/>
      <c r="AN52" s="2223">
        <f>SUM(Y52:AM53)</f>
        <v>20</v>
      </c>
      <c r="AO52" s="2895">
        <v>43101</v>
      </c>
      <c r="AP52" s="2895">
        <v>43435</v>
      </c>
      <c r="AQ52" s="2929" t="s">
        <v>538</v>
      </c>
    </row>
    <row r="53" spans="1:43" ht="92.25" customHeight="1" x14ac:dyDescent="0.2">
      <c r="A53" s="625"/>
      <c r="B53" s="109"/>
      <c r="C53" s="109"/>
      <c r="D53" s="649"/>
      <c r="E53" s="109"/>
      <c r="F53" s="109"/>
      <c r="G53" s="655"/>
      <c r="H53" s="656"/>
      <c r="I53" s="657"/>
      <c r="J53" s="2400"/>
      <c r="K53" s="2430"/>
      <c r="L53" s="2430"/>
      <c r="M53" s="2134"/>
      <c r="N53" s="2874"/>
      <c r="O53" s="2950"/>
      <c r="P53" s="2784"/>
      <c r="Q53" s="2938"/>
      <c r="R53" s="2935"/>
      <c r="S53" s="2823"/>
      <c r="T53" s="669" t="s">
        <v>668</v>
      </c>
      <c r="U53" s="267" t="s">
        <v>669</v>
      </c>
      <c r="V53" s="662">
        <f>4000000+50000000</f>
        <v>54000000</v>
      </c>
      <c r="W53" s="514">
        <v>88</v>
      </c>
      <c r="X53" s="405" t="s">
        <v>670</v>
      </c>
      <c r="Y53" s="2955"/>
      <c r="Z53" s="2957"/>
      <c r="AA53" s="2184"/>
      <c r="AB53" s="2184"/>
      <c r="AC53" s="2184"/>
      <c r="AD53" s="2955"/>
      <c r="AE53" s="2184"/>
      <c r="AF53" s="2184"/>
      <c r="AG53" s="2184"/>
      <c r="AH53" s="2184"/>
      <c r="AI53" s="2184"/>
      <c r="AJ53" s="2184"/>
      <c r="AK53" s="2184"/>
      <c r="AL53" s="2184"/>
      <c r="AM53" s="2184"/>
      <c r="AN53" s="2224"/>
      <c r="AO53" s="2895"/>
      <c r="AP53" s="2895"/>
      <c r="AQ53" s="2929"/>
    </row>
    <row r="54" spans="1:43" ht="16.5" thickBot="1" x14ac:dyDescent="0.25">
      <c r="A54" s="137"/>
      <c r="B54" s="138"/>
      <c r="C54" s="138"/>
      <c r="D54" s="658"/>
      <c r="E54" s="138"/>
      <c r="F54" s="351"/>
      <c r="G54" s="670">
        <v>6</v>
      </c>
      <c r="H54" s="671" t="s">
        <v>671</v>
      </c>
      <c r="I54" s="671"/>
      <c r="J54" s="152"/>
      <c r="K54" s="598"/>
      <c r="L54" s="598"/>
      <c r="M54" s="599"/>
      <c r="N54" s="599"/>
      <c r="O54" s="599"/>
      <c r="P54" s="598"/>
      <c r="Q54" s="619"/>
      <c r="R54" s="620"/>
      <c r="S54" s="598"/>
      <c r="T54" s="598"/>
      <c r="U54" s="598"/>
      <c r="V54" s="621"/>
      <c r="W54" s="672"/>
      <c r="X54" s="599"/>
      <c r="Y54" s="599"/>
      <c r="Z54" s="599"/>
      <c r="AA54" s="599"/>
      <c r="AB54" s="599"/>
      <c r="AC54" s="599"/>
      <c r="AD54" s="599"/>
      <c r="AE54" s="599"/>
      <c r="AF54" s="599"/>
      <c r="AG54" s="599"/>
      <c r="AH54" s="599"/>
      <c r="AI54" s="599"/>
      <c r="AJ54" s="599"/>
      <c r="AK54" s="599"/>
      <c r="AL54" s="599"/>
      <c r="AM54" s="599"/>
      <c r="AN54" s="152"/>
      <c r="AO54" s="624"/>
      <c r="AP54" s="603"/>
      <c r="AQ54" s="604"/>
    </row>
    <row r="55" spans="1:43" ht="203.25" customHeight="1" x14ac:dyDescent="0.2">
      <c r="A55" s="625"/>
      <c r="B55" s="109"/>
      <c r="C55" s="109"/>
      <c r="D55" s="649"/>
      <c r="E55" s="109"/>
      <c r="F55" s="650"/>
      <c r="G55" s="651"/>
      <c r="H55" s="652"/>
      <c r="I55" s="653"/>
      <c r="J55" s="394">
        <v>31</v>
      </c>
      <c r="K55" s="396" t="s">
        <v>672</v>
      </c>
      <c r="L55" s="483" t="s">
        <v>673</v>
      </c>
      <c r="M55" s="673">
        <v>4</v>
      </c>
      <c r="N55" s="2857" t="s">
        <v>674</v>
      </c>
      <c r="O55" s="2951" t="s">
        <v>675</v>
      </c>
      <c r="P55" s="2148" t="s">
        <v>676</v>
      </c>
      <c r="Q55" s="634">
        <f>V55*1/R55</f>
        <v>0.34666666666666668</v>
      </c>
      <c r="R55" s="2935">
        <f>SUM(V55:V58)</f>
        <v>300000000</v>
      </c>
      <c r="S55" s="2823" t="s">
        <v>677</v>
      </c>
      <c r="T55" s="669" t="s">
        <v>678</v>
      </c>
      <c r="U55" s="267" t="s">
        <v>679</v>
      </c>
      <c r="V55" s="662">
        <v>104000000</v>
      </c>
      <c r="W55" s="398"/>
      <c r="X55" s="400"/>
      <c r="Y55" s="2222">
        <f>150+20</f>
        <v>170</v>
      </c>
      <c r="Z55" s="2222">
        <v>200</v>
      </c>
      <c r="AA55" s="2229"/>
      <c r="AB55" s="2229"/>
      <c r="AC55" s="2222">
        <v>300</v>
      </c>
      <c r="AD55" s="2222">
        <v>10</v>
      </c>
      <c r="AE55" s="2229"/>
      <c r="AF55" s="2229"/>
      <c r="AG55" s="2229"/>
      <c r="AH55" s="2229"/>
      <c r="AI55" s="2229"/>
      <c r="AJ55" s="2229"/>
      <c r="AK55" s="2229"/>
      <c r="AL55" s="2229"/>
      <c r="AM55" s="2229"/>
      <c r="AN55" s="2222">
        <v>370</v>
      </c>
      <c r="AO55" s="2721">
        <f>$AO$52</f>
        <v>43101</v>
      </c>
      <c r="AP55" s="2928">
        <f>$AP$52</f>
        <v>43435</v>
      </c>
      <c r="AQ55" s="2958" t="s">
        <v>538</v>
      </c>
    </row>
    <row r="56" spans="1:43" ht="204" customHeight="1" x14ac:dyDescent="0.2">
      <c r="A56" s="625"/>
      <c r="B56" s="109"/>
      <c r="C56" s="109"/>
      <c r="D56" s="649"/>
      <c r="E56" s="109"/>
      <c r="F56" s="650"/>
      <c r="G56" s="649"/>
      <c r="H56" s="109"/>
      <c r="I56" s="650"/>
      <c r="J56" s="394">
        <v>32</v>
      </c>
      <c r="K56" s="396" t="s">
        <v>680</v>
      </c>
      <c r="L56" s="483" t="s">
        <v>681</v>
      </c>
      <c r="M56" s="633">
        <v>30</v>
      </c>
      <c r="N56" s="2858"/>
      <c r="O56" s="2952"/>
      <c r="P56" s="2218"/>
      <c r="Q56" s="634">
        <f>V56*1/R55</f>
        <v>0.46666666666666667</v>
      </c>
      <c r="R56" s="2935"/>
      <c r="S56" s="2823"/>
      <c r="T56" s="669" t="s">
        <v>682</v>
      </c>
      <c r="U56" s="396" t="s">
        <v>683</v>
      </c>
      <c r="V56" s="662">
        <v>140000000</v>
      </c>
      <c r="W56" s="399">
        <v>20</v>
      </c>
      <c r="X56" s="401" t="s">
        <v>72</v>
      </c>
      <c r="Y56" s="2223"/>
      <c r="Z56" s="2223"/>
      <c r="AA56" s="2229"/>
      <c r="AB56" s="2229"/>
      <c r="AC56" s="2223"/>
      <c r="AD56" s="2223"/>
      <c r="AE56" s="2229"/>
      <c r="AF56" s="2229"/>
      <c r="AG56" s="2229"/>
      <c r="AH56" s="2229"/>
      <c r="AI56" s="2229"/>
      <c r="AJ56" s="2229"/>
      <c r="AK56" s="2229"/>
      <c r="AL56" s="2229"/>
      <c r="AM56" s="2229"/>
      <c r="AN56" s="2223"/>
      <c r="AO56" s="2223"/>
      <c r="AP56" s="2229"/>
      <c r="AQ56" s="2959"/>
    </row>
    <row r="57" spans="1:43" ht="74.25" customHeight="1" x14ac:dyDescent="0.2">
      <c r="A57" s="625"/>
      <c r="B57" s="109"/>
      <c r="C57" s="109"/>
      <c r="D57" s="649"/>
      <c r="E57" s="109"/>
      <c r="F57" s="650"/>
      <c r="G57" s="649"/>
      <c r="H57" s="109"/>
      <c r="I57" s="650"/>
      <c r="J57" s="394">
        <v>33</v>
      </c>
      <c r="K57" s="396" t="s">
        <v>684</v>
      </c>
      <c r="L57" s="483" t="s">
        <v>685</v>
      </c>
      <c r="M57" s="633">
        <v>400</v>
      </c>
      <c r="N57" s="2858"/>
      <c r="O57" s="2952"/>
      <c r="P57" s="2218"/>
      <c r="Q57" s="634">
        <f>V57*1/R55</f>
        <v>9.3333333333333338E-2</v>
      </c>
      <c r="R57" s="2935"/>
      <c r="S57" s="2823"/>
      <c r="T57" s="2430" t="s">
        <v>686</v>
      </c>
      <c r="U57" s="396" t="s">
        <v>687</v>
      </c>
      <c r="V57" s="662">
        <v>28000000</v>
      </c>
      <c r="W57" s="399"/>
      <c r="X57" s="401"/>
      <c r="Y57" s="2223"/>
      <c r="Z57" s="2223"/>
      <c r="AA57" s="2229"/>
      <c r="AB57" s="2229"/>
      <c r="AC57" s="2223"/>
      <c r="AD57" s="2223"/>
      <c r="AE57" s="2229"/>
      <c r="AF57" s="2229"/>
      <c r="AG57" s="2229"/>
      <c r="AH57" s="2229"/>
      <c r="AI57" s="2229"/>
      <c r="AJ57" s="2229"/>
      <c r="AK57" s="2229"/>
      <c r="AL57" s="2229"/>
      <c r="AM57" s="2229"/>
      <c r="AN57" s="2223"/>
      <c r="AO57" s="2223"/>
      <c r="AP57" s="2229"/>
      <c r="AQ57" s="2959"/>
    </row>
    <row r="58" spans="1:43" ht="148.5" customHeight="1" x14ac:dyDescent="0.2">
      <c r="A58" s="625"/>
      <c r="B58" s="109"/>
      <c r="C58" s="109"/>
      <c r="D58" s="649"/>
      <c r="E58" s="109"/>
      <c r="F58" s="650"/>
      <c r="G58" s="655"/>
      <c r="H58" s="656"/>
      <c r="I58" s="657"/>
      <c r="J58" s="394">
        <v>34</v>
      </c>
      <c r="K58" s="396" t="s">
        <v>688</v>
      </c>
      <c r="L58" s="483" t="s">
        <v>689</v>
      </c>
      <c r="M58" s="633">
        <v>600</v>
      </c>
      <c r="N58" s="2859"/>
      <c r="O58" s="2953"/>
      <c r="P58" s="2179"/>
      <c r="Q58" s="634">
        <f>V58*1/R55</f>
        <v>9.3333333333333338E-2</v>
      </c>
      <c r="R58" s="2935"/>
      <c r="S58" s="2823"/>
      <c r="T58" s="2430"/>
      <c r="U58" s="267" t="s">
        <v>690</v>
      </c>
      <c r="V58" s="662">
        <v>28000000</v>
      </c>
      <c r="W58" s="404"/>
      <c r="X58" s="405"/>
      <c r="Y58" s="2224"/>
      <c r="Z58" s="2224"/>
      <c r="AA58" s="2229"/>
      <c r="AB58" s="2229"/>
      <c r="AC58" s="2224"/>
      <c r="AD58" s="2224"/>
      <c r="AE58" s="2229"/>
      <c r="AF58" s="2229"/>
      <c r="AG58" s="2229"/>
      <c r="AH58" s="2229"/>
      <c r="AI58" s="2229"/>
      <c r="AJ58" s="2229"/>
      <c r="AK58" s="2229"/>
      <c r="AL58" s="2229"/>
      <c r="AM58" s="2229"/>
      <c r="AN58" s="2224"/>
      <c r="AO58" s="2224"/>
      <c r="AP58" s="2229"/>
      <c r="AQ58" s="2960"/>
    </row>
    <row r="59" spans="1:43" ht="15.75" x14ac:dyDescent="0.2">
      <c r="A59" s="137"/>
      <c r="B59" s="138"/>
      <c r="C59" s="138"/>
      <c r="D59" s="658"/>
      <c r="E59" s="138"/>
      <c r="F59" s="351"/>
      <c r="G59" s="629">
        <v>7</v>
      </c>
      <c r="H59" s="152" t="s">
        <v>691</v>
      </c>
      <c r="I59" s="152"/>
      <c r="J59" s="152"/>
      <c r="K59" s="598"/>
      <c r="L59" s="598"/>
      <c r="M59" s="599"/>
      <c r="N59" s="599"/>
      <c r="O59" s="599"/>
      <c r="P59" s="598"/>
      <c r="Q59" s="619"/>
      <c r="R59" s="620"/>
      <c r="S59" s="598"/>
      <c r="T59" s="598"/>
      <c r="U59" s="598"/>
      <c r="V59" s="621"/>
      <c r="W59" s="672"/>
      <c r="X59" s="599"/>
      <c r="Y59" s="599"/>
      <c r="Z59" s="599"/>
      <c r="AA59" s="599"/>
      <c r="AB59" s="599"/>
      <c r="AC59" s="599"/>
      <c r="AD59" s="599"/>
      <c r="AE59" s="599"/>
      <c r="AF59" s="599"/>
      <c r="AG59" s="599"/>
      <c r="AH59" s="599"/>
      <c r="AI59" s="599"/>
      <c r="AJ59" s="599"/>
      <c r="AK59" s="599"/>
      <c r="AL59" s="599"/>
      <c r="AM59" s="599"/>
      <c r="AN59" s="152"/>
      <c r="AO59" s="624"/>
      <c r="AP59" s="603"/>
      <c r="AQ59" s="604"/>
    </row>
    <row r="60" spans="1:43" ht="72.75" customHeight="1" x14ac:dyDescent="0.2">
      <c r="A60" s="625"/>
      <c r="B60" s="109"/>
      <c r="C60" s="109"/>
      <c r="D60" s="649"/>
      <c r="E60" s="109"/>
      <c r="F60" s="650"/>
      <c r="G60" s="651"/>
      <c r="H60" s="652"/>
      <c r="I60" s="653"/>
      <c r="J60" s="402">
        <v>35</v>
      </c>
      <c r="K60" s="396" t="s">
        <v>692</v>
      </c>
      <c r="L60" s="483" t="s">
        <v>640</v>
      </c>
      <c r="M60" s="674">
        <v>5</v>
      </c>
      <c r="N60" s="2772" t="s">
        <v>693</v>
      </c>
      <c r="O60" s="2843" t="s">
        <v>694</v>
      </c>
      <c r="P60" s="2148" t="s">
        <v>695</v>
      </c>
      <c r="Q60" s="634">
        <f>V60*1/R60</f>
        <v>0.35199999999999998</v>
      </c>
      <c r="R60" s="2935">
        <f>SUM(V60:V62)</f>
        <v>125000000</v>
      </c>
      <c r="S60" s="2823" t="s">
        <v>696</v>
      </c>
      <c r="T60" s="669" t="s">
        <v>697</v>
      </c>
      <c r="U60" s="267" t="s">
        <v>698</v>
      </c>
      <c r="V60" s="662">
        <v>44000000</v>
      </c>
      <c r="W60" s="398"/>
      <c r="X60" s="400"/>
      <c r="Y60" s="2229">
        <v>100</v>
      </c>
      <c r="Z60" s="2229">
        <v>60</v>
      </c>
      <c r="AA60" s="2229"/>
      <c r="AB60" s="2229"/>
      <c r="AC60" s="2229">
        <v>110</v>
      </c>
      <c r="AD60" s="2229">
        <v>50</v>
      </c>
      <c r="AE60" s="2229"/>
      <c r="AF60" s="2229"/>
      <c r="AG60" s="2229"/>
      <c r="AH60" s="2229"/>
      <c r="AI60" s="2229"/>
      <c r="AJ60" s="2229"/>
      <c r="AK60" s="2229"/>
      <c r="AL60" s="2229"/>
      <c r="AM60" s="2229"/>
      <c r="AN60" s="2222">
        <v>160</v>
      </c>
      <c r="AO60" s="2895">
        <v>43101</v>
      </c>
      <c r="AP60" s="2967">
        <v>43435</v>
      </c>
      <c r="AQ60" s="2929" t="s">
        <v>538</v>
      </c>
    </row>
    <row r="61" spans="1:43" ht="69" customHeight="1" x14ac:dyDescent="0.2">
      <c r="A61" s="625"/>
      <c r="B61" s="109"/>
      <c r="C61" s="109"/>
      <c r="D61" s="649"/>
      <c r="E61" s="109"/>
      <c r="F61" s="650"/>
      <c r="G61" s="649"/>
      <c r="H61" s="109"/>
      <c r="I61" s="650"/>
      <c r="J61" s="402">
        <v>36</v>
      </c>
      <c r="K61" s="396" t="s">
        <v>699</v>
      </c>
      <c r="L61" s="390" t="s">
        <v>700</v>
      </c>
      <c r="M61" s="633">
        <v>1</v>
      </c>
      <c r="N61" s="2773"/>
      <c r="O61" s="2807"/>
      <c r="P61" s="2218"/>
      <c r="Q61" s="634">
        <f>V61*1/R60</f>
        <v>0.23200000000000001</v>
      </c>
      <c r="R61" s="2935"/>
      <c r="S61" s="2823"/>
      <c r="T61" s="2783" t="s">
        <v>701</v>
      </c>
      <c r="U61" s="267" t="s">
        <v>702</v>
      </c>
      <c r="V61" s="662">
        <v>29000000</v>
      </c>
      <c r="W61" s="399">
        <v>20</v>
      </c>
      <c r="X61" s="401" t="s">
        <v>72</v>
      </c>
      <c r="Y61" s="2229"/>
      <c r="Z61" s="2229"/>
      <c r="AA61" s="2229"/>
      <c r="AB61" s="2229"/>
      <c r="AC61" s="2229"/>
      <c r="AD61" s="2229"/>
      <c r="AE61" s="2229"/>
      <c r="AF61" s="2229"/>
      <c r="AG61" s="2229"/>
      <c r="AH61" s="2229"/>
      <c r="AI61" s="2229"/>
      <c r="AJ61" s="2229"/>
      <c r="AK61" s="2229"/>
      <c r="AL61" s="2229"/>
      <c r="AM61" s="2229"/>
      <c r="AN61" s="2223"/>
      <c r="AO61" s="2895"/>
      <c r="AP61" s="2967"/>
      <c r="AQ61" s="2929"/>
    </row>
    <row r="62" spans="1:43" ht="94.5" customHeight="1" x14ac:dyDescent="0.2">
      <c r="A62" s="675"/>
      <c r="B62" s="656"/>
      <c r="C62" s="656"/>
      <c r="D62" s="655"/>
      <c r="E62" s="656"/>
      <c r="F62" s="657"/>
      <c r="G62" s="655"/>
      <c r="H62" s="656"/>
      <c r="I62" s="657"/>
      <c r="J62" s="402">
        <v>37</v>
      </c>
      <c r="K62" s="483" t="s">
        <v>703</v>
      </c>
      <c r="L62" s="483" t="s">
        <v>704</v>
      </c>
      <c r="M62" s="633">
        <v>1</v>
      </c>
      <c r="N62" s="2774"/>
      <c r="O62" s="2864"/>
      <c r="P62" s="2179"/>
      <c r="Q62" s="634">
        <f>V62*1/R60</f>
        <v>0.41599999999999998</v>
      </c>
      <c r="R62" s="2935"/>
      <c r="S62" s="2823"/>
      <c r="T62" s="2784"/>
      <c r="U62" s="267" t="s">
        <v>705</v>
      </c>
      <c r="V62" s="662">
        <v>52000000</v>
      </c>
      <c r="W62" s="404"/>
      <c r="X62" s="405"/>
      <c r="Y62" s="2229"/>
      <c r="Z62" s="2229"/>
      <c r="AA62" s="2229"/>
      <c r="AB62" s="2229"/>
      <c r="AC62" s="2229"/>
      <c r="AD62" s="2229"/>
      <c r="AE62" s="2229"/>
      <c r="AF62" s="2229"/>
      <c r="AG62" s="2229"/>
      <c r="AH62" s="2229"/>
      <c r="AI62" s="2229"/>
      <c r="AJ62" s="2229"/>
      <c r="AK62" s="2229"/>
      <c r="AL62" s="2229"/>
      <c r="AM62" s="2229"/>
      <c r="AN62" s="2224"/>
      <c r="AO62" s="2895"/>
      <c r="AP62" s="2967"/>
      <c r="AQ62" s="2929"/>
    </row>
    <row r="63" spans="1:43" ht="15.75" x14ac:dyDescent="0.2">
      <c r="A63" s="126">
        <v>3</v>
      </c>
      <c r="B63" s="127" t="s">
        <v>706</v>
      </c>
      <c r="C63" s="127"/>
      <c r="D63" s="676"/>
      <c r="E63" s="676"/>
      <c r="F63" s="676"/>
      <c r="G63" s="127"/>
      <c r="H63" s="127"/>
      <c r="I63" s="127"/>
      <c r="J63" s="127"/>
      <c r="K63" s="129"/>
      <c r="L63" s="129"/>
      <c r="M63" s="130"/>
      <c r="N63" s="130"/>
      <c r="O63" s="130"/>
      <c r="P63" s="129"/>
      <c r="Q63" s="638"/>
      <c r="R63" s="639"/>
      <c r="S63" s="129"/>
      <c r="T63" s="129"/>
      <c r="U63" s="129"/>
      <c r="V63" s="640"/>
      <c r="W63" s="134"/>
      <c r="X63" s="130"/>
      <c r="Y63" s="130"/>
      <c r="Z63" s="130"/>
      <c r="AA63" s="130"/>
      <c r="AB63" s="130"/>
      <c r="AC63" s="130"/>
      <c r="AD63" s="130"/>
      <c r="AE63" s="130"/>
      <c r="AF63" s="130"/>
      <c r="AG63" s="130"/>
      <c r="AH63" s="130"/>
      <c r="AI63" s="130"/>
      <c r="AJ63" s="130"/>
      <c r="AK63" s="130"/>
      <c r="AL63" s="130"/>
      <c r="AM63" s="130"/>
      <c r="AN63" s="127"/>
      <c r="AO63" s="643"/>
      <c r="AP63" s="135"/>
      <c r="AQ63" s="136"/>
    </row>
    <row r="64" spans="1:43" ht="15.75" x14ac:dyDescent="0.2">
      <c r="A64" s="337"/>
      <c r="B64" s="338"/>
      <c r="C64" s="339"/>
      <c r="D64" s="677">
        <v>11</v>
      </c>
      <c r="E64" s="140" t="s">
        <v>707</v>
      </c>
      <c r="F64" s="140"/>
      <c r="G64" s="140"/>
      <c r="H64" s="140"/>
      <c r="I64" s="140"/>
      <c r="J64" s="140"/>
      <c r="K64" s="141"/>
      <c r="L64" s="141"/>
      <c r="M64" s="142"/>
      <c r="N64" s="142"/>
      <c r="O64" s="142"/>
      <c r="P64" s="141"/>
      <c r="Q64" s="645"/>
      <c r="R64" s="646"/>
      <c r="S64" s="141"/>
      <c r="T64" s="141"/>
      <c r="U64" s="141"/>
      <c r="V64" s="647"/>
      <c r="W64" s="147"/>
      <c r="X64" s="142"/>
      <c r="Y64" s="142"/>
      <c r="Z64" s="142"/>
      <c r="AA64" s="142"/>
      <c r="AB64" s="142"/>
      <c r="AC64" s="142"/>
      <c r="AD64" s="142"/>
      <c r="AE64" s="142"/>
      <c r="AF64" s="142"/>
      <c r="AG64" s="142"/>
      <c r="AH64" s="142"/>
      <c r="AI64" s="142"/>
      <c r="AJ64" s="142"/>
      <c r="AK64" s="142"/>
      <c r="AL64" s="142"/>
      <c r="AM64" s="142"/>
      <c r="AN64" s="140"/>
      <c r="AO64" s="648"/>
      <c r="AP64" s="148"/>
      <c r="AQ64" s="149"/>
    </row>
    <row r="65" spans="1:43" ht="15.75" x14ac:dyDescent="0.2">
      <c r="A65" s="137"/>
      <c r="B65" s="138"/>
      <c r="C65" s="351"/>
      <c r="D65" s="150"/>
      <c r="E65" s="338"/>
      <c r="F65" s="339"/>
      <c r="G65" s="629">
        <v>34</v>
      </c>
      <c r="H65" s="152" t="s">
        <v>708</v>
      </c>
      <c r="I65" s="152"/>
      <c r="J65" s="152"/>
      <c r="K65" s="598"/>
      <c r="L65" s="598"/>
      <c r="M65" s="599"/>
      <c r="N65" s="599"/>
      <c r="O65" s="599"/>
      <c r="P65" s="598"/>
      <c r="Q65" s="619"/>
      <c r="R65" s="620"/>
      <c r="S65" s="598"/>
      <c r="T65" s="598"/>
      <c r="U65" s="598"/>
      <c r="V65" s="621"/>
      <c r="W65" s="672"/>
      <c r="X65" s="154"/>
      <c r="Y65" s="599"/>
      <c r="Z65" s="599"/>
      <c r="AA65" s="599"/>
      <c r="AB65" s="599"/>
      <c r="AC65" s="599"/>
      <c r="AD65" s="599"/>
      <c r="AE65" s="599"/>
      <c r="AF65" s="599"/>
      <c r="AG65" s="599"/>
      <c r="AH65" s="599"/>
      <c r="AI65" s="599"/>
      <c r="AJ65" s="599"/>
      <c r="AK65" s="599"/>
      <c r="AL65" s="599"/>
      <c r="AM65" s="599"/>
      <c r="AN65" s="152"/>
      <c r="AO65" s="624"/>
      <c r="AP65" s="603"/>
      <c r="AQ65" s="604"/>
    </row>
    <row r="66" spans="1:43" ht="39.75" customHeight="1" x14ac:dyDescent="0.2">
      <c r="A66" s="625"/>
      <c r="B66" s="109"/>
      <c r="C66" s="650"/>
      <c r="D66" s="649"/>
      <c r="E66" s="109"/>
      <c r="F66" s="650"/>
      <c r="G66" s="651"/>
      <c r="H66" s="652"/>
      <c r="I66" s="653"/>
      <c r="J66" s="2772">
        <v>122</v>
      </c>
      <c r="K66" s="2783" t="s">
        <v>709</v>
      </c>
      <c r="L66" s="2390" t="s">
        <v>710</v>
      </c>
      <c r="M66" s="2408">
        <v>0</v>
      </c>
      <c r="N66" s="2874" t="s">
        <v>711</v>
      </c>
      <c r="O66" s="2950" t="s">
        <v>712</v>
      </c>
      <c r="P66" s="2823" t="s">
        <v>713</v>
      </c>
      <c r="Q66" s="2939">
        <f>V66*1/R66</f>
        <v>0.48087333500000001</v>
      </c>
      <c r="R66" s="2935">
        <f>SUM(V66:V76)</f>
        <v>200000000</v>
      </c>
      <c r="S66" s="2823" t="s">
        <v>714</v>
      </c>
      <c r="T66" s="2783" t="s">
        <v>709</v>
      </c>
      <c r="U66" s="2823" t="s">
        <v>715</v>
      </c>
      <c r="V66" s="2963">
        <f>26174667+70000000</f>
        <v>96174667</v>
      </c>
      <c r="W66" s="2961"/>
      <c r="X66" s="2772"/>
      <c r="Y66" s="2222">
        <v>4608</v>
      </c>
      <c r="Z66" s="2222">
        <v>4992</v>
      </c>
      <c r="AA66" s="2222">
        <v>2741</v>
      </c>
      <c r="AB66" s="2222">
        <v>765</v>
      </c>
      <c r="AC66" s="2222">
        <v>5500</v>
      </c>
      <c r="AD66" s="2222">
        <v>594</v>
      </c>
      <c r="AE66" s="2222">
        <v>40</v>
      </c>
      <c r="AF66" s="2222">
        <v>50</v>
      </c>
      <c r="AG66" s="2229"/>
      <c r="AH66" s="2229"/>
      <c r="AI66" s="2229"/>
      <c r="AJ66" s="2229"/>
      <c r="AK66" s="2946">
        <v>100</v>
      </c>
      <c r="AL66" s="2946">
        <v>10</v>
      </c>
      <c r="AM66" s="2186"/>
      <c r="AN66" s="2229">
        <v>9600</v>
      </c>
      <c r="AO66" s="2895">
        <v>43101</v>
      </c>
      <c r="AP66" s="2895">
        <v>43435</v>
      </c>
      <c r="AQ66" s="2929" t="s">
        <v>538</v>
      </c>
    </row>
    <row r="67" spans="1:43" ht="33" customHeight="1" x14ac:dyDescent="0.2">
      <c r="A67" s="625"/>
      <c r="B67" s="109"/>
      <c r="C67" s="650"/>
      <c r="D67" s="649"/>
      <c r="E67" s="109"/>
      <c r="F67" s="650"/>
      <c r="G67" s="649"/>
      <c r="H67" s="109"/>
      <c r="I67" s="650"/>
      <c r="J67" s="2774"/>
      <c r="K67" s="2784"/>
      <c r="L67" s="2392"/>
      <c r="M67" s="2408"/>
      <c r="N67" s="2874"/>
      <c r="O67" s="2950"/>
      <c r="P67" s="2823"/>
      <c r="Q67" s="2940"/>
      <c r="R67" s="2935"/>
      <c r="S67" s="2823"/>
      <c r="T67" s="2784"/>
      <c r="U67" s="2823"/>
      <c r="V67" s="2963"/>
      <c r="W67" s="2962"/>
      <c r="X67" s="2773"/>
      <c r="Y67" s="2223"/>
      <c r="Z67" s="2223"/>
      <c r="AA67" s="2223"/>
      <c r="AB67" s="2223"/>
      <c r="AC67" s="2223"/>
      <c r="AD67" s="2223"/>
      <c r="AE67" s="2223"/>
      <c r="AF67" s="2223"/>
      <c r="AG67" s="2229"/>
      <c r="AH67" s="2229"/>
      <c r="AI67" s="2229"/>
      <c r="AJ67" s="2229"/>
      <c r="AK67" s="2946"/>
      <c r="AL67" s="2946"/>
      <c r="AM67" s="2187"/>
      <c r="AN67" s="2229"/>
      <c r="AO67" s="2895"/>
      <c r="AP67" s="2895"/>
      <c r="AQ67" s="2929"/>
    </row>
    <row r="68" spans="1:43" ht="38.25" customHeight="1" x14ac:dyDescent="0.2">
      <c r="A68" s="625"/>
      <c r="B68" s="109"/>
      <c r="C68" s="650"/>
      <c r="D68" s="649"/>
      <c r="E68" s="109"/>
      <c r="F68" s="650"/>
      <c r="G68" s="649"/>
      <c r="H68" s="109"/>
      <c r="I68" s="650"/>
      <c r="J68" s="2398">
        <v>123</v>
      </c>
      <c r="K68" s="2390" t="s">
        <v>716</v>
      </c>
      <c r="L68" s="2390" t="s">
        <v>717</v>
      </c>
      <c r="M68" s="2408">
        <v>4</v>
      </c>
      <c r="N68" s="2874"/>
      <c r="O68" s="2950"/>
      <c r="P68" s="2823"/>
      <c r="Q68" s="2939">
        <f>V68*1/R66</f>
        <v>0.06</v>
      </c>
      <c r="R68" s="2935"/>
      <c r="S68" s="2823"/>
      <c r="T68" s="2390" t="s">
        <v>716</v>
      </c>
      <c r="U68" s="2970" t="s">
        <v>718</v>
      </c>
      <c r="V68" s="2963">
        <v>12000000</v>
      </c>
      <c r="W68" s="2807"/>
      <c r="X68" s="2773"/>
      <c r="Y68" s="2223"/>
      <c r="Z68" s="2223"/>
      <c r="AA68" s="2223"/>
      <c r="AB68" s="2223"/>
      <c r="AC68" s="2223"/>
      <c r="AD68" s="2223"/>
      <c r="AE68" s="2223"/>
      <c r="AF68" s="2223"/>
      <c r="AG68" s="2229"/>
      <c r="AH68" s="2229"/>
      <c r="AI68" s="2229"/>
      <c r="AJ68" s="2229"/>
      <c r="AK68" s="2946"/>
      <c r="AL68" s="2946"/>
      <c r="AM68" s="2187"/>
      <c r="AN68" s="2229"/>
      <c r="AO68" s="2895"/>
      <c r="AP68" s="2895"/>
      <c r="AQ68" s="2929"/>
    </row>
    <row r="69" spans="1:43" ht="47.25" customHeight="1" x14ac:dyDescent="0.2">
      <c r="A69" s="625"/>
      <c r="B69" s="109"/>
      <c r="C69" s="650"/>
      <c r="D69" s="649"/>
      <c r="E69" s="109"/>
      <c r="F69" s="650"/>
      <c r="G69" s="649"/>
      <c r="H69" s="109"/>
      <c r="I69" s="650"/>
      <c r="J69" s="2399"/>
      <c r="K69" s="2391"/>
      <c r="L69" s="2391"/>
      <c r="M69" s="2408"/>
      <c r="N69" s="2874"/>
      <c r="O69" s="2950"/>
      <c r="P69" s="2823"/>
      <c r="Q69" s="2969"/>
      <c r="R69" s="2935"/>
      <c r="S69" s="2823"/>
      <c r="T69" s="2391"/>
      <c r="U69" s="2970"/>
      <c r="V69" s="2963"/>
      <c r="W69" s="2807"/>
      <c r="X69" s="2773"/>
      <c r="Y69" s="2223"/>
      <c r="Z69" s="2223"/>
      <c r="AA69" s="2223"/>
      <c r="AB69" s="2223"/>
      <c r="AC69" s="2223"/>
      <c r="AD69" s="2223"/>
      <c r="AE69" s="2223"/>
      <c r="AF69" s="2223"/>
      <c r="AG69" s="2229"/>
      <c r="AH69" s="2229"/>
      <c r="AI69" s="2229"/>
      <c r="AJ69" s="2229"/>
      <c r="AK69" s="2946"/>
      <c r="AL69" s="2946"/>
      <c r="AM69" s="2187"/>
      <c r="AN69" s="2229"/>
      <c r="AO69" s="2895"/>
      <c r="AP69" s="2895"/>
      <c r="AQ69" s="2929"/>
    </row>
    <row r="70" spans="1:43" ht="30.75" customHeight="1" x14ac:dyDescent="0.2">
      <c r="A70" s="625"/>
      <c r="B70" s="109"/>
      <c r="C70" s="650"/>
      <c r="D70" s="649"/>
      <c r="E70" s="109"/>
      <c r="F70" s="650"/>
      <c r="G70" s="649"/>
      <c r="H70" s="109"/>
      <c r="I70" s="650"/>
      <c r="J70" s="2400"/>
      <c r="K70" s="2392"/>
      <c r="L70" s="2392"/>
      <c r="M70" s="2408"/>
      <c r="N70" s="2874"/>
      <c r="O70" s="2950"/>
      <c r="P70" s="2823"/>
      <c r="Q70" s="2940"/>
      <c r="R70" s="2935"/>
      <c r="S70" s="2823"/>
      <c r="T70" s="2392"/>
      <c r="U70" s="2970"/>
      <c r="V70" s="2963"/>
      <c r="W70" s="2807"/>
      <c r="X70" s="2773"/>
      <c r="Y70" s="2223"/>
      <c r="Z70" s="2223"/>
      <c r="AA70" s="2223"/>
      <c r="AB70" s="2223"/>
      <c r="AC70" s="2223"/>
      <c r="AD70" s="2223"/>
      <c r="AE70" s="2223"/>
      <c r="AF70" s="2223"/>
      <c r="AG70" s="2229"/>
      <c r="AH70" s="2229"/>
      <c r="AI70" s="2229"/>
      <c r="AJ70" s="2229"/>
      <c r="AK70" s="2946"/>
      <c r="AL70" s="2946"/>
      <c r="AM70" s="2187"/>
      <c r="AN70" s="2229"/>
      <c r="AO70" s="2895"/>
      <c r="AP70" s="2895"/>
      <c r="AQ70" s="2929"/>
    </row>
    <row r="71" spans="1:43" ht="33.75" customHeight="1" x14ac:dyDescent="0.2">
      <c r="A71" s="625"/>
      <c r="B71" s="109"/>
      <c r="C71" s="650"/>
      <c r="D71" s="649"/>
      <c r="E71" s="109"/>
      <c r="F71" s="650"/>
      <c r="G71" s="649"/>
      <c r="H71" s="109"/>
      <c r="I71" s="650"/>
      <c r="J71" s="2398">
        <v>124</v>
      </c>
      <c r="K71" s="2390" t="s">
        <v>719</v>
      </c>
      <c r="L71" s="2390" t="s">
        <v>720</v>
      </c>
      <c r="M71" s="2408">
        <v>200</v>
      </c>
      <c r="N71" s="2874"/>
      <c r="O71" s="2950"/>
      <c r="P71" s="2823"/>
      <c r="Q71" s="2939">
        <f>V71*1/R66</f>
        <v>0.28999999999999998</v>
      </c>
      <c r="R71" s="2935"/>
      <c r="S71" s="2823"/>
      <c r="T71" s="2390" t="s">
        <v>716</v>
      </c>
      <c r="U71" s="2970" t="s">
        <v>721</v>
      </c>
      <c r="V71" s="2963">
        <f>28000000+30000000</f>
        <v>58000000</v>
      </c>
      <c r="W71" s="2807">
        <v>20</v>
      </c>
      <c r="X71" s="2773" t="s">
        <v>272</v>
      </c>
      <c r="Y71" s="2223"/>
      <c r="Z71" s="2223"/>
      <c r="AA71" s="2223"/>
      <c r="AB71" s="2223"/>
      <c r="AC71" s="2223"/>
      <c r="AD71" s="2223"/>
      <c r="AE71" s="2223"/>
      <c r="AF71" s="2223"/>
      <c r="AG71" s="2229"/>
      <c r="AH71" s="2229"/>
      <c r="AI71" s="2229"/>
      <c r="AJ71" s="2229"/>
      <c r="AK71" s="2946"/>
      <c r="AL71" s="2946"/>
      <c r="AM71" s="2187"/>
      <c r="AN71" s="2229"/>
      <c r="AO71" s="2895"/>
      <c r="AP71" s="2895"/>
      <c r="AQ71" s="2929"/>
    </row>
    <row r="72" spans="1:43" ht="58.5" customHeight="1" x14ac:dyDescent="0.2">
      <c r="A72" s="625"/>
      <c r="B72" s="109"/>
      <c r="C72" s="650"/>
      <c r="D72" s="649"/>
      <c r="E72" s="109"/>
      <c r="F72" s="650"/>
      <c r="G72" s="649"/>
      <c r="H72" s="109"/>
      <c r="I72" s="650"/>
      <c r="J72" s="2400"/>
      <c r="K72" s="2392"/>
      <c r="L72" s="2392"/>
      <c r="M72" s="2408"/>
      <c r="N72" s="2874"/>
      <c r="O72" s="2950"/>
      <c r="P72" s="2823"/>
      <c r="Q72" s="2940"/>
      <c r="R72" s="2935"/>
      <c r="S72" s="2823"/>
      <c r="T72" s="2392"/>
      <c r="U72" s="2970"/>
      <c r="V72" s="2963"/>
      <c r="W72" s="2807"/>
      <c r="X72" s="2773"/>
      <c r="Y72" s="2223"/>
      <c r="Z72" s="2223"/>
      <c r="AA72" s="2223"/>
      <c r="AB72" s="2223"/>
      <c r="AC72" s="2223"/>
      <c r="AD72" s="2223"/>
      <c r="AE72" s="2223"/>
      <c r="AF72" s="2223"/>
      <c r="AG72" s="2229"/>
      <c r="AH72" s="2229"/>
      <c r="AI72" s="2229"/>
      <c r="AJ72" s="2229"/>
      <c r="AK72" s="2946"/>
      <c r="AL72" s="2946"/>
      <c r="AM72" s="2187"/>
      <c r="AN72" s="2229"/>
      <c r="AO72" s="2895"/>
      <c r="AP72" s="2895"/>
      <c r="AQ72" s="2929"/>
    </row>
    <row r="73" spans="1:43" ht="68.25" customHeight="1" x14ac:dyDescent="0.2">
      <c r="A73" s="625"/>
      <c r="B73" s="109"/>
      <c r="C73" s="650"/>
      <c r="D73" s="649"/>
      <c r="E73" s="109"/>
      <c r="F73" s="650"/>
      <c r="G73" s="649"/>
      <c r="H73" s="109"/>
      <c r="I73" s="650"/>
      <c r="J73" s="2772">
        <v>125</v>
      </c>
      <c r="K73" s="2823" t="s">
        <v>722</v>
      </c>
      <c r="L73" s="2823" t="s">
        <v>723</v>
      </c>
      <c r="M73" s="2429">
        <v>761</v>
      </c>
      <c r="N73" s="2874"/>
      <c r="O73" s="2950"/>
      <c r="P73" s="2823"/>
      <c r="Q73" s="2938">
        <f>SUM(V73:V74)*1/R66</f>
        <v>0.13912666500000001</v>
      </c>
      <c r="R73" s="2935"/>
      <c r="S73" s="2823"/>
      <c r="T73" s="2783" t="s">
        <v>722</v>
      </c>
      <c r="U73" s="483" t="s">
        <v>724</v>
      </c>
      <c r="V73" s="662">
        <v>17825333</v>
      </c>
      <c r="W73" s="399">
        <v>88</v>
      </c>
      <c r="X73" s="401" t="s">
        <v>670</v>
      </c>
      <c r="Y73" s="2223"/>
      <c r="Z73" s="2223"/>
      <c r="AA73" s="2223"/>
      <c r="AB73" s="2223"/>
      <c r="AC73" s="2223"/>
      <c r="AD73" s="2223"/>
      <c r="AE73" s="2223"/>
      <c r="AF73" s="2223"/>
      <c r="AG73" s="2229"/>
      <c r="AH73" s="2229"/>
      <c r="AI73" s="2229"/>
      <c r="AJ73" s="2229"/>
      <c r="AK73" s="2946"/>
      <c r="AL73" s="2946"/>
      <c r="AM73" s="2187"/>
      <c r="AN73" s="2229"/>
      <c r="AO73" s="2895"/>
      <c r="AP73" s="2895"/>
      <c r="AQ73" s="2929"/>
    </row>
    <row r="74" spans="1:43" ht="90.75" customHeight="1" x14ac:dyDescent="0.2">
      <c r="A74" s="625"/>
      <c r="B74" s="109"/>
      <c r="C74" s="650"/>
      <c r="D74" s="649"/>
      <c r="E74" s="109"/>
      <c r="F74" s="650"/>
      <c r="G74" s="649"/>
      <c r="H74" s="109"/>
      <c r="I74" s="650"/>
      <c r="J74" s="2774"/>
      <c r="K74" s="2823"/>
      <c r="L74" s="2823"/>
      <c r="M74" s="2429"/>
      <c r="N74" s="2874"/>
      <c r="O74" s="2950"/>
      <c r="P74" s="2823"/>
      <c r="Q74" s="2938"/>
      <c r="R74" s="2935"/>
      <c r="S74" s="2823"/>
      <c r="T74" s="2793"/>
      <c r="U74" s="483" t="s">
        <v>725</v>
      </c>
      <c r="V74" s="662">
        <v>10000000</v>
      </c>
      <c r="W74" s="399"/>
      <c r="X74" s="401"/>
      <c r="Y74" s="2223"/>
      <c r="Z74" s="2223"/>
      <c r="AA74" s="2223"/>
      <c r="AB74" s="2223"/>
      <c r="AC74" s="2223"/>
      <c r="AD74" s="2223"/>
      <c r="AE74" s="2223"/>
      <c r="AF74" s="2223"/>
      <c r="AG74" s="2229"/>
      <c r="AH74" s="2229"/>
      <c r="AI74" s="2229"/>
      <c r="AJ74" s="2229"/>
      <c r="AK74" s="2946"/>
      <c r="AL74" s="2946"/>
      <c r="AM74" s="2187"/>
      <c r="AN74" s="2229"/>
      <c r="AO74" s="2895"/>
      <c r="AP74" s="2895"/>
      <c r="AQ74" s="2929"/>
    </row>
    <row r="75" spans="1:43" ht="77.25" customHeight="1" x14ac:dyDescent="0.2">
      <c r="A75" s="625"/>
      <c r="B75" s="109"/>
      <c r="C75" s="650"/>
      <c r="D75" s="649"/>
      <c r="E75" s="109"/>
      <c r="F75" s="650"/>
      <c r="G75" s="649"/>
      <c r="H75" s="109"/>
      <c r="I75" s="650"/>
      <c r="J75" s="2398">
        <v>126</v>
      </c>
      <c r="K75" s="2390" t="s">
        <v>726</v>
      </c>
      <c r="L75" s="2390" t="s">
        <v>727</v>
      </c>
      <c r="M75" s="2134" t="s">
        <v>728</v>
      </c>
      <c r="N75" s="2874"/>
      <c r="O75" s="2950"/>
      <c r="P75" s="2823"/>
      <c r="Q75" s="2938">
        <f>V75*1/R66</f>
        <v>0.03</v>
      </c>
      <c r="R75" s="2935"/>
      <c r="S75" s="2823"/>
      <c r="T75" s="2390" t="s">
        <v>726</v>
      </c>
      <c r="U75" s="2971" t="s">
        <v>729</v>
      </c>
      <c r="V75" s="2963">
        <v>6000000</v>
      </c>
      <c r="W75" s="2807"/>
      <c r="X75" s="2773"/>
      <c r="Y75" s="2223"/>
      <c r="Z75" s="2223"/>
      <c r="AA75" s="2223"/>
      <c r="AB75" s="2223"/>
      <c r="AC75" s="2223"/>
      <c r="AD75" s="2223"/>
      <c r="AE75" s="2223"/>
      <c r="AF75" s="2223"/>
      <c r="AG75" s="2229"/>
      <c r="AH75" s="2229"/>
      <c r="AI75" s="2229"/>
      <c r="AJ75" s="2229"/>
      <c r="AK75" s="2946"/>
      <c r="AL75" s="2946"/>
      <c r="AM75" s="2187"/>
      <c r="AN75" s="2229"/>
      <c r="AO75" s="2895"/>
      <c r="AP75" s="2895"/>
      <c r="AQ75" s="2929"/>
    </row>
    <row r="76" spans="1:43" ht="18" customHeight="1" thickBot="1" x14ac:dyDescent="0.25">
      <c r="A76" s="625"/>
      <c r="B76" s="109"/>
      <c r="C76" s="650"/>
      <c r="D76" s="649"/>
      <c r="E76" s="109"/>
      <c r="F76" s="650"/>
      <c r="G76" s="649"/>
      <c r="H76" s="109"/>
      <c r="I76" s="650"/>
      <c r="J76" s="2399"/>
      <c r="K76" s="2391"/>
      <c r="L76" s="2391"/>
      <c r="M76" s="2974"/>
      <c r="N76" s="2772"/>
      <c r="O76" s="2843"/>
      <c r="P76" s="2783"/>
      <c r="Q76" s="2939"/>
      <c r="R76" s="2947"/>
      <c r="S76" s="2783"/>
      <c r="T76" s="2391"/>
      <c r="U76" s="2972"/>
      <c r="V76" s="2964"/>
      <c r="W76" s="2965"/>
      <c r="X76" s="2966"/>
      <c r="Y76" s="2223"/>
      <c r="Z76" s="2223"/>
      <c r="AA76" s="2223"/>
      <c r="AB76" s="2223"/>
      <c r="AC76" s="2223"/>
      <c r="AD76" s="2223"/>
      <c r="AE76" s="2223"/>
      <c r="AF76" s="2223"/>
      <c r="AG76" s="2222"/>
      <c r="AH76" s="2222"/>
      <c r="AI76" s="2222"/>
      <c r="AJ76" s="2222"/>
      <c r="AK76" s="2954"/>
      <c r="AL76" s="2954"/>
      <c r="AM76" s="2187"/>
      <c r="AN76" s="2222"/>
      <c r="AO76" s="2968"/>
      <c r="AP76" s="2968"/>
      <c r="AQ76" s="2958"/>
    </row>
    <row r="77" spans="1:43" ht="27.75" customHeight="1" thickBot="1" x14ac:dyDescent="0.3">
      <c r="A77" s="678"/>
      <c r="B77" s="679"/>
      <c r="C77" s="679"/>
      <c r="D77" s="679"/>
      <c r="E77" s="679"/>
      <c r="F77" s="679"/>
      <c r="G77" s="679"/>
      <c r="H77" s="679"/>
      <c r="I77" s="679"/>
      <c r="J77" s="679"/>
      <c r="K77" s="680"/>
      <c r="L77" s="680"/>
      <c r="M77" s="185"/>
      <c r="N77" s="2050"/>
      <c r="O77" s="679"/>
      <c r="P77" s="680"/>
      <c r="Q77" s="681"/>
      <c r="R77" s="378">
        <f>SUM(R12:R76)</f>
        <v>3847762444</v>
      </c>
      <c r="S77" s="682"/>
      <c r="T77" s="683"/>
      <c r="U77" s="684"/>
      <c r="V77" s="187">
        <f>SUM(V11:V76)</f>
        <v>3847762444</v>
      </c>
      <c r="W77" s="685"/>
      <c r="X77" s="679"/>
      <c r="Y77" s="679"/>
      <c r="Z77" s="679"/>
      <c r="AA77" s="679"/>
      <c r="AB77" s="679"/>
      <c r="AC77" s="679"/>
      <c r="AD77" s="679"/>
      <c r="AE77" s="679"/>
      <c r="AF77" s="679"/>
      <c r="AG77" s="679"/>
      <c r="AH77" s="679"/>
      <c r="AI77" s="679"/>
      <c r="AJ77" s="679"/>
      <c r="AK77" s="679"/>
      <c r="AL77" s="679"/>
      <c r="AM77" s="679"/>
      <c r="AN77" s="679"/>
      <c r="AO77" s="679"/>
      <c r="AP77" s="679"/>
      <c r="AQ77" s="681"/>
    </row>
    <row r="78" spans="1:43" ht="15.75" x14ac:dyDescent="0.25">
      <c r="A78" s="2973" t="s">
        <v>730</v>
      </c>
      <c r="B78" s="2973"/>
      <c r="C78" s="2973"/>
      <c r="D78" s="2973"/>
      <c r="E78" s="2973"/>
      <c r="F78" s="2973"/>
      <c r="G78" s="2973"/>
      <c r="H78" s="2973"/>
      <c r="I78" s="2973"/>
      <c r="J78" s="2973"/>
    </row>
    <row r="79" spans="1:43" x14ac:dyDescent="0.2">
      <c r="A79" s="2706" t="s">
        <v>731</v>
      </c>
      <c r="B79" s="2706"/>
      <c r="C79" s="2706"/>
      <c r="D79" s="2706"/>
      <c r="E79" s="2706"/>
      <c r="F79" s="2706"/>
      <c r="G79" s="2706"/>
      <c r="H79" s="2706"/>
      <c r="I79" s="2706"/>
      <c r="J79" s="2706"/>
    </row>
  </sheetData>
  <sheetProtection password="CBEB" sheet="1" objects="1" scenarios="1"/>
  <mergeCells count="385">
    <mergeCell ref="A78:J78"/>
    <mergeCell ref="A79:J79"/>
    <mergeCell ref="J75:J76"/>
    <mergeCell ref="K75:K76"/>
    <mergeCell ref="L75:L76"/>
    <mergeCell ref="M75:M76"/>
    <mergeCell ref="Q75:Q76"/>
    <mergeCell ref="T75:T76"/>
    <mergeCell ref="J73:J74"/>
    <mergeCell ref="K73:K74"/>
    <mergeCell ref="L73:L74"/>
    <mergeCell ref="M73:M74"/>
    <mergeCell ref="Q73:Q74"/>
    <mergeCell ref="T73:T74"/>
    <mergeCell ref="J71:J72"/>
    <mergeCell ref="K71:K72"/>
    <mergeCell ref="L71:L72"/>
    <mergeCell ref="M71:M72"/>
    <mergeCell ref="Q71:Q72"/>
    <mergeCell ref="T71:T72"/>
    <mergeCell ref="AM66:AM76"/>
    <mergeCell ref="AN66:AN76"/>
    <mergeCell ref="AO66:AO76"/>
    <mergeCell ref="V68:V70"/>
    <mergeCell ref="W68:W70"/>
    <mergeCell ref="X68:X70"/>
    <mergeCell ref="O66:O76"/>
    <mergeCell ref="P66:P76"/>
    <mergeCell ref="Q66:Q67"/>
    <mergeCell ref="R66:R76"/>
    <mergeCell ref="S66:S76"/>
    <mergeCell ref="T66:T67"/>
    <mergeCell ref="T68:T70"/>
    <mergeCell ref="U71:U72"/>
    <mergeCell ref="V71:V72"/>
    <mergeCell ref="W71:W72"/>
    <mergeCell ref="X71:X72"/>
    <mergeCell ref="U75:U76"/>
    <mergeCell ref="AP66:AP76"/>
    <mergeCell ref="AQ66:AQ76"/>
    <mergeCell ref="J68:J70"/>
    <mergeCell ref="K68:K70"/>
    <mergeCell ref="L68:L70"/>
    <mergeCell ref="M68:M70"/>
    <mergeCell ref="Q68:Q70"/>
    <mergeCell ref="AG66:AG76"/>
    <mergeCell ref="AH66:AH76"/>
    <mergeCell ref="AI66:AI76"/>
    <mergeCell ref="AJ66:AJ76"/>
    <mergeCell ref="AK66:AK76"/>
    <mergeCell ref="AL66:AL76"/>
    <mergeCell ref="AA66:AA76"/>
    <mergeCell ref="AB66:AB76"/>
    <mergeCell ref="AC66:AC76"/>
    <mergeCell ref="AD66:AD76"/>
    <mergeCell ref="AE66:AE76"/>
    <mergeCell ref="AF66:AF76"/>
    <mergeCell ref="U66:U67"/>
    <mergeCell ref="V66:V67"/>
    <mergeCell ref="Y66:Y76"/>
    <mergeCell ref="Z66:Z76"/>
    <mergeCell ref="U68:U70"/>
    <mergeCell ref="V75:V76"/>
    <mergeCell ref="W75:W76"/>
    <mergeCell ref="X75:X76"/>
    <mergeCell ref="AN60:AN62"/>
    <mergeCell ref="AO60:AO62"/>
    <mergeCell ref="AP60:AP62"/>
    <mergeCell ref="AQ60:AQ62"/>
    <mergeCell ref="T61:T62"/>
    <mergeCell ref="J66:J67"/>
    <mergeCell ref="K66:K67"/>
    <mergeCell ref="L66:L67"/>
    <mergeCell ref="M66:M67"/>
    <mergeCell ref="N66:N76"/>
    <mergeCell ref="AH60:AH62"/>
    <mergeCell ref="AI60:AI62"/>
    <mergeCell ref="AJ60:AJ62"/>
    <mergeCell ref="AK60:AK62"/>
    <mergeCell ref="AL60:AL62"/>
    <mergeCell ref="AM60:AM62"/>
    <mergeCell ref="AB60:AB62"/>
    <mergeCell ref="AC60:AC62"/>
    <mergeCell ref="AD60:AD62"/>
    <mergeCell ref="AE60:AE62"/>
    <mergeCell ref="AF60:AF62"/>
    <mergeCell ref="AG60:AG62"/>
    <mergeCell ref="W66:W67"/>
    <mergeCell ref="X66:X67"/>
    <mergeCell ref="T57:T58"/>
    <mergeCell ref="N60:N62"/>
    <mergeCell ref="O60:O62"/>
    <mergeCell ref="P60:P62"/>
    <mergeCell ref="R60:R62"/>
    <mergeCell ref="S60:S62"/>
    <mergeCell ref="Y60:Y62"/>
    <mergeCell ref="Z60:Z62"/>
    <mergeCell ref="AA60:AA62"/>
    <mergeCell ref="Y55:Y58"/>
    <mergeCell ref="Z55:Z58"/>
    <mergeCell ref="AD55:AD58"/>
    <mergeCell ref="AE55:AE58"/>
    <mergeCell ref="AF55:AF58"/>
    <mergeCell ref="AG55:AG58"/>
    <mergeCell ref="AA55:AA58"/>
    <mergeCell ref="AB55:AB58"/>
    <mergeCell ref="AC55:AC58"/>
    <mergeCell ref="AP52:AP53"/>
    <mergeCell ref="AQ52:AQ53"/>
    <mergeCell ref="AK52:AK53"/>
    <mergeCell ref="AL52:AL53"/>
    <mergeCell ref="AQ55:AQ58"/>
    <mergeCell ref="AK55:AK58"/>
    <mergeCell ref="AL55:AL58"/>
    <mergeCell ref="AM55:AM58"/>
    <mergeCell ref="AN55:AN58"/>
    <mergeCell ref="AO55:AO58"/>
    <mergeCell ref="AP55:AP58"/>
    <mergeCell ref="AH55:AH58"/>
    <mergeCell ref="AI55:AI58"/>
    <mergeCell ref="AJ55:AJ58"/>
    <mergeCell ref="N55:N58"/>
    <mergeCell ref="O55:O58"/>
    <mergeCell ref="P55:P58"/>
    <mergeCell ref="R55:R58"/>
    <mergeCell ref="S55:S58"/>
    <mergeCell ref="AG52:AG53"/>
    <mergeCell ref="AH52:AH53"/>
    <mergeCell ref="AI52:AI53"/>
    <mergeCell ref="AJ52:AJ53"/>
    <mergeCell ref="AA52:AA53"/>
    <mergeCell ref="AB52:AB53"/>
    <mergeCell ref="AC52:AC53"/>
    <mergeCell ref="AD52:AD53"/>
    <mergeCell ref="AE52:AE53"/>
    <mergeCell ref="AF52:AF53"/>
    <mergeCell ref="P52:P53"/>
    <mergeCell ref="Q52:Q53"/>
    <mergeCell ref="R52:R53"/>
    <mergeCell ref="S52:S53"/>
    <mergeCell ref="Y52:Y53"/>
    <mergeCell ref="Z52:Z53"/>
    <mergeCell ref="J52:J53"/>
    <mergeCell ref="K52:K53"/>
    <mergeCell ref="L52:L53"/>
    <mergeCell ref="M52:M53"/>
    <mergeCell ref="N52:N53"/>
    <mergeCell ref="O52:O53"/>
    <mergeCell ref="AM44:AM50"/>
    <mergeCell ref="AN44:AN50"/>
    <mergeCell ref="AO44:AO50"/>
    <mergeCell ref="Z44:Z50"/>
    <mergeCell ref="T47:T48"/>
    <mergeCell ref="J44:J46"/>
    <mergeCell ref="K44:K46"/>
    <mergeCell ref="L44:L46"/>
    <mergeCell ref="M44:M46"/>
    <mergeCell ref="O44:O50"/>
    <mergeCell ref="P44:P50"/>
    <mergeCell ref="AM52:AM53"/>
    <mergeCell ref="AN52:AN53"/>
    <mergeCell ref="AO52:AO53"/>
    <mergeCell ref="AP44:AP50"/>
    <mergeCell ref="AQ44:AQ50"/>
    <mergeCell ref="J47:J48"/>
    <mergeCell ref="K47:K48"/>
    <mergeCell ref="L47:L48"/>
    <mergeCell ref="M47:M48"/>
    <mergeCell ref="Q47:Q48"/>
    <mergeCell ref="AG44:AG50"/>
    <mergeCell ref="AH44:AH50"/>
    <mergeCell ref="AI44:AI50"/>
    <mergeCell ref="AJ44:AJ50"/>
    <mergeCell ref="AK44:AK50"/>
    <mergeCell ref="AL44:AL50"/>
    <mergeCell ref="AA44:AA50"/>
    <mergeCell ref="AB44:AB50"/>
    <mergeCell ref="AC44:AC50"/>
    <mergeCell ref="AD44:AD50"/>
    <mergeCell ref="AE44:AE50"/>
    <mergeCell ref="AF44:AF50"/>
    <mergeCell ref="Q44:Q46"/>
    <mergeCell ref="R44:R50"/>
    <mergeCell ref="S44:S50"/>
    <mergeCell ref="T44:T46"/>
    <mergeCell ref="Y44:Y50"/>
    <mergeCell ref="AQ35:AQ42"/>
    <mergeCell ref="J37:J38"/>
    <mergeCell ref="K37:K38"/>
    <mergeCell ref="L37:L38"/>
    <mergeCell ref="M37:M38"/>
    <mergeCell ref="Q37:Q38"/>
    <mergeCell ref="J39:J41"/>
    <mergeCell ref="K39:K41"/>
    <mergeCell ref="L39:L41"/>
    <mergeCell ref="M39:M41"/>
    <mergeCell ref="AK35:AK42"/>
    <mergeCell ref="AL35:AL42"/>
    <mergeCell ref="AM35:AM42"/>
    <mergeCell ref="AN35:AN42"/>
    <mergeCell ref="AO35:AO42"/>
    <mergeCell ref="AP35:AP42"/>
    <mergeCell ref="AE35:AE42"/>
    <mergeCell ref="AF35:AF42"/>
    <mergeCell ref="AG35:AG42"/>
    <mergeCell ref="AH35:AH42"/>
    <mergeCell ref="AI35:AI42"/>
    <mergeCell ref="AJ35:AJ42"/>
    <mergeCell ref="Y35:Y42"/>
    <mergeCell ref="Z35:Z42"/>
    <mergeCell ref="AA35:AA42"/>
    <mergeCell ref="AB35:AB42"/>
    <mergeCell ref="AC35:AC42"/>
    <mergeCell ref="AD35:AD42"/>
    <mergeCell ref="O35:O42"/>
    <mergeCell ref="P35:P42"/>
    <mergeCell ref="Q35:Q36"/>
    <mergeCell ref="R35:R42"/>
    <mergeCell ref="S35:S42"/>
    <mergeCell ref="T35:T38"/>
    <mergeCell ref="Q39:Q41"/>
    <mergeCell ref="T39:T42"/>
    <mergeCell ref="AM26:AM31"/>
    <mergeCell ref="AN26:AN31"/>
    <mergeCell ref="AO26:AO31"/>
    <mergeCell ref="AP26:AP31"/>
    <mergeCell ref="AQ26:AQ31"/>
    <mergeCell ref="J35:J36"/>
    <mergeCell ref="K35:K36"/>
    <mergeCell ref="L35:L36"/>
    <mergeCell ref="M35:M36"/>
    <mergeCell ref="N35:N42"/>
    <mergeCell ref="AG26:AG31"/>
    <mergeCell ref="AH26:AH31"/>
    <mergeCell ref="AI26:AI31"/>
    <mergeCell ref="AJ26:AJ31"/>
    <mergeCell ref="AK26:AK31"/>
    <mergeCell ref="AL26:AL31"/>
    <mergeCell ref="AA26:AA31"/>
    <mergeCell ref="AB26:AB31"/>
    <mergeCell ref="AC26:AC31"/>
    <mergeCell ref="AD26:AD31"/>
    <mergeCell ref="AE26:AE31"/>
    <mergeCell ref="AF26:AF31"/>
    <mergeCell ref="Q26:Q27"/>
    <mergeCell ref="R26:R31"/>
    <mergeCell ref="S26:S31"/>
    <mergeCell ref="T26:T29"/>
    <mergeCell ref="Y26:Y31"/>
    <mergeCell ref="Z26:Z31"/>
    <mergeCell ref="AO23:AO25"/>
    <mergeCell ref="AP23:AP25"/>
    <mergeCell ref="AQ23:AQ25"/>
    <mergeCell ref="J26:J27"/>
    <mergeCell ref="K26:K27"/>
    <mergeCell ref="L26:L27"/>
    <mergeCell ref="M26:M27"/>
    <mergeCell ref="N26:N31"/>
    <mergeCell ref="O26:O31"/>
    <mergeCell ref="P26:P31"/>
    <mergeCell ref="AI23:AI25"/>
    <mergeCell ref="AJ23:AJ25"/>
    <mergeCell ref="AK23:AK25"/>
    <mergeCell ref="AL23:AL25"/>
    <mergeCell ref="AM23:AM25"/>
    <mergeCell ref="AN23:AN25"/>
    <mergeCell ref="AC23:AC25"/>
    <mergeCell ref="AD23:AD25"/>
    <mergeCell ref="AE23:AE25"/>
    <mergeCell ref="AF23:AF25"/>
    <mergeCell ref="AG23:AG25"/>
    <mergeCell ref="AH23:AH25"/>
    <mergeCell ref="W23:W25"/>
    <mergeCell ref="X23:X25"/>
    <mergeCell ref="Y23:Y25"/>
    <mergeCell ref="Z23:Z25"/>
    <mergeCell ref="AA23:AA25"/>
    <mergeCell ref="AB23:AB25"/>
    <mergeCell ref="O23:O25"/>
    <mergeCell ref="P23:P25"/>
    <mergeCell ref="Q23:Q25"/>
    <mergeCell ref="R23:R25"/>
    <mergeCell ref="S23:S25"/>
    <mergeCell ref="T23:T25"/>
    <mergeCell ref="AO20:AO21"/>
    <mergeCell ref="AP20:AP21"/>
    <mergeCell ref="AQ20:AQ21"/>
    <mergeCell ref="D23:F31"/>
    <mergeCell ref="G23:I31"/>
    <mergeCell ref="J23:J25"/>
    <mergeCell ref="K23:K25"/>
    <mergeCell ref="L23:L25"/>
    <mergeCell ref="M23:M25"/>
    <mergeCell ref="N23:N25"/>
    <mergeCell ref="AI20:AI21"/>
    <mergeCell ref="AJ20:AJ21"/>
    <mergeCell ref="AK20:AK21"/>
    <mergeCell ref="AL20:AL21"/>
    <mergeCell ref="AM20:AM21"/>
    <mergeCell ref="AN20:AN21"/>
    <mergeCell ref="AC20:AC21"/>
    <mergeCell ref="AD20:AD21"/>
    <mergeCell ref="AE20:AE21"/>
    <mergeCell ref="AF20:AF21"/>
    <mergeCell ref="AG20:AG21"/>
    <mergeCell ref="AH20:AH21"/>
    <mergeCell ref="S20:S21"/>
    <mergeCell ref="T20:T21"/>
    <mergeCell ref="Y20:Y21"/>
    <mergeCell ref="Z20:Z21"/>
    <mergeCell ref="AA20:AA21"/>
    <mergeCell ref="AB20:AB21"/>
    <mergeCell ref="D20:F22"/>
    <mergeCell ref="G20:I21"/>
    <mergeCell ref="N20:N21"/>
    <mergeCell ref="O20:O21"/>
    <mergeCell ref="P20:P21"/>
    <mergeCell ref="R20:R21"/>
    <mergeCell ref="AJ12:AJ18"/>
    <mergeCell ref="AK12:AK18"/>
    <mergeCell ref="AL12:AL18"/>
    <mergeCell ref="AM12:AM18"/>
    <mergeCell ref="AN12:AN18"/>
    <mergeCell ref="AC12:AC18"/>
    <mergeCell ref="AD12:AD18"/>
    <mergeCell ref="AE12:AE18"/>
    <mergeCell ref="AF12:AF18"/>
    <mergeCell ref="AG12:AG18"/>
    <mergeCell ref="AH12:AH18"/>
    <mergeCell ref="P12:P18"/>
    <mergeCell ref="Q12:Q13"/>
    <mergeCell ref="R12:R18"/>
    <mergeCell ref="B13:C13"/>
    <mergeCell ref="B18:C18"/>
    <mergeCell ref="O12:O18"/>
    <mergeCell ref="M12:M13"/>
    <mergeCell ref="N12:N18"/>
    <mergeCell ref="AI12:AI18"/>
    <mergeCell ref="W12:W18"/>
    <mergeCell ref="X12:X18"/>
    <mergeCell ref="Y12:Y18"/>
    <mergeCell ref="Z12:Z18"/>
    <mergeCell ref="AA12:AA18"/>
    <mergeCell ref="AB12:AB18"/>
    <mergeCell ref="S12:S18"/>
    <mergeCell ref="T12:T14"/>
    <mergeCell ref="J12:J13"/>
    <mergeCell ref="K12:K13"/>
    <mergeCell ref="L12:L13"/>
    <mergeCell ref="T15:T18"/>
    <mergeCell ref="P7:P8"/>
    <mergeCell ref="Q7:Q8"/>
    <mergeCell ref="R7:R8"/>
    <mergeCell ref="S7:S8"/>
    <mergeCell ref="T7:T8"/>
    <mergeCell ref="U7:U8"/>
    <mergeCell ref="J7:J8"/>
    <mergeCell ref="K7:K8"/>
    <mergeCell ref="L7:L8"/>
    <mergeCell ref="M7:M8"/>
    <mergeCell ref="N7:N8"/>
    <mergeCell ref="W7:W8"/>
    <mergeCell ref="X7:X8"/>
    <mergeCell ref="Y7:Z7"/>
    <mergeCell ref="AA7:AD7"/>
    <mergeCell ref="AO12:AO18"/>
    <mergeCell ref="AP12:AP18"/>
    <mergeCell ref="AQ12:AQ18"/>
    <mergeCell ref="A1:AP4"/>
    <mergeCell ref="A5:M6"/>
    <mergeCell ref="N5:AQ5"/>
    <mergeCell ref="Y6:AM6"/>
    <mergeCell ref="A7:A8"/>
    <mergeCell ref="B7:C8"/>
    <mergeCell ref="D7:D8"/>
    <mergeCell ref="E7:F8"/>
    <mergeCell ref="G7:G8"/>
    <mergeCell ref="H7:I8"/>
    <mergeCell ref="AQ7:AQ8"/>
    <mergeCell ref="AE7:AJ7"/>
    <mergeCell ref="AK7:AM7"/>
    <mergeCell ref="AN7:AN8"/>
    <mergeCell ref="AO7:AO8"/>
    <mergeCell ref="AP7:AP8"/>
    <mergeCell ref="O7:O8"/>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W29"/>
  <sheetViews>
    <sheetView showGridLines="0" zoomScale="50" zoomScaleNormal="50" workbookViewId="0">
      <selection activeCell="M12" sqref="M12:M15"/>
    </sheetView>
  </sheetViews>
  <sheetFormatPr baseColWidth="10" defaultColWidth="11.42578125" defaultRowHeight="15" x14ac:dyDescent="0.2"/>
  <cols>
    <col min="1" max="1" width="12.42578125" style="110" customWidth="1"/>
    <col min="2" max="2" width="8.42578125" style="110" customWidth="1"/>
    <col min="3" max="3" width="12.28515625" style="110" customWidth="1"/>
    <col min="4" max="4" width="13.28515625" style="110" customWidth="1"/>
    <col min="5" max="5" width="21.85546875" style="110" customWidth="1"/>
    <col min="6" max="6" width="14.5703125" style="110" customWidth="1"/>
    <col min="7" max="7" width="23.85546875" style="110" customWidth="1"/>
    <col min="8" max="8" width="16.85546875" style="110" customWidth="1"/>
    <col min="9" max="9" width="30.5703125" style="110" customWidth="1"/>
    <col min="10" max="10" width="23.7109375" style="110" customWidth="1"/>
    <col min="11" max="11" width="15.7109375" style="110" customWidth="1"/>
    <col min="12" max="12" width="38.7109375" style="2044" customWidth="1"/>
    <col min="13" max="13" width="24.85546875" style="110" customWidth="1"/>
    <col min="14" max="14" width="28.42578125" style="110" customWidth="1"/>
    <col min="15" max="15" width="16.85546875" style="110" customWidth="1"/>
    <col min="16" max="16" width="28" style="110" customWidth="1"/>
    <col min="17" max="17" width="31.42578125" style="110" customWidth="1"/>
    <col min="18" max="18" width="30.7109375" style="110" customWidth="1"/>
    <col min="19" max="19" width="30.28515625" style="110" customWidth="1"/>
    <col min="20" max="20" width="32.140625" style="304" customWidth="1"/>
    <col min="21" max="21" width="10.7109375" style="110" customWidth="1"/>
    <col min="22" max="22" width="14.85546875" style="110" customWidth="1"/>
    <col min="23" max="23" width="14" style="110" customWidth="1"/>
    <col min="24" max="24" width="17.85546875" style="110" customWidth="1"/>
    <col min="25" max="25" width="11.28515625" style="110" bestFit="1" customWidth="1"/>
    <col min="26" max="26" width="10.85546875" style="110" customWidth="1"/>
    <col min="27" max="27" width="11.28515625" style="110" bestFit="1" customWidth="1"/>
    <col min="28" max="28" width="10.28515625" style="110" customWidth="1"/>
    <col min="29" max="29" width="9.7109375" style="110" customWidth="1"/>
    <col min="30" max="30" width="9.85546875" style="110" bestFit="1" customWidth="1"/>
    <col min="31" max="31" width="11.42578125" style="110" customWidth="1"/>
    <col min="32" max="32" width="10" style="110" customWidth="1"/>
    <col min="33" max="33" width="7.85546875" style="110" customWidth="1"/>
    <col min="34" max="34" width="9.5703125" style="110" customWidth="1"/>
    <col min="35" max="35" width="11.140625" style="110" customWidth="1"/>
    <col min="36" max="36" width="13.7109375" style="110" customWidth="1"/>
    <col min="37" max="37" width="11" style="110" customWidth="1"/>
    <col min="38" max="38" width="13.5703125" style="110" customWidth="1"/>
    <col min="39" max="39" width="17" style="110" customWidth="1"/>
    <col min="40" max="40" width="22.28515625" style="110" customWidth="1"/>
    <col min="41" max="41" width="22.140625" style="110" customWidth="1"/>
    <col min="42" max="54" width="14.85546875" style="110" customWidth="1"/>
    <col min="55" max="16384" width="11.42578125" style="110"/>
  </cols>
  <sheetData>
    <row r="1" spans="1:41" ht="15" customHeight="1" x14ac:dyDescent="0.2">
      <c r="A1" s="2252" t="s">
        <v>228</v>
      </c>
      <c r="B1" s="2252"/>
      <c r="C1" s="2252"/>
      <c r="D1" s="2252"/>
      <c r="E1" s="2252"/>
      <c r="F1" s="2252"/>
      <c r="G1" s="2252"/>
      <c r="H1" s="2252"/>
      <c r="I1" s="2252"/>
      <c r="J1" s="2252"/>
      <c r="K1" s="2252"/>
      <c r="L1" s="2252"/>
      <c r="M1" s="2252"/>
      <c r="N1" s="2252"/>
      <c r="O1" s="2252"/>
      <c r="P1" s="2252"/>
      <c r="Q1" s="2252"/>
      <c r="R1" s="2252"/>
      <c r="S1" s="2252"/>
      <c r="T1" s="2252"/>
      <c r="U1" s="2252"/>
      <c r="V1" s="2252"/>
      <c r="W1" s="2252"/>
      <c r="X1" s="2252"/>
      <c r="Y1" s="2252"/>
      <c r="Z1" s="2252"/>
      <c r="AA1" s="2252"/>
      <c r="AB1" s="2252"/>
      <c r="AC1" s="2252"/>
      <c r="AD1" s="2252"/>
      <c r="AE1" s="2252"/>
      <c r="AF1" s="2252"/>
      <c r="AG1" s="2252"/>
      <c r="AH1" s="2252"/>
      <c r="AI1" s="2252"/>
      <c r="AJ1" s="2252"/>
      <c r="AK1" s="2252"/>
      <c r="AL1" s="2252"/>
      <c r="AM1" s="2252"/>
      <c r="AN1" s="2253"/>
      <c r="AO1" s="220" t="s">
        <v>134</v>
      </c>
    </row>
    <row r="2" spans="1:41" x14ac:dyDescent="0.2">
      <c r="A2" s="2252"/>
      <c r="B2" s="2252"/>
      <c r="C2" s="2252"/>
      <c r="D2" s="2252"/>
      <c r="E2" s="2252"/>
      <c r="F2" s="2252"/>
      <c r="G2" s="2252"/>
      <c r="H2" s="2252"/>
      <c r="I2" s="2252"/>
      <c r="J2" s="2252"/>
      <c r="K2" s="2252"/>
      <c r="L2" s="2252"/>
      <c r="M2" s="2252"/>
      <c r="N2" s="2252"/>
      <c r="O2" s="2252"/>
      <c r="P2" s="2252"/>
      <c r="Q2" s="2252"/>
      <c r="R2" s="2252"/>
      <c r="S2" s="2252"/>
      <c r="T2" s="2252"/>
      <c r="U2" s="2252"/>
      <c r="V2" s="2252"/>
      <c r="W2" s="2252"/>
      <c r="X2" s="2252"/>
      <c r="Y2" s="2252"/>
      <c r="Z2" s="2252"/>
      <c r="AA2" s="2252"/>
      <c r="AB2" s="2252"/>
      <c r="AC2" s="2252"/>
      <c r="AD2" s="2252"/>
      <c r="AE2" s="2252"/>
      <c r="AF2" s="2252"/>
      <c r="AG2" s="2252"/>
      <c r="AH2" s="2252"/>
      <c r="AI2" s="2252"/>
      <c r="AJ2" s="2252"/>
      <c r="AK2" s="2252"/>
      <c r="AL2" s="2252"/>
      <c r="AM2" s="2252"/>
      <c r="AN2" s="2253"/>
      <c r="AO2" s="221">
        <v>6</v>
      </c>
    </row>
    <row r="3" spans="1:41" x14ac:dyDescent="0.2">
      <c r="A3" s="2252"/>
      <c r="B3" s="2252"/>
      <c r="C3" s="2252"/>
      <c r="D3" s="2252"/>
      <c r="E3" s="2252"/>
      <c r="F3" s="2252"/>
      <c r="G3" s="2252"/>
      <c r="H3" s="2252"/>
      <c r="I3" s="2252"/>
      <c r="J3" s="2252"/>
      <c r="K3" s="2252"/>
      <c r="L3" s="2252"/>
      <c r="M3" s="2252"/>
      <c r="N3" s="2252"/>
      <c r="O3" s="2252"/>
      <c r="P3" s="2252"/>
      <c r="Q3" s="2252"/>
      <c r="R3" s="2252"/>
      <c r="S3" s="2252"/>
      <c r="T3" s="2252"/>
      <c r="U3" s="2252"/>
      <c r="V3" s="2252"/>
      <c r="W3" s="2252"/>
      <c r="X3" s="2252"/>
      <c r="Y3" s="2252"/>
      <c r="Z3" s="2252"/>
      <c r="AA3" s="2252"/>
      <c r="AB3" s="2252"/>
      <c r="AC3" s="2252"/>
      <c r="AD3" s="2252"/>
      <c r="AE3" s="2252"/>
      <c r="AF3" s="2252"/>
      <c r="AG3" s="2252"/>
      <c r="AH3" s="2252"/>
      <c r="AI3" s="2252"/>
      <c r="AJ3" s="2252"/>
      <c r="AK3" s="2252"/>
      <c r="AL3" s="2252"/>
      <c r="AM3" s="2252"/>
      <c r="AN3" s="2253"/>
      <c r="AO3" s="222" t="s">
        <v>136</v>
      </c>
    </row>
    <row r="4" spans="1:41" s="224" customFormat="1" x14ac:dyDescent="0.2">
      <c r="A4" s="2254"/>
      <c r="B4" s="2254"/>
      <c r="C4" s="2254"/>
      <c r="D4" s="2254"/>
      <c r="E4" s="2254"/>
      <c r="F4" s="2254"/>
      <c r="G4" s="2254"/>
      <c r="H4" s="2254"/>
      <c r="I4" s="2254"/>
      <c r="J4" s="2254"/>
      <c r="K4" s="2254"/>
      <c r="L4" s="2254"/>
      <c r="M4" s="2254"/>
      <c r="N4" s="2254"/>
      <c r="O4" s="2254"/>
      <c r="P4" s="2254"/>
      <c r="Q4" s="2254"/>
      <c r="R4" s="2254"/>
      <c r="S4" s="2254"/>
      <c r="T4" s="2254"/>
      <c r="U4" s="2254"/>
      <c r="V4" s="2254"/>
      <c r="W4" s="2254"/>
      <c r="X4" s="2254"/>
      <c r="Y4" s="2254"/>
      <c r="Z4" s="2254"/>
      <c r="AA4" s="2254"/>
      <c r="AB4" s="2254"/>
      <c r="AC4" s="2254"/>
      <c r="AD4" s="2254"/>
      <c r="AE4" s="2254"/>
      <c r="AF4" s="2254"/>
      <c r="AG4" s="2254"/>
      <c r="AH4" s="2254"/>
      <c r="AI4" s="2254"/>
      <c r="AJ4" s="2254"/>
      <c r="AK4" s="2254"/>
      <c r="AL4" s="2254"/>
      <c r="AM4" s="2254"/>
      <c r="AN4" s="2255"/>
      <c r="AO4" s="223" t="s">
        <v>181</v>
      </c>
    </row>
    <row r="5" spans="1:41" ht="15.75" x14ac:dyDescent="0.2">
      <c r="A5" s="2975" t="s">
        <v>2</v>
      </c>
      <c r="B5" s="2329"/>
      <c r="C5" s="2329"/>
      <c r="D5" s="2329"/>
      <c r="E5" s="2329"/>
      <c r="F5" s="2329"/>
      <c r="G5" s="2329"/>
      <c r="H5" s="2329"/>
      <c r="I5" s="2329"/>
      <c r="J5" s="2329"/>
      <c r="K5" s="2329"/>
      <c r="L5" s="2042"/>
      <c r="M5" s="114"/>
      <c r="N5" s="2258" t="s">
        <v>3</v>
      </c>
      <c r="O5" s="2258"/>
      <c r="P5" s="2258"/>
      <c r="Q5" s="2258"/>
      <c r="R5" s="2258"/>
      <c r="S5" s="2258"/>
      <c r="T5" s="2258"/>
      <c r="U5" s="2258"/>
      <c r="V5" s="2258"/>
      <c r="W5" s="2258"/>
      <c r="X5" s="2258"/>
      <c r="Y5" s="2258"/>
      <c r="Z5" s="2258"/>
      <c r="AA5" s="2258"/>
      <c r="AB5" s="2258"/>
      <c r="AC5" s="2258"/>
      <c r="AD5" s="2258"/>
      <c r="AE5" s="2258"/>
      <c r="AF5" s="2258"/>
      <c r="AG5" s="2258"/>
      <c r="AH5" s="2258"/>
      <c r="AI5" s="2258"/>
      <c r="AJ5" s="2258"/>
      <c r="AK5" s="2258"/>
      <c r="AL5" s="2258"/>
      <c r="AM5" s="2258"/>
      <c r="AN5" s="2258"/>
      <c r="AO5" s="2258"/>
    </row>
    <row r="6" spans="1:41" ht="15.75" x14ac:dyDescent="0.2">
      <c r="A6" s="2333"/>
      <c r="B6" s="2331"/>
      <c r="C6" s="2331"/>
      <c r="D6" s="2331"/>
      <c r="E6" s="2331"/>
      <c r="F6" s="2331"/>
      <c r="G6" s="2331"/>
      <c r="H6" s="2331"/>
      <c r="I6" s="2331"/>
      <c r="J6" s="2331"/>
      <c r="K6" s="2331"/>
      <c r="L6" s="2042"/>
      <c r="M6" s="225"/>
      <c r="N6" s="2259"/>
      <c r="O6" s="2260"/>
      <c r="P6" s="2260"/>
      <c r="Q6" s="2260"/>
      <c r="R6" s="2260"/>
      <c r="S6" s="2260"/>
      <c r="T6" s="2260"/>
      <c r="U6" s="2260"/>
      <c r="V6" s="2261"/>
      <c r="W6" s="226"/>
      <c r="X6" s="226"/>
      <c r="Y6" s="226"/>
      <c r="Z6" s="226"/>
      <c r="AA6" s="226"/>
      <c r="AB6" s="226"/>
      <c r="AC6" s="226"/>
      <c r="AD6" s="226"/>
      <c r="AE6" s="226"/>
      <c r="AF6" s="226"/>
      <c r="AG6" s="226"/>
      <c r="AH6" s="226"/>
      <c r="AI6" s="226"/>
      <c r="AJ6" s="226"/>
      <c r="AK6" s="226"/>
      <c r="AL6" s="226"/>
      <c r="AM6" s="2259"/>
      <c r="AN6" s="2260"/>
      <c r="AO6" s="2261"/>
    </row>
    <row r="7" spans="1:41" ht="15.75" customHeight="1" x14ac:dyDescent="0.2">
      <c r="A7" s="2545" t="s">
        <v>5</v>
      </c>
      <c r="B7" s="2545" t="s">
        <v>6</v>
      </c>
      <c r="C7" s="2545"/>
      <c r="D7" s="2545" t="s">
        <v>5</v>
      </c>
      <c r="E7" s="2545" t="s">
        <v>7</v>
      </c>
      <c r="F7" s="2545" t="s">
        <v>5</v>
      </c>
      <c r="G7" s="2545" t="s">
        <v>8</v>
      </c>
      <c r="H7" s="2545" t="s">
        <v>5</v>
      </c>
      <c r="I7" s="2545" t="s">
        <v>9</v>
      </c>
      <c r="J7" s="2545" t="s">
        <v>10</v>
      </c>
      <c r="K7" s="2238" t="s">
        <v>11</v>
      </c>
      <c r="L7" s="2545" t="s">
        <v>12</v>
      </c>
      <c r="M7" s="2238" t="s">
        <v>182</v>
      </c>
      <c r="N7" s="2545" t="s">
        <v>3</v>
      </c>
      <c r="O7" s="2545" t="s">
        <v>14</v>
      </c>
      <c r="P7" s="2545" t="s">
        <v>15</v>
      </c>
      <c r="Q7" s="2545" t="s">
        <v>16</v>
      </c>
      <c r="R7" s="2545" t="s">
        <v>17</v>
      </c>
      <c r="S7" s="2545" t="s">
        <v>18</v>
      </c>
      <c r="T7" s="2264" t="s">
        <v>15</v>
      </c>
      <c r="U7" s="2238" t="s">
        <v>5</v>
      </c>
      <c r="V7" s="2545" t="s">
        <v>19</v>
      </c>
      <c r="W7" s="2240" t="s">
        <v>20</v>
      </c>
      <c r="X7" s="2241"/>
      <c r="Y7" s="2242" t="s">
        <v>21</v>
      </c>
      <c r="Z7" s="2243"/>
      <c r="AA7" s="2243"/>
      <c r="AB7" s="2243"/>
      <c r="AC7" s="2244" t="s">
        <v>22</v>
      </c>
      <c r="AD7" s="2245"/>
      <c r="AE7" s="2245"/>
      <c r="AF7" s="2245"/>
      <c r="AG7" s="2245"/>
      <c r="AH7" s="2245"/>
      <c r="AI7" s="2242" t="s">
        <v>23</v>
      </c>
      <c r="AJ7" s="2243"/>
      <c r="AK7" s="2243"/>
      <c r="AL7" s="2533" t="s">
        <v>24</v>
      </c>
      <c r="AM7" s="2758" t="s">
        <v>25</v>
      </c>
      <c r="AN7" s="2758" t="s">
        <v>26</v>
      </c>
      <c r="AO7" s="2976" t="s">
        <v>27</v>
      </c>
    </row>
    <row r="8" spans="1:41" ht="136.5" customHeight="1" x14ac:dyDescent="0.2">
      <c r="A8" s="2545"/>
      <c r="B8" s="2545"/>
      <c r="C8" s="2545"/>
      <c r="D8" s="2545"/>
      <c r="E8" s="2545"/>
      <c r="F8" s="2545"/>
      <c r="G8" s="2545"/>
      <c r="H8" s="2545"/>
      <c r="I8" s="2545"/>
      <c r="J8" s="2545"/>
      <c r="K8" s="2239"/>
      <c r="L8" s="2545"/>
      <c r="M8" s="2239"/>
      <c r="N8" s="2545"/>
      <c r="O8" s="2545"/>
      <c r="P8" s="2545"/>
      <c r="Q8" s="2545"/>
      <c r="R8" s="2545"/>
      <c r="S8" s="2545"/>
      <c r="T8" s="2266"/>
      <c r="U8" s="2239"/>
      <c r="V8" s="2545"/>
      <c r="W8" s="227" t="s">
        <v>28</v>
      </c>
      <c r="X8" s="228" t="s">
        <v>29</v>
      </c>
      <c r="Y8" s="227" t="s">
        <v>30</v>
      </c>
      <c r="Z8" s="227" t="s">
        <v>31</v>
      </c>
      <c r="AA8" s="227" t="s">
        <v>138</v>
      </c>
      <c r="AB8" s="227" t="s">
        <v>32</v>
      </c>
      <c r="AC8" s="227" t="s">
        <v>33</v>
      </c>
      <c r="AD8" s="227" t="s">
        <v>34</v>
      </c>
      <c r="AE8" s="227" t="s">
        <v>35</v>
      </c>
      <c r="AF8" s="227" t="s">
        <v>36</v>
      </c>
      <c r="AG8" s="227" t="s">
        <v>37</v>
      </c>
      <c r="AH8" s="227" t="s">
        <v>227</v>
      </c>
      <c r="AI8" s="227" t="s">
        <v>39</v>
      </c>
      <c r="AJ8" s="227" t="s">
        <v>40</v>
      </c>
      <c r="AK8" s="227" t="s">
        <v>41</v>
      </c>
      <c r="AL8" s="2534"/>
      <c r="AM8" s="2759"/>
      <c r="AN8" s="2759"/>
      <c r="AO8" s="2976"/>
    </row>
    <row r="9" spans="1:41" ht="15.75" customHeight="1" x14ac:dyDescent="0.2">
      <c r="A9" s="229">
        <v>5</v>
      </c>
      <c r="B9" s="230" t="s">
        <v>43</v>
      </c>
      <c r="C9" s="230"/>
      <c r="D9" s="230"/>
      <c r="E9" s="230"/>
      <c r="F9" s="230"/>
      <c r="G9" s="230"/>
      <c r="H9" s="230"/>
      <c r="I9" s="231"/>
      <c r="J9" s="231"/>
      <c r="K9" s="230"/>
      <c r="L9" s="232"/>
      <c r="M9" s="231"/>
      <c r="N9" s="233"/>
      <c r="O9" s="234"/>
      <c r="P9" s="231"/>
      <c r="Q9" s="231"/>
      <c r="R9" s="231"/>
      <c r="S9" s="235"/>
      <c r="T9" s="236"/>
      <c r="U9" s="230"/>
      <c r="V9" s="230"/>
      <c r="W9" s="230"/>
      <c r="X9" s="237"/>
      <c r="Y9" s="237"/>
      <c r="Z9" s="237"/>
      <c r="AA9" s="237"/>
      <c r="AB9" s="237"/>
      <c r="AC9" s="237"/>
      <c r="AD9" s="237"/>
      <c r="AE9" s="237"/>
      <c r="AF9" s="237"/>
      <c r="AG9" s="237"/>
      <c r="AH9" s="237"/>
      <c r="AI9" s="237"/>
      <c r="AJ9" s="237"/>
      <c r="AK9" s="237"/>
      <c r="AL9" s="237"/>
      <c r="AM9" s="237"/>
      <c r="AN9" s="237"/>
      <c r="AO9" s="238"/>
    </row>
    <row r="10" spans="1:41" s="109" customFormat="1" ht="15.75" customHeight="1" x14ac:dyDescent="0.2">
      <c r="A10" s="239"/>
      <c r="B10" s="2977"/>
      <c r="C10" s="2978"/>
      <c r="D10" s="240">
        <v>26</v>
      </c>
      <c r="E10" s="241" t="s">
        <v>183</v>
      </c>
      <c r="F10" s="242"/>
      <c r="G10" s="242"/>
      <c r="H10" s="242"/>
      <c r="I10" s="243"/>
      <c r="J10" s="243"/>
      <c r="K10" s="242"/>
      <c r="L10" s="244"/>
      <c r="M10" s="243"/>
      <c r="N10" s="245"/>
      <c r="O10" s="246"/>
      <c r="P10" s="243"/>
      <c r="Q10" s="243"/>
      <c r="R10" s="243"/>
      <c r="S10" s="247"/>
      <c r="T10" s="248"/>
      <c r="U10" s="242"/>
      <c r="V10" s="242"/>
      <c r="W10" s="242"/>
      <c r="X10" s="249"/>
      <c r="Y10" s="249"/>
      <c r="Z10" s="249"/>
      <c r="AA10" s="249"/>
      <c r="AB10" s="249"/>
      <c r="AC10" s="250"/>
      <c r="AD10" s="251"/>
      <c r="AE10" s="250"/>
      <c r="AF10" s="250"/>
      <c r="AG10" s="251"/>
      <c r="AH10" s="252"/>
      <c r="AI10" s="250"/>
      <c r="AJ10" s="250"/>
      <c r="AK10" s="251"/>
      <c r="AL10" s="250"/>
      <c r="AM10" s="251"/>
      <c r="AN10" s="251"/>
      <c r="AO10" s="251"/>
    </row>
    <row r="11" spans="1:41" s="109" customFormat="1" ht="15.75" customHeight="1" x14ac:dyDescent="0.2">
      <c r="A11" s="253"/>
      <c r="B11" s="2977"/>
      <c r="C11" s="2978"/>
      <c r="D11" s="2981"/>
      <c r="E11" s="2857"/>
      <c r="F11" s="254">
        <v>83</v>
      </c>
      <c r="G11" s="255" t="s">
        <v>184</v>
      </c>
      <c r="H11" s="256"/>
      <c r="I11" s="257"/>
      <c r="J11" s="257"/>
      <c r="K11" s="258"/>
      <c r="L11" s="259"/>
      <c r="M11" s="257"/>
      <c r="N11" s="260"/>
      <c r="O11" s="261"/>
      <c r="P11" s="257"/>
      <c r="Q11" s="257"/>
      <c r="R11" s="257"/>
      <c r="S11" s="262"/>
      <c r="T11" s="263"/>
      <c r="U11" s="258"/>
      <c r="V11" s="258"/>
      <c r="W11" s="258"/>
      <c r="X11" s="258"/>
      <c r="Y11" s="258"/>
      <c r="Z11" s="258"/>
      <c r="AA11" s="258"/>
      <c r="AB11" s="258"/>
      <c r="AC11" s="258"/>
      <c r="AD11" s="264"/>
      <c r="AE11" s="258"/>
      <c r="AF11" s="264"/>
      <c r="AG11" s="257"/>
      <c r="AH11" s="258"/>
      <c r="AI11" s="264"/>
      <c r="AJ11" s="258"/>
      <c r="AK11" s="264"/>
      <c r="AL11" s="257"/>
      <c r="AM11" s="264"/>
      <c r="AN11" s="257"/>
      <c r="AO11" s="257"/>
    </row>
    <row r="12" spans="1:41" s="109" customFormat="1" ht="75" customHeight="1" x14ac:dyDescent="0.2">
      <c r="A12" s="253"/>
      <c r="B12" s="2977"/>
      <c r="C12" s="2978"/>
      <c r="D12" s="2982"/>
      <c r="E12" s="2858"/>
      <c r="F12" s="2984"/>
      <c r="G12" s="2985"/>
      <c r="H12" s="2874">
        <v>244</v>
      </c>
      <c r="I12" s="2823" t="s">
        <v>185</v>
      </c>
      <c r="J12" s="2823" t="s">
        <v>186</v>
      </c>
      <c r="K12" s="2874">
        <v>12</v>
      </c>
      <c r="L12" s="2874" t="s">
        <v>187</v>
      </c>
      <c r="M12" s="2874" t="s">
        <v>188</v>
      </c>
      <c r="N12" s="2823" t="s">
        <v>189</v>
      </c>
      <c r="O12" s="2834">
        <f>SUM(T12:T15)/P12</f>
        <v>1</v>
      </c>
      <c r="P12" s="2986">
        <f>SUM(T12:T15)</f>
        <v>627000000</v>
      </c>
      <c r="Q12" s="2823" t="s">
        <v>190</v>
      </c>
      <c r="R12" s="2875" t="s">
        <v>191</v>
      </c>
      <c r="S12" s="265" t="s">
        <v>192</v>
      </c>
      <c r="T12" s="266">
        <v>113080000</v>
      </c>
      <c r="U12" s="2843" t="s">
        <v>67</v>
      </c>
      <c r="V12" s="2772" t="s">
        <v>193</v>
      </c>
      <c r="W12" s="2933">
        <v>292684</v>
      </c>
      <c r="X12" s="2933">
        <v>282326</v>
      </c>
      <c r="Y12" s="2933">
        <v>135912</v>
      </c>
      <c r="Z12" s="2933">
        <v>45122</v>
      </c>
      <c r="AA12" s="2933">
        <v>307101</v>
      </c>
      <c r="AB12" s="2933">
        <v>86875</v>
      </c>
      <c r="AC12" s="2933">
        <v>2145</v>
      </c>
      <c r="AD12" s="2933">
        <v>12718</v>
      </c>
      <c r="AE12" s="2997">
        <v>26</v>
      </c>
      <c r="AF12" s="2997">
        <v>37</v>
      </c>
      <c r="AG12" s="2946">
        <v>0</v>
      </c>
      <c r="AH12" s="2946">
        <v>0</v>
      </c>
      <c r="AI12" s="2933">
        <v>53164</v>
      </c>
      <c r="AJ12" s="2933">
        <v>16982</v>
      </c>
      <c r="AK12" s="2933">
        <v>6013</v>
      </c>
      <c r="AL12" s="2995">
        <f>+Y12+Z12+AA12+AB12</f>
        <v>575010</v>
      </c>
      <c r="AM12" s="2996">
        <v>43101</v>
      </c>
      <c r="AN12" s="2996">
        <v>43465</v>
      </c>
      <c r="AO12" s="2875" t="s">
        <v>229</v>
      </c>
    </row>
    <row r="13" spans="1:41" s="109" customFormat="1" ht="45" x14ac:dyDescent="0.2">
      <c r="A13" s="253"/>
      <c r="B13" s="2977"/>
      <c r="C13" s="2978"/>
      <c r="D13" s="2982"/>
      <c r="E13" s="2858"/>
      <c r="F13" s="2984"/>
      <c r="G13" s="2985"/>
      <c r="H13" s="2874"/>
      <c r="I13" s="2823"/>
      <c r="J13" s="2823"/>
      <c r="K13" s="2874"/>
      <c r="L13" s="2874"/>
      <c r="M13" s="2874"/>
      <c r="N13" s="2823"/>
      <c r="O13" s="2834"/>
      <c r="P13" s="2986"/>
      <c r="Q13" s="2823"/>
      <c r="R13" s="2875"/>
      <c r="S13" s="267" t="s">
        <v>194</v>
      </c>
      <c r="T13" s="266">
        <f>274230000+60000000</f>
        <v>334230000</v>
      </c>
      <c r="U13" s="2807"/>
      <c r="V13" s="2773"/>
      <c r="W13" s="2933"/>
      <c r="X13" s="2933"/>
      <c r="Y13" s="2933">
        <v>135912</v>
      </c>
      <c r="Z13" s="2933">
        <v>45122</v>
      </c>
      <c r="AA13" s="2933">
        <v>307101</v>
      </c>
      <c r="AB13" s="2933">
        <v>86875</v>
      </c>
      <c r="AC13" s="2933">
        <v>2145</v>
      </c>
      <c r="AD13" s="2933">
        <v>12718</v>
      </c>
      <c r="AE13" s="2997">
        <v>26</v>
      </c>
      <c r="AF13" s="2997">
        <v>37</v>
      </c>
      <c r="AG13" s="2946"/>
      <c r="AH13" s="2946"/>
      <c r="AI13" s="2933">
        <v>53164</v>
      </c>
      <c r="AJ13" s="2933">
        <v>16982</v>
      </c>
      <c r="AK13" s="2933">
        <v>6013</v>
      </c>
      <c r="AL13" s="2995"/>
      <c r="AM13" s="2996"/>
      <c r="AN13" s="2996"/>
      <c r="AO13" s="2875"/>
    </row>
    <row r="14" spans="1:41" s="109" customFormat="1" ht="30" x14ac:dyDescent="0.2">
      <c r="A14" s="253"/>
      <c r="B14" s="2977"/>
      <c r="C14" s="2978"/>
      <c r="D14" s="2982"/>
      <c r="E14" s="2858"/>
      <c r="F14" s="2984"/>
      <c r="G14" s="2985"/>
      <c r="H14" s="2874"/>
      <c r="I14" s="2823"/>
      <c r="J14" s="2823"/>
      <c r="K14" s="2874"/>
      <c r="L14" s="2874"/>
      <c r="M14" s="2874"/>
      <c r="N14" s="2823"/>
      <c r="O14" s="2834"/>
      <c r="P14" s="2986"/>
      <c r="Q14" s="2823"/>
      <c r="R14" s="2823" t="s">
        <v>195</v>
      </c>
      <c r="S14" s="265" t="s">
        <v>196</v>
      </c>
      <c r="T14" s="266">
        <v>119690000</v>
      </c>
      <c r="U14" s="2807"/>
      <c r="V14" s="2773"/>
      <c r="W14" s="2933"/>
      <c r="X14" s="2933"/>
      <c r="Y14" s="2933">
        <v>135912</v>
      </c>
      <c r="Z14" s="2933">
        <v>45122</v>
      </c>
      <c r="AA14" s="2933">
        <v>307101</v>
      </c>
      <c r="AB14" s="2933">
        <v>86875</v>
      </c>
      <c r="AC14" s="2933">
        <v>2145</v>
      </c>
      <c r="AD14" s="2933">
        <v>12718</v>
      </c>
      <c r="AE14" s="2997">
        <v>26</v>
      </c>
      <c r="AF14" s="2997">
        <v>37</v>
      </c>
      <c r="AG14" s="2946"/>
      <c r="AH14" s="2946"/>
      <c r="AI14" s="2933">
        <v>53164</v>
      </c>
      <c r="AJ14" s="2933">
        <v>16982</v>
      </c>
      <c r="AK14" s="2933">
        <v>6013</v>
      </c>
      <c r="AL14" s="2995"/>
      <c r="AM14" s="2996"/>
      <c r="AN14" s="2996"/>
      <c r="AO14" s="2875"/>
    </row>
    <row r="15" spans="1:41" s="109" customFormat="1" ht="30" x14ac:dyDescent="0.2">
      <c r="A15" s="253"/>
      <c r="B15" s="2977"/>
      <c r="C15" s="2978"/>
      <c r="D15" s="2982"/>
      <c r="E15" s="2858"/>
      <c r="F15" s="2984"/>
      <c r="G15" s="2985"/>
      <c r="H15" s="2874"/>
      <c r="I15" s="2823"/>
      <c r="J15" s="2823"/>
      <c r="K15" s="2874"/>
      <c r="L15" s="2874"/>
      <c r="M15" s="2874"/>
      <c r="N15" s="2823"/>
      <c r="O15" s="2834"/>
      <c r="P15" s="2986"/>
      <c r="Q15" s="2823"/>
      <c r="R15" s="2823"/>
      <c r="S15" s="265" t="s">
        <v>197</v>
      </c>
      <c r="T15" s="266">
        <v>60000000</v>
      </c>
      <c r="U15" s="2864"/>
      <c r="V15" s="2774"/>
      <c r="W15" s="2933"/>
      <c r="X15" s="2933"/>
      <c r="Y15" s="2933">
        <v>135912</v>
      </c>
      <c r="Z15" s="2933">
        <v>45122</v>
      </c>
      <c r="AA15" s="2933">
        <v>307101</v>
      </c>
      <c r="AB15" s="2933">
        <v>86875</v>
      </c>
      <c r="AC15" s="2933">
        <v>2145</v>
      </c>
      <c r="AD15" s="2933">
        <v>12718</v>
      </c>
      <c r="AE15" s="2997">
        <v>26</v>
      </c>
      <c r="AF15" s="2997">
        <v>37</v>
      </c>
      <c r="AG15" s="2946"/>
      <c r="AH15" s="2946"/>
      <c r="AI15" s="2933">
        <v>53164</v>
      </c>
      <c r="AJ15" s="2933">
        <v>16982</v>
      </c>
      <c r="AK15" s="2933">
        <v>6013</v>
      </c>
      <c r="AL15" s="2955"/>
      <c r="AM15" s="2996"/>
      <c r="AN15" s="2996"/>
      <c r="AO15" s="2875"/>
    </row>
    <row r="16" spans="1:41" s="109" customFormat="1" ht="180" x14ac:dyDescent="0.2">
      <c r="A16" s="253"/>
      <c r="B16" s="2977"/>
      <c r="C16" s="2978"/>
      <c r="D16" s="2983"/>
      <c r="E16" s="2859"/>
      <c r="F16" s="2984"/>
      <c r="G16" s="2985"/>
      <c r="H16" s="268">
        <v>245</v>
      </c>
      <c r="I16" s="265" t="s">
        <v>198</v>
      </c>
      <c r="J16" s="265" t="s">
        <v>199</v>
      </c>
      <c r="K16" s="268">
        <v>1</v>
      </c>
      <c r="L16" s="2048" t="s">
        <v>200</v>
      </c>
      <c r="M16" s="268" t="s">
        <v>201</v>
      </c>
      <c r="N16" s="265" t="s">
        <v>202</v>
      </c>
      <c r="O16" s="269">
        <f>SUM(T16)/P16</f>
        <v>1</v>
      </c>
      <c r="P16" s="270">
        <f>SUM(T16:T16)</f>
        <v>60000000</v>
      </c>
      <c r="Q16" s="265" t="s">
        <v>203</v>
      </c>
      <c r="R16" s="265" t="s">
        <v>204</v>
      </c>
      <c r="S16" s="265" t="s">
        <v>205</v>
      </c>
      <c r="T16" s="266">
        <v>60000000</v>
      </c>
      <c r="U16" s="271">
        <v>20</v>
      </c>
      <c r="V16" s="265" t="s">
        <v>72</v>
      </c>
      <c r="W16" s="272">
        <v>292684</v>
      </c>
      <c r="X16" s="272">
        <v>282326</v>
      </c>
      <c r="Y16" s="273">
        <v>135912</v>
      </c>
      <c r="Z16" s="273">
        <v>45122</v>
      </c>
      <c r="AA16" s="273">
        <v>307101</v>
      </c>
      <c r="AB16" s="273">
        <v>86875</v>
      </c>
      <c r="AC16" s="273">
        <v>2145</v>
      </c>
      <c r="AD16" s="273">
        <v>12718</v>
      </c>
      <c r="AE16" s="273">
        <v>26</v>
      </c>
      <c r="AF16" s="273">
        <v>37</v>
      </c>
      <c r="AG16" s="273">
        <v>0</v>
      </c>
      <c r="AH16" s="273">
        <v>0</v>
      </c>
      <c r="AI16" s="273">
        <v>53164</v>
      </c>
      <c r="AJ16" s="273">
        <v>16982</v>
      </c>
      <c r="AK16" s="273">
        <v>6013</v>
      </c>
      <c r="AL16" s="273">
        <f>+Y16+Z16+AA16+AB16</f>
        <v>575010</v>
      </c>
      <c r="AM16" s="274">
        <v>43101</v>
      </c>
      <c r="AN16" s="274">
        <v>43465</v>
      </c>
      <c r="AO16" s="265" t="s">
        <v>229</v>
      </c>
    </row>
    <row r="17" spans="1:49" ht="15.75" x14ac:dyDescent="0.2">
      <c r="A17" s="253"/>
      <c r="B17" s="2977"/>
      <c r="C17" s="2978"/>
      <c r="D17" s="275">
        <v>28</v>
      </c>
      <c r="E17" s="241" t="s">
        <v>206</v>
      </c>
      <c r="F17" s="276"/>
      <c r="G17" s="276"/>
      <c r="H17" s="277"/>
      <c r="I17" s="252"/>
      <c r="J17" s="252"/>
      <c r="K17" s="250"/>
      <c r="L17" s="278"/>
      <c r="M17" s="252"/>
      <c r="N17" s="279"/>
      <c r="O17" s="280"/>
      <c r="P17" s="252"/>
      <c r="Q17" s="252"/>
      <c r="R17" s="252"/>
      <c r="S17" s="281"/>
      <c r="T17" s="282"/>
      <c r="U17" s="278"/>
      <c r="V17" s="278"/>
      <c r="W17" s="278"/>
      <c r="X17" s="278"/>
      <c r="Y17" s="278"/>
      <c r="Z17" s="278"/>
      <c r="AA17" s="278"/>
      <c r="AB17" s="278"/>
      <c r="AC17" s="278"/>
      <c r="AD17" s="278"/>
      <c r="AE17" s="278"/>
      <c r="AF17" s="278"/>
      <c r="AG17" s="278"/>
      <c r="AH17" s="278"/>
      <c r="AI17" s="278"/>
      <c r="AJ17" s="278"/>
      <c r="AK17" s="278"/>
      <c r="AL17" s="278"/>
      <c r="AM17" s="278"/>
      <c r="AN17" s="278"/>
      <c r="AO17" s="252"/>
    </row>
    <row r="18" spans="1:49" ht="15.75" x14ac:dyDescent="0.2">
      <c r="A18" s="253"/>
      <c r="B18" s="2977"/>
      <c r="C18" s="2978"/>
      <c r="D18" s="2987"/>
      <c r="E18" s="2990"/>
      <c r="F18" s="283">
        <v>89</v>
      </c>
      <c r="G18" s="2993" t="s">
        <v>207</v>
      </c>
      <c r="H18" s="2993"/>
      <c r="I18" s="2993"/>
      <c r="J18" s="2993"/>
      <c r="K18" s="2993"/>
      <c r="L18" s="1140"/>
      <c r="M18" s="2994"/>
      <c r="N18" s="2994"/>
      <c r="O18" s="2994"/>
      <c r="P18" s="2994"/>
      <c r="Q18" s="2994"/>
      <c r="R18" s="2994"/>
      <c r="S18" s="2994"/>
      <c r="T18" s="284"/>
      <c r="U18" s="2994"/>
      <c r="V18" s="2994"/>
      <c r="W18" s="2994"/>
      <c r="X18" s="2994"/>
      <c r="Y18" s="2994"/>
      <c r="Z18" s="2994"/>
      <c r="AA18" s="2994"/>
      <c r="AB18" s="2994"/>
      <c r="AC18" s="2994"/>
      <c r="AD18" s="2994"/>
      <c r="AE18" s="2994"/>
      <c r="AF18" s="2994"/>
      <c r="AG18" s="2994"/>
      <c r="AH18" s="2994"/>
      <c r="AI18" s="2994"/>
      <c r="AJ18" s="2994"/>
      <c r="AK18" s="2994"/>
      <c r="AL18" s="2994"/>
      <c r="AM18" s="2994"/>
      <c r="AN18" s="2994"/>
      <c r="AO18" s="2994"/>
    </row>
    <row r="19" spans="1:49" ht="58.5" customHeight="1" x14ac:dyDescent="0.2">
      <c r="A19" s="253"/>
      <c r="B19" s="2977"/>
      <c r="C19" s="2978"/>
      <c r="D19" s="2988"/>
      <c r="E19" s="2991"/>
      <c r="F19" s="2998"/>
      <c r="G19" s="2998"/>
      <c r="H19" s="2874">
        <v>288</v>
      </c>
      <c r="I19" s="2823" t="s">
        <v>208</v>
      </c>
      <c r="J19" s="2823" t="s">
        <v>209</v>
      </c>
      <c r="K19" s="2874">
        <v>1</v>
      </c>
      <c r="L19" s="2874" t="s">
        <v>210</v>
      </c>
      <c r="M19" s="2874" t="s">
        <v>211</v>
      </c>
      <c r="N19" s="2823" t="s">
        <v>212</v>
      </c>
      <c r="O19" s="2797">
        <f>SUM(T19:T21)/P19</f>
        <v>1</v>
      </c>
      <c r="P19" s="2786">
        <f>SUM(T19:T21)</f>
        <v>817000000</v>
      </c>
      <c r="Q19" s="2784" t="s">
        <v>213</v>
      </c>
      <c r="R19" s="3012" t="s">
        <v>214</v>
      </c>
      <c r="S19" s="285" t="s">
        <v>215</v>
      </c>
      <c r="T19" s="286">
        <f>266600600+200000000</f>
        <v>466600600</v>
      </c>
      <c r="U19" s="2843" t="s">
        <v>216</v>
      </c>
      <c r="V19" s="2772" t="s">
        <v>217</v>
      </c>
      <c r="W19" s="3003">
        <v>292684</v>
      </c>
      <c r="X19" s="3003">
        <v>282326</v>
      </c>
      <c r="Y19" s="3003">
        <v>135912</v>
      </c>
      <c r="Z19" s="3003">
        <v>45122</v>
      </c>
      <c r="AA19" s="3003">
        <v>307101</v>
      </c>
      <c r="AB19" s="3003">
        <v>86875</v>
      </c>
      <c r="AC19" s="3003">
        <v>2145</v>
      </c>
      <c r="AD19" s="3003">
        <v>12718</v>
      </c>
      <c r="AE19" s="3008">
        <v>26</v>
      </c>
      <c r="AF19" s="3008">
        <v>37</v>
      </c>
      <c r="AG19" s="3010">
        <v>0</v>
      </c>
      <c r="AH19" s="3010">
        <v>0</v>
      </c>
      <c r="AI19" s="3003">
        <v>53164</v>
      </c>
      <c r="AJ19" s="3003">
        <v>16982</v>
      </c>
      <c r="AK19" s="3003">
        <v>6013</v>
      </c>
      <c r="AL19" s="3003">
        <f>+Y19+Z19+AA19+AB19</f>
        <v>575010</v>
      </c>
      <c r="AM19" s="3005">
        <v>43101</v>
      </c>
      <c r="AN19" s="2810">
        <v>43465</v>
      </c>
      <c r="AO19" s="2853" t="s">
        <v>229</v>
      </c>
      <c r="AP19" s="109"/>
      <c r="AQ19" s="109"/>
      <c r="AR19" s="109"/>
      <c r="AS19" s="109"/>
      <c r="AT19" s="109"/>
      <c r="AU19" s="109"/>
      <c r="AV19" s="109"/>
      <c r="AW19" s="109"/>
    </row>
    <row r="20" spans="1:49" ht="54" customHeight="1" x14ac:dyDescent="0.2">
      <c r="A20" s="253"/>
      <c r="B20" s="2977"/>
      <c r="C20" s="2978"/>
      <c r="D20" s="2988"/>
      <c r="E20" s="2991"/>
      <c r="F20" s="2998"/>
      <c r="G20" s="2998"/>
      <c r="H20" s="2874"/>
      <c r="I20" s="2823"/>
      <c r="J20" s="2823"/>
      <c r="K20" s="2874"/>
      <c r="L20" s="2874"/>
      <c r="M20" s="2874"/>
      <c r="N20" s="2823"/>
      <c r="O20" s="2798"/>
      <c r="P20" s="2986"/>
      <c r="Q20" s="2823"/>
      <c r="R20" s="3012"/>
      <c r="S20" s="285" t="s">
        <v>218</v>
      </c>
      <c r="T20" s="286">
        <v>29549400</v>
      </c>
      <c r="U20" s="2807"/>
      <c r="V20" s="2773"/>
      <c r="W20" s="3003"/>
      <c r="X20" s="3003"/>
      <c r="Y20" s="3003"/>
      <c r="Z20" s="3003"/>
      <c r="AA20" s="3003"/>
      <c r="AB20" s="3003"/>
      <c r="AC20" s="3003"/>
      <c r="AD20" s="3003"/>
      <c r="AE20" s="3008"/>
      <c r="AF20" s="3008"/>
      <c r="AG20" s="3011"/>
      <c r="AH20" s="3011"/>
      <c r="AI20" s="3003"/>
      <c r="AJ20" s="3003"/>
      <c r="AK20" s="3003"/>
      <c r="AL20" s="3003"/>
      <c r="AM20" s="2931"/>
      <c r="AN20" s="3007"/>
      <c r="AO20" s="2875"/>
      <c r="AP20" s="109"/>
      <c r="AQ20" s="109"/>
      <c r="AR20" s="109"/>
      <c r="AS20" s="109"/>
      <c r="AT20" s="109"/>
      <c r="AU20" s="109"/>
      <c r="AV20" s="109"/>
      <c r="AW20" s="109"/>
    </row>
    <row r="21" spans="1:49" ht="53.25" customHeight="1" thickBot="1" x14ac:dyDescent="0.25">
      <c r="A21" s="287"/>
      <c r="B21" s="2979"/>
      <c r="C21" s="2980"/>
      <c r="D21" s="2989"/>
      <c r="E21" s="2992"/>
      <c r="F21" s="2999"/>
      <c r="G21" s="2999"/>
      <c r="H21" s="2772"/>
      <c r="I21" s="2783"/>
      <c r="J21" s="2783"/>
      <c r="K21" s="2772"/>
      <c r="L21" s="2772"/>
      <c r="M21" s="2772"/>
      <c r="N21" s="2783"/>
      <c r="O21" s="2798"/>
      <c r="P21" s="2785"/>
      <c r="Q21" s="2783"/>
      <c r="R21" s="288" t="s">
        <v>219</v>
      </c>
      <c r="S21" s="289" t="s">
        <v>220</v>
      </c>
      <c r="T21" s="290">
        <v>320850000</v>
      </c>
      <c r="U21" s="2965"/>
      <c r="V21" s="2966"/>
      <c r="W21" s="3004"/>
      <c r="X21" s="3004"/>
      <c r="Y21" s="3004"/>
      <c r="Z21" s="3004"/>
      <c r="AA21" s="3004"/>
      <c r="AB21" s="3004"/>
      <c r="AC21" s="3004"/>
      <c r="AD21" s="3004"/>
      <c r="AE21" s="3009"/>
      <c r="AF21" s="3009"/>
      <c r="AG21" s="3011"/>
      <c r="AH21" s="3011"/>
      <c r="AI21" s="3004"/>
      <c r="AJ21" s="3004"/>
      <c r="AK21" s="3004"/>
      <c r="AL21" s="3004"/>
      <c r="AM21" s="3006"/>
      <c r="AN21" s="3007"/>
      <c r="AO21" s="2848"/>
      <c r="AP21" s="109"/>
      <c r="AQ21" s="109"/>
      <c r="AR21" s="109"/>
      <c r="AS21" s="109"/>
      <c r="AT21" s="109"/>
      <c r="AU21" s="109"/>
      <c r="AV21" s="109"/>
      <c r="AW21" s="109"/>
    </row>
    <row r="22" spans="1:49" s="302" customFormat="1" ht="16.5" thickBot="1" x14ac:dyDescent="0.3">
      <c r="A22" s="291"/>
      <c r="B22" s="292"/>
      <c r="C22" s="292"/>
      <c r="D22" s="292"/>
      <c r="E22" s="293"/>
      <c r="F22" s="3000" t="s">
        <v>221</v>
      </c>
      <c r="G22" s="3001"/>
      <c r="H22" s="3001"/>
      <c r="I22" s="3001"/>
      <c r="J22" s="3001"/>
      <c r="K22" s="3001"/>
      <c r="L22" s="3001"/>
      <c r="M22" s="3001"/>
      <c r="N22" s="3001"/>
      <c r="O22" s="3002"/>
      <c r="P22" s="294">
        <f>+P12+P16+P19</f>
        <v>1504000000</v>
      </c>
      <c r="Q22" s="291"/>
      <c r="R22" s="292"/>
      <c r="S22" s="295"/>
      <c r="T22" s="296">
        <f>SUM(T12:T21)</f>
        <v>1504000000</v>
      </c>
      <c r="U22" s="297"/>
      <c r="V22" s="298"/>
      <c r="W22" s="298"/>
      <c r="X22" s="298"/>
      <c r="Y22" s="298"/>
      <c r="Z22" s="298"/>
      <c r="AA22" s="298"/>
      <c r="AB22" s="298"/>
      <c r="AC22" s="298"/>
      <c r="AD22" s="298"/>
      <c r="AE22" s="298"/>
      <c r="AF22" s="298"/>
      <c r="AG22" s="298"/>
      <c r="AH22" s="298"/>
      <c r="AI22" s="298"/>
      <c r="AJ22" s="298"/>
      <c r="AK22" s="298"/>
      <c r="AL22" s="298"/>
      <c r="AM22" s="299"/>
      <c r="AN22" s="300"/>
      <c r="AO22" s="301"/>
    </row>
    <row r="23" spans="1:49" x14ac:dyDescent="0.2">
      <c r="P23" s="303"/>
    </row>
    <row r="24" spans="1:49" x14ac:dyDescent="0.2">
      <c r="P24" s="305"/>
    </row>
    <row r="28" spans="1:49" ht="15.75" x14ac:dyDescent="0.25">
      <c r="K28" s="306" t="s">
        <v>230</v>
      </c>
      <c r="L28" s="2051"/>
      <c r="M28" s="307"/>
    </row>
    <row r="29" spans="1:49" ht="15.75" x14ac:dyDescent="0.25">
      <c r="K29" s="308" t="s">
        <v>222</v>
      </c>
      <c r="L29" s="2052"/>
    </row>
  </sheetData>
  <sheetProtection password="CBEB" sheet="1" objects="1" scenarios="1"/>
  <mergeCells count="116">
    <mergeCell ref="F22:O22"/>
    <mergeCell ref="AI19:AI21"/>
    <mergeCell ref="AJ19:AJ21"/>
    <mergeCell ref="AK19:AK21"/>
    <mergeCell ref="AL19:AL21"/>
    <mergeCell ref="AM19:AM21"/>
    <mergeCell ref="AN19:AN21"/>
    <mergeCell ref="AC19:AC21"/>
    <mergeCell ref="AD19:AD21"/>
    <mergeCell ref="AE19:AE21"/>
    <mergeCell ref="AF19:AF21"/>
    <mergeCell ref="AG19:AG21"/>
    <mergeCell ref="AH19:AH21"/>
    <mergeCell ref="W19:W21"/>
    <mergeCell ref="X19:X21"/>
    <mergeCell ref="Y19:Y21"/>
    <mergeCell ref="Z19:Z21"/>
    <mergeCell ref="AA19:AA21"/>
    <mergeCell ref="AB19:AB21"/>
    <mergeCell ref="O19:O21"/>
    <mergeCell ref="P19:P21"/>
    <mergeCell ref="Q19:Q21"/>
    <mergeCell ref="R19:R20"/>
    <mergeCell ref="U19:U21"/>
    <mergeCell ref="V19:V21"/>
    <mergeCell ref="AK18:AL18"/>
    <mergeCell ref="AM18:AO18"/>
    <mergeCell ref="F19:G21"/>
    <mergeCell ref="H19:H21"/>
    <mergeCell ref="I19:I21"/>
    <mergeCell ref="J19:J21"/>
    <mergeCell ref="K19:K21"/>
    <mergeCell ref="L19:L21"/>
    <mergeCell ref="M19:M21"/>
    <mergeCell ref="N19:N21"/>
    <mergeCell ref="AO19:AO21"/>
    <mergeCell ref="AO12:AO15"/>
    <mergeCell ref="R14:R15"/>
    <mergeCell ref="D18:D21"/>
    <mergeCell ref="E18:E21"/>
    <mergeCell ref="G18:K18"/>
    <mergeCell ref="M18:S18"/>
    <mergeCell ref="U18:X18"/>
    <mergeCell ref="Y18:AB18"/>
    <mergeCell ref="AC18:AF18"/>
    <mergeCell ref="AG18:AJ18"/>
    <mergeCell ref="AI12:AI15"/>
    <mergeCell ref="AJ12:AJ15"/>
    <mergeCell ref="AK12:AK15"/>
    <mergeCell ref="AL12:AL15"/>
    <mergeCell ref="AM12:AM15"/>
    <mergeCell ref="AN12:AN15"/>
    <mergeCell ref="AC12:AC15"/>
    <mergeCell ref="AD12:AD15"/>
    <mergeCell ref="AE12:AE15"/>
    <mergeCell ref="AF12:AF15"/>
    <mergeCell ref="AG12:AG15"/>
    <mergeCell ref="AH12:AH15"/>
    <mergeCell ref="W12:W15"/>
    <mergeCell ref="X12:X15"/>
    <mergeCell ref="Y12:Y15"/>
    <mergeCell ref="Z12:Z15"/>
    <mergeCell ref="AA12:AA15"/>
    <mergeCell ref="AB12:AB15"/>
    <mergeCell ref="O12:O15"/>
    <mergeCell ref="P12:P15"/>
    <mergeCell ref="Q12:Q15"/>
    <mergeCell ref="R12:R13"/>
    <mergeCell ref="U12:U15"/>
    <mergeCell ref="V12:V15"/>
    <mergeCell ref="I12:I15"/>
    <mergeCell ref="J12:J15"/>
    <mergeCell ref="K12:K15"/>
    <mergeCell ref="L12:L15"/>
    <mergeCell ref="M12:M15"/>
    <mergeCell ref="N12:N15"/>
    <mergeCell ref="B10:C21"/>
    <mergeCell ref="D11:D16"/>
    <mergeCell ref="E11:E16"/>
    <mergeCell ref="F12:F16"/>
    <mergeCell ref="G12:G16"/>
    <mergeCell ref="H12:H15"/>
    <mergeCell ref="AL7:AL8"/>
    <mergeCell ref="AM7:AM8"/>
    <mergeCell ref="AN7:AN8"/>
    <mergeCell ref="AO7:AO8"/>
    <mergeCell ref="S7:S8"/>
    <mergeCell ref="T7:T8"/>
    <mergeCell ref="U7:U8"/>
    <mergeCell ref="V7:V8"/>
    <mergeCell ref="W7:X7"/>
    <mergeCell ref="Y7:AB7"/>
    <mergeCell ref="A1:AN4"/>
    <mergeCell ref="A5:K6"/>
    <mergeCell ref="N5:AO5"/>
    <mergeCell ref="N6:V6"/>
    <mergeCell ref="AM6:AO6"/>
    <mergeCell ref="A7:A8"/>
    <mergeCell ref="B7:C8"/>
    <mergeCell ref="D7:D8"/>
    <mergeCell ref="E7:E8"/>
    <mergeCell ref="F7:F8"/>
    <mergeCell ref="K7:K8"/>
    <mergeCell ref="M7:M8"/>
    <mergeCell ref="N7:N8"/>
    <mergeCell ref="O7:O8"/>
    <mergeCell ref="P7:P8"/>
    <mergeCell ref="Q7:Q8"/>
    <mergeCell ref="R7:R8"/>
    <mergeCell ref="G7:G8"/>
    <mergeCell ref="H7:H8"/>
    <mergeCell ref="I7:I8"/>
    <mergeCell ref="J7:J8"/>
    <mergeCell ref="L7:L8"/>
    <mergeCell ref="AC7:AH7"/>
    <mergeCell ref="AI7:AK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ADMINISTRATIVA</vt:lpstr>
      <vt:lpstr>PLANEACION</vt:lpstr>
      <vt:lpstr>HACIENDA</vt:lpstr>
      <vt:lpstr>AGUAS INFRAESTRUCTURA</vt:lpstr>
      <vt:lpstr>INTERIOR</vt:lpstr>
      <vt:lpstr>CULTURA</vt:lpstr>
      <vt:lpstr>TURISMO</vt:lpstr>
      <vt:lpstr>AGRICULTURA</vt:lpstr>
      <vt:lpstr>PRIVADA</vt:lpstr>
      <vt:lpstr>EDUCACION</vt:lpstr>
      <vt:lpstr>FAMILIA</vt:lpstr>
      <vt:lpstr>REPRES. JUDICIAL</vt:lpstr>
      <vt:lpstr>SALUD</vt:lpstr>
      <vt:lpstr>INDEPORTES</vt:lpstr>
      <vt:lpstr>PROMOTORA</vt:lpstr>
      <vt:lpstr>IDTQ</vt:lpstr>
      <vt:lpstr>PLANEACION!Área_de_impresión</vt:lpstr>
      <vt:lpstr>PLANEACION!Títulos_a_imprimir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2018-07-11T14:36:42Z</dcterms:created>
  <dcterms:modified xsi:type="dcterms:W3CDTF">2018-07-30T15:16:02Z</dcterms:modified>
</cp:coreProperties>
</file>