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PLANEACION03\Desktop\publicar\"/>
    </mc:Choice>
  </mc:AlternateContent>
  <bookViews>
    <workbookView xWindow="0" yWindow="0" windowWidth="14880" windowHeight="8850" firstSheet="4" activeTab="5"/>
  </bookViews>
  <sheets>
    <sheet name="F-PLA 07 SGTO PA ADMINISTRATIVA" sheetId="3" r:id="rId1"/>
    <sheet name="F-PLA-07 SGTO PA PLANEACION" sheetId="1" r:id="rId2"/>
    <sheet name="F-PLA 07 SGTO PA HACIENDA" sheetId="16" r:id="rId3"/>
    <sheet name="F-PLA 07 SGTO PA INFRA" sheetId="13" r:id="rId4"/>
    <sheet name="F-PLA 07 SGTO PA INTERIOR" sheetId="15" r:id="rId5"/>
    <sheet name="F-PLA 07 SGTO PA CULTURA" sheetId="12" r:id="rId6"/>
    <sheet name="F-PLA 07 SGTO PA TURISMO" sheetId="9" r:id="rId7"/>
    <sheet name="F-PLA-07 SGTO PA AGRICULTURA" sheetId="4" r:id="rId8"/>
    <sheet name="F-PLA-07 PA PRIVADA" sheetId="11" r:id="rId9"/>
    <sheet name="P.A F PLA- 07 SGTO PA EDUCACION" sheetId="17" r:id="rId10"/>
    <sheet name="F-PLA-07 SGTO PA FAMILIA" sheetId="7" r:id="rId11"/>
    <sheet name="F-PLA 07 SGTO PA TIC " sheetId="2" r:id="rId12"/>
    <sheet name="F-PLA-07 SGTO PA INDEPORTES" sheetId="10" r:id="rId13"/>
    <sheet name="F-PLA-07 SGTO PA PROMOTORA" sheetId="8" r:id="rId14"/>
    <sheet name="F-PLA 07 SGTO PA IDTQ" sheetId="6" r:id="rId15"/>
  </sheets>
  <externalReferences>
    <externalReference r:id="rId16"/>
    <externalReference r:id="rId17"/>
  </externalReferences>
  <definedNames>
    <definedName name="_1._Apoyo_con_equipos_para_la_seguridad_vial_Licenciamiento_de_software_para_comunicaciones" localSheetId="0">#REF!</definedName>
    <definedName name="_1._Apoyo_con_equipos_para_la_seguridad_vial_Licenciamiento_de_software_para_comunicaciones" localSheetId="5">#REF!</definedName>
    <definedName name="_1._Apoyo_con_equipos_para_la_seguridad_vial_Licenciamiento_de_software_para_comunicaciones" localSheetId="3">#REF!</definedName>
    <definedName name="_1._Apoyo_con_equipos_para_la_seguridad_vial_Licenciamiento_de_software_para_comunicaciones" localSheetId="4">#REF!</definedName>
    <definedName name="_1._Apoyo_con_equipos_para_la_seguridad_vial_Licenciamiento_de_software_para_comunicaciones" localSheetId="11">#REF!</definedName>
    <definedName name="_1._Apoyo_con_equipos_para_la_seguridad_vial_Licenciamiento_de_software_para_comunicaciones" localSheetId="6">#REF!</definedName>
    <definedName name="_1._Apoyo_con_equipos_para_la_seguridad_vial_Licenciamiento_de_software_para_comunicaciones" localSheetId="8">#REF!</definedName>
    <definedName name="_1._Apoyo_con_equipos_para_la_seguridad_vial_Licenciamiento_de_software_para_comunicaciones" localSheetId="10">#REF!</definedName>
    <definedName name="_1._Apoyo_con_equipos_para_la_seguridad_vial_Licenciamiento_de_software_para_comunicaciones" localSheetId="12">#REF!</definedName>
    <definedName name="_1._Apoyo_con_equipos_para_la_seguridad_vial_Licenciamiento_de_software_para_comunicaciones" localSheetId="1">#REF!</definedName>
    <definedName name="_1._Apoyo_con_equipos_para_la_seguridad_vial_Licenciamiento_de_software_para_comunicaciones" localSheetId="13">#REF!</definedName>
    <definedName name="_1._Apoyo_con_equipos_para_la_seguridad_vial_Licenciamiento_de_software_para_comunicaciones" localSheetId="9">#REF!</definedName>
    <definedName name="_1._Apoyo_con_equipos_para_la_seguridad_vial_Licenciamiento_de_software_para_comunicaciones">#REF!</definedName>
    <definedName name="_xlnm._FilterDatabase" localSheetId="5" hidden="1">'F-PLA 07 SGTO PA CULTURA'!$A$1:$BR$44</definedName>
    <definedName name="_xlnm._FilterDatabase" localSheetId="2" hidden="1">'F-PLA 07 SGTO PA HACIENDA'!$X$1:$X$27</definedName>
    <definedName name="_xlnm._FilterDatabase" localSheetId="3" hidden="1">'F-PLA 07 SGTO PA INFRA'!$X$1:$X$118</definedName>
    <definedName name="_xlnm._FilterDatabase" localSheetId="4" hidden="1">'F-PLA 07 SGTO PA INTERIOR'!$J$7:$BP$175</definedName>
    <definedName name="_xlnm._FilterDatabase" localSheetId="1" hidden="1">'F-PLA-07 SGTO PA PLANEACION'!$X$1:$X$115</definedName>
    <definedName name="aa" localSheetId="3">#REF!</definedName>
    <definedName name="aa" localSheetId="4">#REF!</definedName>
    <definedName name="aa" localSheetId="10">#REF!</definedName>
    <definedName name="aa" localSheetId="12">#REF!</definedName>
    <definedName name="aa" localSheetId="9">#REF!</definedName>
    <definedName name="aa">#REF!</definedName>
    <definedName name="_xlnm.Print_Area" localSheetId="1">'F-PLA-07 SGTO PA PLANEACION'!$A$1:$BP$75</definedName>
    <definedName name="CODIGO_DIVIPOLA" localSheetId="0">#REF!</definedName>
    <definedName name="CODIGO_DIVIPOLA" localSheetId="5">#REF!</definedName>
    <definedName name="CODIGO_DIVIPOLA" localSheetId="3">#REF!</definedName>
    <definedName name="CODIGO_DIVIPOLA" localSheetId="4">#REF!</definedName>
    <definedName name="CODIGO_DIVIPOLA" localSheetId="11">#REF!</definedName>
    <definedName name="CODIGO_DIVIPOLA" localSheetId="6">#REF!</definedName>
    <definedName name="CODIGO_DIVIPOLA" localSheetId="8">#REF!</definedName>
    <definedName name="CODIGO_DIVIPOLA" localSheetId="10">#REF!</definedName>
    <definedName name="CODIGO_DIVIPOLA" localSheetId="12">#REF!</definedName>
    <definedName name="CODIGO_DIVIPOLA" localSheetId="13">#REF!</definedName>
    <definedName name="CODIGO_DIVIPOLA" localSheetId="9">#REF!</definedName>
    <definedName name="CODIGO_DIVIPOLA">#REF!</definedName>
    <definedName name="DboREGISTRO_LEY_617" localSheetId="0">#REF!</definedName>
    <definedName name="DboREGISTRO_LEY_617" localSheetId="5">#REF!</definedName>
    <definedName name="DboREGISTRO_LEY_617" localSheetId="3">#REF!</definedName>
    <definedName name="DboREGISTRO_LEY_617" localSheetId="4">#REF!</definedName>
    <definedName name="DboREGISTRO_LEY_617" localSheetId="11">#REF!</definedName>
    <definedName name="DboREGISTRO_LEY_617" localSheetId="6">#REF!</definedName>
    <definedName name="DboREGISTRO_LEY_617" localSheetId="8">#REF!</definedName>
    <definedName name="DboREGISTRO_LEY_617" localSheetId="10">#REF!</definedName>
    <definedName name="DboREGISTRO_LEY_617" localSheetId="12">#REF!</definedName>
    <definedName name="DboREGISTRO_LEY_617" localSheetId="13">#REF!</definedName>
    <definedName name="DboREGISTRO_LEY_617" localSheetId="9">#REF!</definedName>
    <definedName name="DboREGISTRO_LEY_617">#REF!</definedName>
    <definedName name="ññ" localSheetId="0">#REF!</definedName>
    <definedName name="ññ" localSheetId="5">#REF!</definedName>
    <definedName name="ññ" localSheetId="3">#REF!</definedName>
    <definedName name="ññ" localSheetId="4">#REF!</definedName>
    <definedName name="ññ" localSheetId="11">#REF!</definedName>
    <definedName name="ññ" localSheetId="6">#REF!</definedName>
    <definedName name="ññ" localSheetId="8">#REF!</definedName>
    <definedName name="ññ" localSheetId="10">#REF!</definedName>
    <definedName name="ññ" localSheetId="12">#REF!</definedName>
    <definedName name="ññ" localSheetId="13">#REF!</definedName>
    <definedName name="ññ" localSheetId="9">#REF!</definedName>
    <definedName name="ññ">#REF!</definedName>
    <definedName name="_xlnm.Print_Titles" localSheetId="1">'F-PLA-07 SGTO PA PLANEACION'!$1:$8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70" i="17" l="1"/>
  <c r="BE70" i="17"/>
  <c r="V70" i="17"/>
  <c r="BG70" i="17" s="1"/>
  <c r="BI70" i="17" s="1"/>
  <c r="Q70" i="17"/>
  <c r="P70" i="17" s="1"/>
  <c r="BH68" i="17"/>
  <c r="BI68" i="17" s="1"/>
  <c r="BG68" i="17"/>
  <c r="BE68" i="17"/>
  <c r="BD68" i="17"/>
  <c r="Q68" i="17"/>
  <c r="BE66" i="17"/>
  <c r="BD66" i="17"/>
  <c r="Q66" i="17"/>
  <c r="P66" i="17" s="1"/>
  <c r="BE63" i="17"/>
  <c r="BD63" i="17"/>
  <c r="Q63" i="17"/>
  <c r="BI61" i="17"/>
  <c r="BH61" i="17"/>
  <c r="BG61" i="17"/>
  <c r="BE61" i="17"/>
  <c r="BD61" i="17"/>
  <c r="Q61" i="17"/>
  <c r="P61" i="17" s="1"/>
  <c r="BH58" i="17"/>
  <c r="BE58" i="17"/>
  <c r="BD58" i="17"/>
  <c r="V58" i="17"/>
  <c r="BG58" i="17" s="1"/>
  <c r="BI58" i="17" s="1"/>
  <c r="U58" i="17"/>
  <c r="Q58" i="17"/>
  <c r="P58" i="17"/>
  <c r="BH56" i="17"/>
  <c r="BE56" i="17"/>
  <c r="BD56" i="17"/>
  <c r="U56" i="17"/>
  <c r="V56" i="17" s="1"/>
  <c r="BG56" i="17" s="1"/>
  <c r="BI56" i="17" s="1"/>
  <c r="Q56" i="17"/>
  <c r="P68" i="17" s="1"/>
  <c r="BG54" i="17"/>
  <c r="BE54" i="17"/>
  <c r="BD54" i="17"/>
  <c r="V54" i="17"/>
  <c r="W54" i="17" s="1"/>
  <c r="BH54" i="17" s="1"/>
  <c r="BI54" i="17" s="1"/>
  <c r="U54" i="17"/>
  <c r="Q54" i="17" s="1"/>
  <c r="P54" i="17" s="1"/>
  <c r="U51" i="17"/>
  <c r="W49" i="17"/>
  <c r="V49" i="17"/>
  <c r="U49" i="17"/>
  <c r="U44" i="17"/>
  <c r="V44" i="17" s="1"/>
  <c r="W44" i="17" s="1"/>
  <c r="U42" i="17"/>
  <c r="BE39" i="17"/>
  <c r="BD39" i="17"/>
  <c r="U39" i="17"/>
  <c r="V39" i="17" s="1"/>
  <c r="BH34" i="17"/>
  <c r="BI34" i="17" s="1"/>
  <c r="BG34" i="17"/>
  <c r="BE34" i="17"/>
  <c r="BD34" i="17"/>
  <c r="Q34" i="17"/>
  <c r="P34" i="17" s="1"/>
  <c r="W33" i="17"/>
  <c r="V33" i="17"/>
  <c r="U33" i="17"/>
  <c r="U32" i="17"/>
  <c r="W31" i="17"/>
  <c r="V31" i="17"/>
  <c r="U31" i="17"/>
  <c r="BE30" i="17"/>
  <c r="BD30" i="17"/>
  <c r="W30" i="17"/>
  <c r="BH30" i="17" s="1"/>
  <c r="V30" i="17"/>
  <c r="BG30" i="17" s="1"/>
  <c r="U30" i="17"/>
  <c r="Q30" i="17" s="1"/>
  <c r="P30" i="17" s="1"/>
  <c r="BE28" i="17"/>
  <c r="BD28" i="17"/>
  <c r="W28" i="17"/>
  <c r="V28" i="17"/>
  <c r="BG28" i="17" s="1"/>
  <c r="U28" i="17"/>
  <c r="Q28" i="17"/>
  <c r="P29" i="17" s="1"/>
  <c r="W27" i="17"/>
  <c r="V27" i="17"/>
  <c r="V73" i="17" s="1"/>
  <c r="U23" i="17"/>
  <c r="U73" i="17" s="1"/>
  <c r="BH12" i="17"/>
  <c r="BG12" i="17"/>
  <c r="BE12" i="17"/>
  <c r="BD12" i="17"/>
  <c r="W39" i="17" l="1"/>
  <c r="BH39" i="17" s="1"/>
  <c r="BI39" i="17" s="1"/>
  <c r="BG39" i="17"/>
  <c r="BG73" i="17" s="1"/>
  <c r="BI30" i="17"/>
  <c r="W73" i="17"/>
  <c r="P28" i="17"/>
  <c r="BH28" i="17"/>
  <c r="BI28" i="17" s="1"/>
  <c r="Q39" i="17"/>
  <c r="P56" i="17"/>
  <c r="Q12" i="17"/>
  <c r="BI12" i="17"/>
  <c r="W21" i="16"/>
  <c r="U21" i="16"/>
  <c r="BH18" i="16"/>
  <c r="BG18" i="16"/>
  <c r="BE18" i="16"/>
  <c r="BD18" i="16"/>
  <c r="Q18" i="16"/>
  <c r="P18" i="16" s="1"/>
  <c r="V14" i="16"/>
  <c r="V21" i="16" s="1"/>
  <c r="BH12" i="16"/>
  <c r="BE12" i="16"/>
  <c r="BD12" i="16"/>
  <c r="Q12" i="16"/>
  <c r="P12" i="16" s="1"/>
  <c r="P12" i="17" l="1"/>
  <c r="Q73" i="17"/>
  <c r="P16" i="17"/>
  <c r="P39" i="17"/>
  <c r="P44" i="17"/>
  <c r="P49" i="17"/>
  <c r="P41" i="17"/>
  <c r="P43" i="17"/>
  <c r="BH73" i="17"/>
  <c r="P42" i="17"/>
  <c r="Q21" i="16"/>
  <c r="BH21" i="16"/>
  <c r="BI18" i="16"/>
  <c r="BG12" i="16"/>
  <c r="BG21" i="16" l="1"/>
  <c r="BI12" i="16"/>
  <c r="BH169" i="15" l="1"/>
  <c r="BI169" i="15" s="1"/>
  <c r="BG169" i="15"/>
  <c r="BE169" i="15"/>
  <c r="BD169" i="15"/>
  <c r="Q169" i="15"/>
  <c r="P169" i="15" s="1"/>
  <c r="W168" i="15"/>
  <c r="V168" i="15"/>
  <c r="P168" i="15"/>
  <c r="BH162" i="15"/>
  <c r="BI162" i="15" s="1"/>
  <c r="BG162" i="15"/>
  <c r="BE162" i="15"/>
  <c r="BD162" i="15"/>
  <c r="Q162" i="15"/>
  <c r="P162" i="15" s="1"/>
  <c r="W158" i="15"/>
  <c r="V158" i="15"/>
  <c r="U158" i="15"/>
  <c r="W154" i="15"/>
  <c r="V154" i="15"/>
  <c r="U154" i="15"/>
  <c r="BH146" i="15"/>
  <c r="BI146" i="15" s="1"/>
  <c r="BG146" i="15"/>
  <c r="BE146" i="15"/>
  <c r="BD146" i="15"/>
  <c r="Q146" i="15"/>
  <c r="P146" i="15" s="1"/>
  <c r="W143" i="15"/>
  <c r="V143" i="15"/>
  <c r="U143" i="15"/>
  <c r="BE141" i="15"/>
  <c r="BD141" i="15"/>
  <c r="W141" i="15"/>
  <c r="BH141" i="15" s="1"/>
  <c r="V141" i="15"/>
  <c r="BG141" i="15" s="1"/>
  <c r="U141" i="15"/>
  <c r="Q141" i="15" s="1"/>
  <c r="P141" i="15" s="1"/>
  <c r="U140" i="15"/>
  <c r="W139" i="15"/>
  <c r="V139" i="15"/>
  <c r="U139" i="15"/>
  <c r="U138" i="15"/>
  <c r="U137" i="15"/>
  <c r="U136" i="15"/>
  <c r="W132" i="15"/>
  <c r="V132" i="15"/>
  <c r="U132" i="15"/>
  <c r="U130" i="15"/>
  <c r="W128" i="15"/>
  <c r="V128" i="15"/>
  <c r="U128" i="15"/>
  <c r="Q120" i="15" s="1"/>
  <c r="W127" i="15"/>
  <c r="V127" i="15"/>
  <c r="BG125" i="15" s="1"/>
  <c r="U127" i="15"/>
  <c r="W126" i="15"/>
  <c r="V126" i="15"/>
  <c r="U126" i="15"/>
  <c r="BH125" i="15"/>
  <c r="BD125" i="15"/>
  <c r="AI125" i="15"/>
  <c r="AC125" i="15"/>
  <c r="AA125" i="15"/>
  <c r="BE125" i="15" s="1"/>
  <c r="U122" i="15"/>
  <c r="BI120" i="15"/>
  <c r="BH120" i="15"/>
  <c r="BG120" i="15"/>
  <c r="BE120" i="15"/>
  <c r="BD120" i="15"/>
  <c r="U120" i="15"/>
  <c r="P120" i="15" s="1"/>
  <c r="W118" i="15"/>
  <c r="V118" i="15"/>
  <c r="BE117" i="15"/>
  <c r="BD117" i="15"/>
  <c r="W117" i="15"/>
  <c r="BH117" i="15" s="1"/>
  <c r="V117" i="15"/>
  <c r="BG117" i="15" s="1"/>
  <c r="U117" i="15"/>
  <c r="P117" i="15" s="1"/>
  <c r="Q117" i="15"/>
  <c r="BE111" i="15"/>
  <c r="BD111" i="15"/>
  <c r="W111" i="15"/>
  <c r="BH111" i="15" s="1"/>
  <c r="BI111" i="15" s="1"/>
  <c r="V111" i="15"/>
  <c r="BG111" i="15" s="1"/>
  <c r="Q111" i="15"/>
  <c r="P111" i="15"/>
  <c r="BI110" i="15"/>
  <c r="U109" i="15"/>
  <c r="BI108" i="15"/>
  <c r="BI107" i="15"/>
  <c r="BI105" i="15"/>
  <c r="U105" i="15"/>
  <c r="BI104" i="15"/>
  <c r="BI102" i="15"/>
  <c r="U102" i="15"/>
  <c r="BI101" i="15"/>
  <c r="W101" i="15"/>
  <c r="V101" i="15"/>
  <c r="BG99" i="15" s="1"/>
  <c r="BH99" i="15"/>
  <c r="BI99" i="15" s="1"/>
  <c r="BE99" i="15"/>
  <c r="BD99" i="15"/>
  <c r="Q99" i="15"/>
  <c r="BI98" i="15"/>
  <c r="BI96" i="15"/>
  <c r="BI95" i="15"/>
  <c r="BI93" i="15"/>
  <c r="BI92" i="15"/>
  <c r="BI90" i="15"/>
  <c r="BI89" i="15"/>
  <c r="U88" i="15"/>
  <c r="BI87" i="15"/>
  <c r="W87" i="15"/>
  <c r="V87" i="15"/>
  <c r="U87" i="15"/>
  <c r="BI86" i="15"/>
  <c r="BH83" i="15"/>
  <c r="BI83" i="15" s="1"/>
  <c r="BG83" i="15"/>
  <c r="BE83" i="15"/>
  <c r="BD83" i="15"/>
  <c r="Q83" i="15"/>
  <c r="BI81" i="15"/>
  <c r="V81" i="15"/>
  <c r="BH79" i="15"/>
  <c r="BI79" i="15" s="1"/>
  <c r="BG79" i="15"/>
  <c r="BE79" i="15"/>
  <c r="BD79" i="15"/>
  <c r="V79" i="15"/>
  <c r="Q79" i="15"/>
  <c r="P79" i="15" s="1"/>
  <c r="BI77" i="15"/>
  <c r="BI75" i="15"/>
  <c r="BI73" i="15"/>
  <c r="BI71" i="15"/>
  <c r="BI70" i="15"/>
  <c r="BI68" i="15"/>
  <c r="BI67" i="15"/>
  <c r="BI65" i="15"/>
  <c r="W65" i="15"/>
  <c r="V65" i="15"/>
  <c r="BI64" i="15"/>
  <c r="BI62" i="15"/>
  <c r="BI61" i="15"/>
  <c r="BI59" i="15"/>
  <c r="BI58" i="15"/>
  <c r="BI56" i="15"/>
  <c r="BI55" i="15"/>
  <c r="U54" i="15"/>
  <c r="BI53" i="15"/>
  <c r="W53" i="15"/>
  <c r="V53" i="15"/>
  <c r="BI52" i="15"/>
  <c r="BI50" i="15"/>
  <c r="W50" i="15"/>
  <c r="V50" i="15"/>
  <c r="BI49" i="15"/>
  <c r="BI47" i="15"/>
  <c r="BI46" i="15"/>
  <c r="BI44" i="15"/>
  <c r="BI43" i="15"/>
  <c r="BI41" i="15"/>
  <c r="BI40" i="15"/>
  <c r="U39" i="15"/>
  <c r="BI38" i="15"/>
  <c r="BI37" i="15"/>
  <c r="U37" i="15"/>
  <c r="BI35" i="15"/>
  <c r="W35" i="15"/>
  <c r="V35" i="15"/>
  <c r="V175" i="15" s="1"/>
  <c r="U35" i="15"/>
  <c r="U175" i="15" s="1"/>
  <c r="BI34" i="15"/>
  <c r="BE32" i="15"/>
  <c r="BD32" i="15"/>
  <c r="W32" i="15"/>
  <c r="BH32" i="15" s="1"/>
  <c r="BI32" i="15" s="1"/>
  <c r="V32" i="15"/>
  <c r="BG32" i="15" s="1"/>
  <c r="Q32" i="15"/>
  <c r="P66" i="15" s="1"/>
  <c r="BI30" i="15"/>
  <c r="BE28" i="15"/>
  <c r="BD28" i="15"/>
  <c r="W28" i="15"/>
  <c r="BH28" i="15" s="1"/>
  <c r="V28" i="15"/>
  <c r="BG28" i="15" s="1"/>
  <c r="Q28" i="15"/>
  <c r="P28" i="15" s="1"/>
  <c r="BI25" i="15"/>
  <c r="BH23" i="15"/>
  <c r="BI23" i="15" s="1"/>
  <c r="BG23" i="15"/>
  <c r="BE23" i="15"/>
  <c r="BD23" i="15"/>
  <c r="Q23" i="15"/>
  <c r="BH20" i="15"/>
  <c r="BG20" i="15"/>
  <c r="BI20" i="15" s="1"/>
  <c r="BE20" i="15"/>
  <c r="BD20" i="15"/>
  <c r="Q20" i="15"/>
  <c r="P23" i="15" s="1"/>
  <c r="P20" i="15"/>
  <c r="BH12" i="15"/>
  <c r="BG12" i="15"/>
  <c r="BE12" i="15"/>
  <c r="BD12" i="15"/>
  <c r="Q12" i="15"/>
  <c r="Q175" i="15" s="1"/>
  <c r="P12" i="15"/>
  <c r="BG175" i="15" l="1"/>
  <c r="BI28" i="15"/>
  <c r="BI141" i="15"/>
  <c r="BH175" i="15"/>
  <c r="BI117" i="15"/>
  <c r="BI125" i="15"/>
  <c r="P32" i="15"/>
  <c r="P58" i="15"/>
  <c r="P69" i="15"/>
  <c r="P83" i="15"/>
  <c r="P99" i="15"/>
  <c r="P157" i="15"/>
  <c r="W175" i="15"/>
  <c r="P53" i="15"/>
  <c r="BI12" i="15"/>
  <c r="BH110" i="13" l="1"/>
  <c r="BG110" i="13"/>
  <c r="BD110" i="13"/>
  <c r="Q110" i="13"/>
  <c r="BH107" i="13"/>
  <c r="BG107" i="13"/>
  <c r="BD107" i="13"/>
  <c r="Q107" i="13"/>
  <c r="W104" i="13"/>
  <c r="V104" i="13"/>
  <c r="W103" i="13"/>
  <c r="V103" i="13"/>
  <c r="V102" i="13"/>
  <c r="W102" i="13" s="1"/>
  <c r="W99" i="13"/>
  <c r="V99" i="13"/>
  <c r="Q97" i="13"/>
  <c r="P104" i="13" s="1"/>
  <c r="BH92" i="13"/>
  <c r="BG92" i="13"/>
  <c r="BD92" i="13"/>
  <c r="Q92" i="13"/>
  <c r="BH90" i="13"/>
  <c r="BG90" i="13"/>
  <c r="BD90" i="13"/>
  <c r="Q90" i="13"/>
  <c r="BH88" i="13"/>
  <c r="BG88" i="13"/>
  <c r="Q88" i="13"/>
  <c r="U79" i="13"/>
  <c r="Q65" i="13" s="1"/>
  <c r="BH65" i="13"/>
  <c r="BG65" i="13"/>
  <c r="BD65" i="13"/>
  <c r="BH62" i="13"/>
  <c r="BG62" i="13"/>
  <c r="Q62" i="13"/>
  <c r="BH60" i="13"/>
  <c r="BG60" i="13"/>
  <c r="Q60" i="13"/>
  <c r="U57" i="13"/>
  <c r="U56" i="13"/>
  <c r="U54" i="13"/>
  <c r="U53" i="13"/>
  <c r="U52" i="13"/>
  <c r="BH51" i="13"/>
  <c r="BG51" i="13"/>
  <c r="BD51" i="13"/>
  <c r="U51" i="13"/>
  <c r="Q51" i="13"/>
  <c r="U38" i="13"/>
  <c r="BH37" i="13"/>
  <c r="BG37" i="13"/>
  <c r="BD37" i="13"/>
  <c r="Q37" i="13"/>
  <c r="BH33" i="13"/>
  <c r="BG33" i="13"/>
  <c r="BD33" i="13"/>
  <c r="Q33" i="13"/>
  <c r="U26" i="13"/>
  <c r="U113" i="13" s="1"/>
  <c r="BH16" i="13"/>
  <c r="BG16" i="13"/>
  <c r="BD16" i="13"/>
  <c r="Q16" i="13"/>
  <c r="BI14" i="13"/>
  <c r="Q14" i="13"/>
  <c r="P14" i="13" s="1"/>
  <c r="BH12" i="13"/>
  <c r="BG12" i="13"/>
  <c r="Q12" i="13"/>
  <c r="BI16" i="13" l="1"/>
  <c r="P92" i="13"/>
  <c r="W113" i="13"/>
  <c r="P88" i="13"/>
  <c r="BI107" i="13"/>
  <c r="BI12" i="13"/>
  <c r="P51" i="13"/>
  <c r="BI65" i="13"/>
  <c r="BI92" i="13"/>
  <c r="V113" i="13"/>
  <c r="P110" i="13"/>
  <c r="BI33" i="13"/>
  <c r="P60" i="13"/>
  <c r="P62" i="13"/>
  <c r="P97" i="13"/>
  <c r="P100" i="13"/>
  <c r="BH97" i="13"/>
  <c r="BI97" i="13" s="1"/>
  <c r="P65" i="13"/>
  <c r="P90" i="13"/>
  <c r="Q113" i="13"/>
  <c r="P37" i="13"/>
  <c r="BI37" i="13"/>
  <c r="P107" i="13"/>
  <c r="P12" i="13"/>
  <c r="P16" i="13"/>
  <c r="P103" i="13"/>
  <c r="P99" i="13"/>
  <c r="P33" i="13"/>
  <c r="BG97" i="13"/>
  <c r="BG113" i="13" s="1"/>
  <c r="U42" i="12"/>
  <c r="V41" i="12"/>
  <c r="W39" i="12"/>
  <c r="BH38" i="12" s="1"/>
  <c r="V39" i="12"/>
  <c r="U39" i="12"/>
  <c r="W38" i="12"/>
  <c r="W44" i="12" s="1"/>
  <c r="V38" i="12"/>
  <c r="BG38" i="12" s="1"/>
  <c r="BG44" i="12" s="1"/>
  <c r="U38" i="12"/>
  <c r="Q38" i="12" s="1"/>
  <c r="Q34" i="12"/>
  <c r="P34" i="12"/>
  <c r="BD33" i="12"/>
  <c r="Q33" i="12"/>
  <c r="P33" i="12"/>
  <c r="P31" i="12"/>
  <c r="BH28" i="12"/>
  <c r="BI28" i="12" s="1"/>
  <c r="BG28" i="12"/>
  <c r="BD28" i="12"/>
  <c r="U28" i="12"/>
  <c r="Q28" i="12"/>
  <c r="P28" i="12"/>
  <c r="U23" i="12"/>
  <c r="U21" i="12"/>
  <c r="U20" i="12"/>
  <c r="U19" i="12"/>
  <c r="U18" i="12"/>
  <c r="U44" i="12" s="1"/>
  <c r="U15" i="12"/>
  <c r="Q12" i="12" s="1"/>
  <c r="BH12" i="12"/>
  <c r="BH44" i="12" s="1"/>
  <c r="BG12" i="12"/>
  <c r="AO12" i="12"/>
  <c r="AM12" i="12"/>
  <c r="AK12" i="12"/>
  <c r="AI12" i="12"/>
  <c r="AG12" i="12"/>
  <c r="AC12" i="12"/>
  <c r="AA12" i="12"/>
  <c r="W25" i="11"/>
  <c r="V25" i="11"/>
  <c r="BH24" i="11"/>
  <c r="BI24" i="11" s="1"/>
  <c r="BG24" i="11"/>
  <c r="P24" i="11"/>
  <c r="U21" i="11"/>
  <c r="U19" i="11"/>
  <c r="BH18" i="11"/>
  <c r="BG18" i="11"/>
  <c r="BI18" i="11" s="1"/>
  <c r="U18" i="11"/>
  <c r="U25" i="11" s="1"/>
  <c r="BH12" i="11"/>
  <c r="BH25" i="11" s="1"/>
  <c r="BI25" i="11" s="1"/>
  <c r="BG12" i="11"/>
  <c r="BG25" i="11" s="1"/>
  <c r="Q12" i="11"/>
  <c r="P12" i="11"/>
  <c r="BH113" i="13" l="1"/>
  <c r="BI113" i="13" s="1"/>
  <c r="BI38" i="12"/>
  <c r="P17" i="12"/>
  <c r="P12" i="12"/>
  <c r="Q44" i="12"/>
  <c r="P38" i="12"/>
  <c r="P41" i="12"/>
  <c r="BI12" i="12"/>
  <c r="V44" i="12"/>
  <c r="BI12" i="11"/>
  <c r="Q18" i="11"/>
  <c r="P18" i="11" s="1"/>
  <c r="U70" i="10"/>
  <c r="BH69" i="10"/>
  <c r="BG69" i="10"/>
  <c r="BI69" i="10" s="1"/>
  <c r="BD69" i="10"/>
  <c r="P69" i="10"/>
  <c r="BH65" i="10"/>
  <c r="BI65" i="10" s="1"/>
  <c r="BG65" i="10"/>
  <c r="BE65" i="10"/>
  <c r="Q65" i="10"/>
  <c r="P65" i="10"/>
  <c r="BH59" i="10"/>
  <c r="BI59" i="10" s="1"/>
  <c r="BG59" i="10"/>
  <c r="BD59" i="10"/>
  <c r="Q59" i="10"/>
  <c r="P59" i="10"/>
  <c r="P56" i="10"/>
  <c r="P52" i="10"/>
  <c r="P49" i="10"/>
  <c r="BI35" i="10"/>
  <c r="BH35" i="10"/>
  <c r="BG35" i="10"/>
  <c r="BE35" i="10"/>
  <c r="BD35" i="10"/>
  <c r="Q35" i="10"/>
  <c r="P35" i="10"/>
  <c r="W34" i="10"/>
  <c r="BH30" i="10" s="1"/>
  <c r="BI30" i="10" s="1"/>
  <c r="BG30" i="10"/>
  <c r="BE30" i="10"/>
  <c r="BD30" i="10"/>
  <c r="Q30" i="10"/>
  <c r="P30" i="10"/>
  <c r="P29" i="10"/>
  <c r="BI28" i="10"/>
  <c r="BH28" i="10"/>
  <c r="BG28" i="10"/>
  <c r="BE28" i="10"/>
  <c r="BD28" i="10"/>
  <c r="Q28" i="10"/>
  <c r="P28" i="10"/>
  <c r="P25" i="10"/>
  <c r="BI21" i="10"/>
  <c r="BH21" i="10"/>
  <c r="BG21" i="10"/>
  <c r="BE21" i="10"/>
  <c r="Q21" i="10"/>
  <c r="Q70" i="10" s="1"/>
  <c r="P21" i="10"/>
  <c r="BH18" i="10"/>
  <c r="BI18" i="10" s="1"/>
  <c r="BG18" i="10"/>
  <c r="Q18" i="10"/>
  <c r="P18" i="10"/>
  <c r="P15" i="10"/>
  <c r="V13" i="10"/>
  <c r="V70" i="10" s="1"/>
  <c r="BH12" i="10"/>
  <c r="BE12" i="10"/>
  <c r="Q12" i="10"/>
  <c r="P12" i="10"/>
  <c r="W43" i="9"/>
  <c r="V43" i="9"/>
  <c r="U43" i="9"/>
  <c r="Q37" i="9" s="1"/>
  <c r="W40" i="9"/>
  <c r="V40" i="9"/>
  <c r="BI37" i="9"/>
  <c r="BH37" i="9"/>
  <c r="BG37" i="9"/>
  <c r="BE37" i="9"/>
  <c r="BD37" i="9"/>
  <c r="U32" i="9"/>
  <c r="Q28" i="9" s="1"/>
  <c r="BI28" i="9"/>
  <c r="BH28" i="9"/>
  <c r="BG28" i="9"/>
  <c r="BE28" i="9"/>
  <c r="BD28" i="9"/>
  <c r="U26" i="9"/>
  <c r="W24" i="9"/>
  <c r="V24" i="9"/>
  <c r="BG21" i="9" s="1"/>
  <c r="BI21" i="9" s="1"/>
  <c r="U24" i="9"/>
  <c r="Q21" i="9" s="1"/>
  <c r="U23" i="9"/>
  <c r="U22" i="9"/>
  <c r="BH21" i="9"/>
  <c r="BF21" i="9"/>
  <c r="BE21" i="9"/>
  <c r="BD21" i="9"/>
  <c r="U21" i="9"/>
  <c r="W20" i="9"/>
  <c r="V20" i="9"/>
  <c r="W19" i="9"/>
  <c r="V19" i="9"/>
  <c r="U19" i="9"/>
  <c r="U47" i="9" s="1"/>
  <c r="W18" i="9"/>
  <c r="BH17" i="9" s="1"/>
  <c r="V18" i="9"/>
  <c r="V47" i="9" s="1"/>
  <c r="BF17" i="9"/>
  <c r="BE17" i="9"/>
  <c r="BD17" i="9"/>
  <c r="Q17" i="9"/>
  <c r="P20" i="9" s="1"/>
  <c r="P17" i="9"/>
  <c r="BH12" i="9"/>
  <c r="BI12" i="9" s="1"/>
  <c r="BG12" i="9"/>
  <c r="BF12" i="9"/>
  <c r="BE12" i="9"/>
  <c r="BD12" i="9"/>
  <c r="Q12" i="9"/>
  <c r="BF27" i="8"/>
  <c r="W26" i="8"/>
  <c r="BH26" i="8" s="1"/>
  <c r="V26" i="8"/>
  <c r="BG26" i="8" s="1"/>
  <c r="U26" i="8"/>
  <c r="Q26" i="8"/>
  <c r="W23" i="8"/>
  <c r="BH23" i="8" s="1"/>
  <c r="V23" i="8"/>
  <c r="BG23" i="8" s="1"/>
  <c r="U23" i="8"/>
  <c r="BH22" i="8"/>
  <c r="BG22" i="8"/>
  <c r="W22" i="8"/>
  <c r="V22" i="8"/>
  <c r="U22" i="8"/>
  <c r="BG21" i="8"/>
  <c r="W21" i="8"/>
  <c r="BH21" i="8" s="1"/>
  <c r="V21" i="8"/>
  <c r="U21" i="8"/>
  <c r="W20" i="8"/>
  <c r="BH20" i="8" s="1"/>
  <c r="V20" i="8"/>
  <c r="BG20" i="8" s="1"/>
  <c r="U20" i="8"/>
  <c r="W18" i="8"/>
  <c r="BH18" i="8" s="1"/>
  <c r="V18" i="8"/>
  <c r="BG15" i="8" s="1"/>
  <c r="U18" i="8"/>
  <c r="Q18" i="8" s="1"/>
  <c r="W15" i="8"/>
  <c r="BH15" i="8" s="1"/>
  <c r="V15" i="8"/>
  <c r="U15" i="8"/>
  <c r="W14" i="8"/>
  <c r="V14" i="8"/>
  <c r="BG14" i="8" s="1"/>
  <c r="U14" i="8"/>
  <c r="Q14" i="8" s="1"/>
  <c r="BE12" i="8"/>
  <c r="BD12" i="8"/>
  <c r="W12" i="8"/>
  <c r="BH12" i="8" s="1"/>
  <c r="V12" i="8"/>
  <c r="U12" i="8"/>
  <c r="Q12" i="8" s="1"/>
  <c r="U195" i="7"/>
  <c r="Q200" i="7" s="1"/>
  <c r="BH194" i="7"/>
  <c r="BG194" i="7"/>
  <c r="BE194" i="7"/>
  <c r="P194" i="7"/>
  <c r="BH188" i="7"/>
  <c r="BG188" i="7"/>
  <c r="BE188" i="7"/>
  <c r="P188" i="7"/>
  <c r="BH182" i="7"/>
  <c r="BG182" i="7"/>
  <c r="BE182" i="7"/>
  <c r="BH180" i="7"/>
  <c r="BG180" i="7"/>
  <c r="BE180" i="7"/>
  <c r="P180" i="7"/>
  <c r="BH161" i="7"/>
  <c r="BI161" i="7" s="1"/>
  <c r="BG161" i="7"/>
  <c r="BA161" i="7"/>
  <c r="AK161" i="7"/>
  <c r="AI161" i="7"/>
  <c r="AA161" i="7"/>
  <c r="BE161" i="7" s="1"/>
  <c r="W160" i="7"/>
  <c r="V160" i="7"/>
  <c r="W158" i="7"/>
  <c r="V158" i="7"/>
  <c r="V148" i="7"/>
  <c r="W148" i="7" s="1"/>
  <c r="W146" i="7"/>
  <c r="V146" i="7"/>
  <c r="V145" i="7"/>
  <c r="W145" i="7" s="1"/>
  <c r="V143" i="7"/>
  <c r="W143" i="7" s="1"/>
  <c r="V142" i="7"/>
  <c r="W142" i="7" s="1"/>
  <c r="V141" i="7"/>
  <c r="W141" i="7" s="1"/>
  <c r="V140" i="7"/>
  <c r="W140" i="7" s="1"/>
  <c r="BE138" i="7"/>
  <c r="V137" i="7"/>
  <c r="W137" i="7" s="1"/>
  <c r="V135" i="7"/>
  <c r="W135" i="7" s="1"/>
  <c r="V132" i="7"/>
  <c r="W132" i="7" s="1"/>
  <c r="V129" i="7"/>
  <c r="W129" i="7" s="1"/>
  <c r="W128" i="7"/>
  <c r="V128" i="7"/>
  <c r="BG127" i="7" s="1"/>
  <c r="BE127" i="7"/>
  <c r="V119" i="7"/>
  <c r="W119" i="7" s="1"/>
  <c r="BH118" i="7" s="1"/>
  <c r="BE118" i="7"/>
  <c r="BH116" i="7"/>
  <c r="BI116" i="7" s="1"/>
  <c r="BE116" i="7"/>
  <c r="W116" i="7"/>
  <c r="V116" i="7"/>
  <c r="BG116" i="7" s="1"/>
  <c r="BH108" i="7"/>
  <c r="BI108" i="7" s="1"/>
  <c r="BG108" i="7"/>
  <c r="BE108" i="7"/>
  <c r="BH102" i="7"/>
  <c r="BI102" i="7" s="1"/>
  <c r="BG102" i="7"/>
  <c r="BE102" i="7"/>
  <c r="BH97" i="7"/>
  <c r="BI97" i="7" s="1"/>
  <c r="BG97" i="7"/>
  <c r="BE97" i="7"/>
  <c r="BH94" i="7"/>
  <c r="BG94" i="7"/>
  <c r="BE94" i="7"/>
  <c r="P94" i="7"/>
  <c r="BH92" i="7"/>
  <c r="BI92" i="7" s="1"/>
  <c r="BG92" i="7"/>
  <c r="BE92" i="7"/>
  <c r="P92" i="7"/>
  <c r="W89" i="7"/>
  <c r="BH88" i="7"/>
  <c r="BI88" i="7" s="1"/>
  <c r="BG88" i="7"/>
  <c r="BE88" i="7"/>
  <c r="BH87" i="7"/>
  <c r="BI87" i="7" s="1"/>
  <c r="BG87" i="7"/>
  <c r="BE87" i="7"/>
  <c r="BI82" i="7"/>
  <c r="BH82" i="7"/>
  <c r="BG82" i="7"/>
  <c r="BE82" i="7"/>
  <c r="BI76" i="7"/>
  <c r="BH76" i="7"/>
  <c r="BG76" i="7"/>
  <c r="BE76" i="7"/>
  <c r="P76" i="7"/>
  <c r="BH73" i="7"/>
  <c r="BI73" i="7" s="1"/>
  <c r="BG73" i="7"/>
  <c r="BE73" i="7"/>
  <c r="P73" i="7"/>
  <c r="BH62" i="7"/>
  <c r="BG62" i="7"/>
  <c r="BI62" i="7" s="1"/>
  <c r="W49" i="7"/>
  <c r="BH48" i="7" s="1"/>
  <c r="BI48" i="7" s="1"/>
  <c r="V49" i="7"/>
  <c r="V195" i="7" s="1"/>
  <c r="BG48" i="7"/>
  <c r="BE48" i="7"/>
  <c r="W41" i="7"/>
  <c r="BG39" i="7"/>
  <c r="BE39" i="7"/>
  <c r="BH29" i="7"/>
  <c r="BI29" i="7" s="1"/>
  <c r="BG29" i="7"/>
  <c r="BE29" i="7"/>
  <c r="BH22" i="7"/>
  <c r="BI22" i="7" s="1"/>
  <c r="BG22" i="7"/>
  <c r="BE22" i="7"/>
  <c r="Q22" i="7"/>
  <c r="P87" i="7" s="1"/>
  <c r="P22" i="7"/>
  <c r="BH12" i="7"/>
  <c r="BI12" i="7" s="1"/>
  <c r="BG12" i="7"/>
  <c r="BE12" i="7"/>
  <c r="Q12" i="7"/>
  <c r="Q195" i="7" s="1"/>
  <c r="W27" i="8" l="1"/>
  <c r="BI22" i="8"/>
  <c r="Q20" i="8"/>
  <c r="Q27" i="8" s="1"/>
  <c r="BI21" i="8"/>
  <c r="BI23" i="8"/>
  <c r="V27" i="8"/>
  <c r="Q25" i="11"/>
  <c r="BI12" i="10"/>
  <c r="W70" i="10"/>
  <c r="BG12" i="10"/>
  <c r="BG70" i="10" s="1"/>
  <c r="BH70" i="10"/>
  <c r="BI70" i="10" s="1"/>
  <c r="W6" i="10"/>
  <c r="P40" i="9"/>
  <c r="P37" i="9"/>
  <c r="P45" i="9"/>
  <c r="P27" i="9"/>
  <c r="P21" i="9"/>
  <c r="Q47" i="9"/>
  <c r="P25" i="9"/>
  <c r="P12" i="9"/>
  <c r="P14" i="9"/>
  <c r="P42" i="9"/>
  <c r="W47" i="9"/>
  <c r="V49" i="9" s="1"/>
  <c r="BG17" i="9"/>
  <c r="BI17" i="9" s="1"/>
  <c r="P28" i="9"/>
  <c r="BH47" i="9"/>
  <c r="BH27" i="8"/>
  <c r="BI26" i="8"/>
  <c r="BI15" i="8"/>
  <c r="BI20" i="8"/>
  <c r="BG12" i="8"/>
  <c r="BG27" i="8" s="1"/>
  <c r="BH14" i="8"/>
  <c r="BI14" i="8" s="1"/>
  <c r="U27" i="8"/>
  <c r="BG18" i="8"/>
  <c r="BI18" i="8" s="1"/>
  <c r="W195" i="7"/>
  <c r="BI118" i="7"/>
  <c r="BH127" i="7"/>
  <c r="BI127" i="7" s="1"/>
  <c r="BH138" i="7"/>
  <c r="BH39" i="7"/>
  <c r="BI39" i="7" s="1"/>
  <c r="P62" i="7"/>
  <c r="BG118" i="7"/>
  <c r="BG138" i="7"/>
  <c r="BG195" i="7" s="1"/>
  <c r="BH195" i="7"/>
  <c r="U15" i="6"/>
  <c r="V15" i="6" s="1"/>
  <c r="O15" i="6"/>
  <c r="U14" i="6"/>
  <c r="V14" i="6" s="1"/>
  <c r="O14" i="6"/>
  <c r="U13" i="6"/>
  <c r="O13" i="6"/>
  <c r="BD12" i="6"/>
  <c r="BB12" i="6"/>
  <c r="AZ12" i="6"/>
  <c r="AX12" i="6"/>
  <c r="AP12" i="6"/>
  <c r="AN12" i="6"/>
  <c r="AL12" i="6"/>
  <c r="AJ12" i="6"/>
  <c r="AH12" i="6"/>
  <c r="AF12" i="6"/>
  <c r="AD12" i="6"/>
  <c r="AB12" i="6"/>
  <c r="Z12" i="6"/>
  <c r="U12" i="6"/>
  <c r="V12" i="6" s="1"/>
  <c r="O12" i="6"/>
  <c r="U16" i="6" l="1"/>
  <c r="BF12" i="6" s="1"/>
  <c r="BF16" i="6" s="1"/>
  <c r="BG47" i="9"/>
  <c r="BI27" i="8"/>
  <c r="BI12" i="8"/>
  <c r="BI138" i="7"/>
  <c r="V13" i="6"/>
  <c r="V16" i="6" s="1"/>
  <c r="BG12" i="6" s="1"/>
  <c r="BG16" i="6" l="1"/>
  <c r="BH16" i="6" s="1"/>
  <c r="BH12" i="6"/>
  <c r="W90" i="4"/>
  <c r="V90" i="4"/>
  <c r="U90" i="4"/>
  <c r="Q90" i="4"/>
  <c r="BH89" i="4"/>
  <c r="BG89" i="4"/>
  <c r="P89" i="4"/>
  <c r="BH85" i="4"/>
  <c r="BI85" i="4" s="1"/>
  <c r="BG85" i="4"/>
  <c r="P85" i="4"/>
  <c r="BH82" i="4"/>
  <c r="BI82" i="4" s="1"/>
  <c r="BG82" i="4"/>
  <c r="P82" i="4"/>
  <c r="BH78" i="4"/>
  <c r="BI78" i="4" s="1"/>
  <c r="BG78" i="4"/>
  <c r="P78" i="4"/>
  <c r="BH76" i="4"/>
  <c r="BI76" i="4" s="1"/>
  <c r="BG76" i="4"/>
  <c r="P76" i="4"/>
  <c r="P71" i="4"/>
  <c r="BI69" i="4"/>
  <c r="BH69" i="4"/>
  <c r="BG69" i="4"/>
  <c r="P69" i="4"/>
  <c r="BI63" i="4"/>
  <c r="BH63" i="4"/>
  <c r="BG63" i="4"/>
  <c r="P63" i="4"/>
  <c r="BH60" i="4"/>
  <c r="BG60" i="4"/>
  <c r="P60" i="4"/>
  <c r="P57" i="4"/>
  <c r="BI54" i="4"/>
  <c r="BH54" i="4"/>
  <c r="BG54" i="4"/>
  <c r="P54" i="4"/>
  <c r="P51" i="4"/>
  <c r="BH50" i="4"/>
  <c r="BG50" i="4"/>
  <c r="P50" i="4"/>
  <c r="P48" i="4"/>
  <c r="BH47" i="4"/>
  <c r="BG47" i="4"/>
  <c r="P47" i="4"/>
  <c r="BI43" i="4"/>
  <c r="BH43" i="4"/>
  <c r="BG43" i="4"/>
  <c r="P43" i="4"/>
  <c r="BI39" i="4"/>
  <c r="BH39" i="4"/>
  <c r="BG39" i="4"/>
  <c r="P39" i="4"/>
  <c r="P37" i="4"/>
  <c r="BH36" i="4"/>
  <c r="BG36" i="4"/>
  <c r="P36" i="4"/>
  <c r="BH34" i="4"/>
  <c r="BG34" i="4"/>
  <c r="P34" i="4"/>
  <c r="BH31" i="4"/>
  <c r="BI31" i="4" s="1"/>
  <c r="BG31" i="4"/>
  <c r="P31" i="4"/>
  <c r="P30" i="4"/>
  <c r="P29" i="4"/>
  <c r="BH28" i="4"/>
  <c r="BG28" i="4"/>
  <c r="P28" i="4"/>
  <c r="P27" i="4"/>
  <c r="BH26" i="4"/>
  <c r="BI26" i="4" s="1"/>
  <c r="BG26" i="4"/>
  <c r="P26" i="4"/>
  <c r="P23" i="4"/>
  <c r="BH20" i="4"/>
  <c r="BI20" i="4" s="1"/>
  <c r="BG20" i="4"/>
  <c r="P20" i="4"/>
  <c r="BH15" i="4"/>
  <c r="BI15" i="4" s="1"/>
  <c r="BG15" i="4"/>
  <c r="BH12" i="4"/>
  <c r="BH90" i="4" s="1"/>
  <c r="BG12" i="4"/>
  <c r="BG90" i="4" s="1"/>
  <c r="BI12" i="4" l="1"/>
  <c r="U20" i="3"/>
  <c r="BH19" i="3"/>
  <c r="BI19" i="3" s="1"/>
  <c r="BG19" i="3"/>
  <c r="Q19" i="3"/>
  <c r="P19" i="3" s="1"/>
  <c r="W17" i="3"/>
  <c r="V17" i="3"/>
  <c r="W16" i="3"/>
  <c r="V16" i="3"/>
  <c r="BH15" i="3"/>
  <c r="BI15" i="3" s="1"/>
  <c r="BD15" i="3"/>
  <c r="W15" i="3"/>
  <c r="V15" i="3"/>
  <c r="BG15" i="3" s="1"/>
  <c r="Q15" i="3"/>
  <c r="P15" i="3" s="1"/>
  <c r="W14" i="3"/>
  <c r="V14" i="3"/>
  <c r="W13" i="3"/>
  <c r="V13" i="3"/>
  <c r="BE12" i="3"/>
  <c r="BD12" i="3"/>
  <c r="W12" i="3"/>
  <c r="W20" i="3" s="1"/>
  <c r="V12" i="3"/>
  <c r="BG12" i="3" s="1"/>
  <c r="BG20" i="3" s="1"/>
  <c r="Q12" i="3"/>
  <c r="Q20" i="3" s="1"/>
  <c r="P12" i="3"/>
  <c r="BH12" i="3" l="1"/>
  <c r="V20" i="3"/>
  <c r="U32" i="2"/>
  <c r="V31" i="2"/>
  <c r="W31" i="2" s="1"/>
  <c r="P31" i="2"/>
  <c r="V30" i="2"/>
  <c r="W30" i="2" s="1"/>
  <c r="BH28" i="2" s="1"/>
  <c r="BF28" i="2"/>
  <c r="BE28" i="2"/>
  <c r="BD28" i="2"/>
  <c r="Q28" i="2"/>
  <c r="P28" i="2"/>
  <c r="BH25" i="2"/>
  <c r="BG25" i="2"/>
  <c r="BD25" i="2"/>
  <c r="Q25" i="2"/>
  <c r="P25" i="2"/>
  <c r="BG23" i="2"/>
  <c r="BE23" i="2"/>
  <c r="BD23" i="2"/>
  <c r="W23" i="2"/>
  <c r="BH23" i="2" s="1"/>
  <c r="BI23" i="2" s="1"/>
  <c r="Q23" i="2"/>
  <c r="P23" i="2"/>
  <c r="BG20" i="2"/>
  <c r="BE20" i="2"/>
  <c r="BD20" i="2"/>
  <c r="W20" i="2"/>
  <c r="BH20" i="2" s="1"/>
  <c r="BI20" i="2" s="1"/>
  <c r="Q20" i="2"/>
  <c r="P20" i="2"/>
  <c r="W18" i="2"/>
  <c r="V18" i="2"/>
  <c r="U18" i="2"/>
  <c r="W17" i="2"/>
  <c r="V17" i="2"/>
  <c r="U16" i="2"/>
  <c r="V15" i="2"/>
  <c r="W15" i="2" s="1"/>
  <c r="U15" i="2"/>
  <c r="V14" i="2"/>
  <c r="V32" i="2" s="1"/>
  <c r="W13" i="2"/>
  <c r="V13" i="2"/>
  <c r="BJ12" i="2"/>
  <c r="BF12" i="2"/>
  <c r="BE12" i="2"/>
  <c r="BD12" i="2"/>
  <c r="V12" i="2"/>
  <c r="BG12" i="2" s="1"/>
  <c r="U12" i="2"/>
  <c r="P12" i="2" s="1"/>
  <c r="Q12" i="2"/>
  <c r="Q32" i="2" s="1"/>
  <c r="BH20" i="3" l="1"/>
  <c r="BI12" i="3"/>
  <c r="W14" i="2"/>
  <c r="P18" i="2"/>
  <c r="W12" i="2"/>
  <c r="BG28" i="2"/>
  <c r="BI28" i="2" s="1"/>
  <c r="W106" i="1"/>
  <c r="W104" i="1"/>
  <c r="W103" i="1"/>
  <c r="W102" i="1"/>
  <c r="W101" i="1"/>
  <c r="W100" i="1"/>
  <c r="W99" i="1"/>
  <c r="W88" i="1"/>
  <c r="W87" i="1"/>
  <c r="W86" i="1"/>
  <c r="W85" i="1"/>
  <c r="BG80" i="1"/>
  <c r="BE80" i="1"/>
  <c r="BC80" i="1"/>
  <c r="BA80" i="1"/>
  <c r="AY80" i="1"/>
  <c r="AW80" i="1"/>
  <c r="AU80" i="1"/>
  <c r="AS80" i="1"/>
  <c r="AQ80" i="1"/>
  <c r="AO80" i="1"/>
  <c r="AM80" i="1"/>
  <c r="AK80" i="1"/>
  <c r="AI80" i="1"/>
  <c r="AG80" i="1"/>
  <c r="AE80" i="1"/>
  <c r="AC80" i="1"/>
  <c r="AA80" i="1"/>
  <c r="W80" i="1"/>
  <c r="Q80" i="1"/>
  <c r="P80" i="1" s="1"/>
  <c r="W79" i="1"/>
  <c r="W78" i="1"/>
  <c r="W77" i="1"/>
  <c r="W75" i="1"/>
  <c r="W74" i="1"/>
  <c r="BG71" i="1"/>
  <c r="BE71" i="1"/>
  <c r="BC71" i="1"/>
  <c r="BA71" i="1"/>
  <c r="AY71" i="1"/>
  <c r="AW71" i="1"/>
  <c r="AU71" i="1"/>
  <c r="AS71" i="1"/>
  <c r="AQ71" i="1"/>
  <c r="AO71" i="1"/>
  <c r="AM71" i="1"/>
  <c r="AK71" i="1"/>
  <c r="AI71" i="1"/>
  <c r="AG71" i="1"/>
  <c r="AE71" i="1"/>
  <c r="AC71" i="1"/>
  <c r="AA71" i="1"/>
  <c r="W71" i="1"/>
  <c r="Q71" i="1"/>
  <c r="P78" i="1" s="1"/>
  <c r="U70" i="1"/>
  <c r="W66" i="1"/>
  <c r="W65" i="1"/>
  <c r="W63" i="1"/>
  <c r="U63" i="1"/>
  <c r="Q53" i="1" s="1"/>
  <c r="P53" i="1" s="1"/>
  <c r="W61" i="1"/>
  <c r="W59" i="1"/>
  <c r="U59" i="1"/>
  <c r="W57" i="1"/>
  <c r="W55" i="1"/>
  <c r="U55" i="1"/>
  <c r="U108" i="1" s="1"/>
  <c r="BG53" i="1"/>
  <c r="BE53" i="1"/>
  <c r="BC53" i="1"/>
  <c r="BA53" i="1"/>
  <c r="AY53" i="1"/>
  <c r="AW53" i="1"/>
  <c r="AU53" i="1"/>
  <c r="AS53" i="1"/>
  <c r="AQ53" i="1"/>
  <c r="AO53" i="1"/>
  <c r="AM53" i="1"/>
  <c r="AK53" i="1"/>
  <c r="AI53" i="1"/>
  <c r="AG53" i="1"/>
  <c r="AE53" i="1"/>
  <c r="AC53" i="1"/>
  <c r="AA53" i="1"/>
  <c r="W53" i="1"/>
  <c r="W48" i="1"/>
  <c r="BH45" i="1" s="1"/>
  <c r="V48" i="1"/>
  <c r="BG45" i="1"/>
  <c r="BE45" i="1"/>
  <c r="BC45" i="1"/>
  <c r="BA45" i="1"/>
  <c r="AY45" i="1"/>
  <c r="AW45" i="1"/>
  <c r="AU45" i="1"/>
  <c r="AS45" i="1"/>
  <c r="AQ45" i="1"/>
  <c r="AO45" i="1"/>
  <c r="AM45" i="1"/>
  <c r="AK45" i="1"/>
  <c r="AI45" i="1"/>
  <c r="AG45" i="1"/>
  <c r="AE45" i="1"/>
  <c r="AC45" i="1"/>
  <c r="AA45" i="1"/>
  <c r="Q45" i="1"/>
  <c r="P45" i="1" s="1"/>
  <c r="W43" i="1"/>
  <c r="W42" i="1"/>
  <c r="W38" i="1"/>
  <c r="BG37" i="1"/>
  <c r="V37" i="1"/>
  <c r="W37" i="1" s="1"/>
  <c r="Q37" i="1"/>
  <c r="P37" i="1" s="1"/>
  <c r="V36" i="1"/>
  <c r="BG25" i="1" s="1"/>
  <c r="BO25" i="1"/>
  <c r="BH25" i="1"/>
  <c r="Q25" i="1"/>
  <c r="P25" i="1" s="1"/>
  <c r="W23" i="1"/>
  <c r="W22" i="1"/>
  <c r="W20" i="1"/>
  <c r="BO12" i="1"/>
  <c r="BG12" i="1"/>
  <c r="BE12" i="1"/>
  <c r="BC12" i="1"/>
  <c r="BA12" i="1"/>
  <c r="AY12" i="1"/>
  <c r="AW12" i="1"/>
  <c r="AU12" i="1"/>
  <c r="AS12" i="1"/>
  <c r="AQ12" i="1"/>
  <c r="AO12" i="1"/>
  <c r="AM12" i="1"/>
  <c r="AK12" i="1"/>
  <c r="AI12" i="1"/>
  <c r="AG12" i="1"/>
  <c r="AE12" i="1"/>
  <c r="AC12" i="1"/>
  <c r="AA12" i="1"/>
  <c r="Q12" i="1"/>
  <c r="P12" i="1" s="1"/>
  <c r="BH53" i="1" l="1"/>
  <c r="BI53" i="1" s="1"/>
  <c r="V108" i="1"/>
  <c r="BH71" i="1"/>
  <c r="BI71" i="1" s="1"/>
  <c r="P76" i="1"/>
  <c r="P79" i="1"/>
  <c r="BI25" i="1"/>
  <c r="BI45" i="1"/>
  <c r="BH37" i="1"/>
  <c r="BI37" i="1" s="1"/>
  <c r="BH80" i="1"/>
  <c r="BI80" i="1" s="1"/>
  <c r="BG108" i="1"/>
  <c r="BH12" i="1"/>
  <c r="BI12" i="1" s="1"/>
  <c r="P74" i="1"/>
  <c r="BH12" i="2"/>
  <c r="W32" i="2"/>
  <c r="BG32" i="2"/>
  <c r="W108" i="1"/>
  <c r="P71" i="1"/>
  <c r="P75" i="1"/>
  <c r="Q108" i="1"/>
  <c r="BH108" i="1" l="1"/>
  <c r="BI108" i="1" s="1"/>
  <c r="BH32" i="2"/>
  <c r="BI12" i="2"/>
</calcChain>
</file>

<file path=xl/comments1.xml><?xml version="1.0" encoding="utf-8"?>
<comments xmlns="http://schemas.openxmlformats.org/spreadsheetml/2006/main">
  <authors>
    <author>WIN 7</author>
    <author>Usuario</author>
  </authors>
  <commentList>
    <comment ref="V48" authorId="0" shapeId="0">
      <text>
        <r>
          <rPr>
            <b/>
            <sz val="9"/>
            <color indexed="81"/>
            <rFont val="Tahoma"/>
            <family val="2"/>
          </rPr>
          <t>WIN 7:</t>
        </r>
        <r>
          <rPr>
            <sz val="9"/>
            <color indexed="81"/>
            <rFont val="Tahoma"/>
            <family val="2"/>
          </rPr>
          <t xml:space="preserve">
DOTACION HEVS</t>
        </r>
      </text>
    </comment>
    <comment ref="W48" authorId="0" shapeId="0">
      <text>
        <r>
          <rPr>
            <b/>
            <sz val="9"/>
            <color indexed="81"/>
            <rFont val="Tahoma"/>
            <family val="2"/>
          </rPr>
          <t>WIN 7:</t>
        </r>
        <r>
          <rPr>
            <sz val="9"/>
            <color indexed="81"/>
            <rFont val="Tahoma"/>
            <family val="2"/>
          </rPr>
          <t xml:space="preserve">
DOTACION HEVS</t>
        </r>
      </text>
    </comment>
    <comment ref="V53" authorId="0" shapeId="0">
      <text>
        <r>
          <rPr>
            <b/>
            <sz val="9"/>
            <color indexed="81"/>
            <rFont val="Tahoma"/>
            <family val="2"/>
          </rPr>
          <t>WIN 7:</t>
        </r>
        <r>
          <rPr>
            <sz val="9"/>
            <color indexed="81"/>
            <rFont val="Tahoma"/>
            <family val="2"/>
          </rPr>
          <t xml:space="preserve">
DOTACION  ESCUELAS</t>
        </r>
      </text>
    </comment>
    <comment ref="W53" authorId="0" shapeId="0">
      <text>
        <r>
          <rPr>
            <b/>
            <sz val="9"/>
            <color indexed="81"/>
            <rFont val="Tahoma"/>
            <family val="2"/>
          </rPr>
          <t>WIN 7:</t>
        </r>
        <r>
          <rPr>
            <sz val="9"/>
            <color indexed="81"/>
            <rFont val="Tahoma"/>
            <family val="2"/>
          </rPr>
          <t xml:space="preserve">
DOTACION  ESCUELAS</t>
        </r>
      </text>
    </comment>
    <comment ref="V68" authorId="1" shapeId="0">
      <text>
        <r>
          <rPr>
            <b/>
            <sz val="9"/>
            <color indexed="81"/>
            <rFont val="Tahoma"/>
            <family val="2"/>
          </rPr>
          <t>Usuario:</t>
        </r>
        <r>
          <rPr>
            <sz val="9"/>
            <color indexed="81"/>
            <rFont val="Tahoma"/>
            <family val="2"/>
          </rPr>
          <t xml:space="preserve">
deportista apoyado falta pago del mes de noviembre y diciembre</t>
        </r>
      </text>
    </comment>
  </commentList>
</comments>
</file>

<file path=xl/sharedStrings.xml><?xml version="1.0" encoding="utf-8"?>
<sst xmlns="http://schemas.openxmlformats.org/spreadsheetml/2006/main" count="4863" uniqueCount="1997">
  <si>
    <t>SEGUIMIENTO PLAN DE ACCIÓN 
SECRETARÍA DE PLANEACIÓN
DICIEMBRE 31 DE 2020</t>
  </si>
  <si>
    <t xml:space="preserve">CODIGO:  </t>
  </si>
  <si>
    <t>F-PLA-07</t>
  </si>
  <si>
    <t xml:space="preserve">VERSIÓN: </t>
  </si>
  <si>
    <t>O6</t>
  </si>
  <si>
    <t xml:space="preserve">FECHA: </t>
  </si>
  <si>
    <t>Nov. 22 de 2017</t>
  </si>
  <si>
    <t>PÁGINA:</t>
  </si>
  <si>
    <t xml:space="preserve"> 1 de 1</t>
  </si>
  <si>
    <t>PLAN DE DESARROLLO DEPARTAMENTAL:  "TÚ Y YO SOMOS QUINDÍO"</t>
  </si>
  <si>
    <t xml:space="preserve">PROYECTO </t>
  </si>
  <si>
    <t>POBLACIÓN</t>
  </si>
  <si>
    <t>CODIGO</t>
  </si>
  <si>
    <t xml:space="preserve">ESTRATEGIA </t>
  </si>
  <si>
    <t xml:space="preserve">PROGRAMA </t>
  </si>
  <si>
    <t xml:space="preserve">META DE PRODUCTO PLAN DE DESARROLLO </t>
  </si>
  <si>
    <t xml:space="preserve">INDICADOR </t>
  </si>
  <si>
    <t>META FISICA PROGRAMADA</t>
  </si>
  <si>
    <t>IMPUTACION PRESUPUESTAL</t>
  </si>
  <si>
    <t xml:space="preserve">No </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</si>
  <si>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</si>
  <si>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</si>
  <si>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</si>
  <si>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</si>
  <si>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</si>
  <si>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</si>
  <si>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</si>
  <si>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</si>
  <si>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</si>
  <si>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</si>
  <si>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</si>
  <si>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CONTRATOS</t>
  </si>
  <si>
    <t xml:space="preserve">FECHA DE INICIO </t>
  </si>
  <si>
    <t xml:space="preserve">FECHA DE TERMINACIÓN </t>
  </si>
  <si>
    <t xml:space="preserve">RESPONSABLE </t>
  </si>
  <si>
    <t>CODIFICACIÓN INTERNA DE LA META</t>
  </si>
  <si>
    <t>COMPROMISOS</t>
  </si>
  <si>
    <t>OBLIGACIONES</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</si>
  <si>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</si>
  <si>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</si>
  <si>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</si>
  <si>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</si>
  <si>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</si>
  <si>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</si>
  <si>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</si>
  <si>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</si>
  <si>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</si>
  <si>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</si>
  <si>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</si>
  <si>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</si>
  <si>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</si>
  <si>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</si>
  <si>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</si>
  <si>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No. DE 
CONTRATOS </t>
  </si>
  <si>
    <t>VALOR COMPROMISOS</t>
  </si>
  <si>
    <t>VALOR DE LAS OBLIGACIONES</t>
  </si>
  <si>
    <t>% DE EJECUCION</t>
  </si>
  <si>
    <t>FUENTE DE LOS RECURSOS</t>
  </si>
  <si>
    <t>SUPERVISOR RESPONSABLE</t>
  </si>
  <si>
    <t>P</t>
  </si>
  <si>
    <t>E</t>
  </si>
  <si>
    <t xml:space="preserve">P </t>
  </si>
  <si>
    <t xml:space="preserve">LIDERAZGO, GOBERNABILIDAD Y TRANSPARENCIA.   </t>
  </si>
  <si>
    <t>Participación ciudadana y política y respeto por los derechos humanos y diversidad de creencias. "Quindío integrado y participativo"</t>
  </si>
  <si>
    <t>DNP</t>
  </si>
  <si>
    <t>42.2</t>
  </si>
  <si>
    <t>Fortalecimiento técnico y logístico del  Consejo Territorial de Planeación Departamental, como representantes de la sociedad civil en la planeación  del desarrollo integral  de la entidad territorial</t>
  </si>
  <si>
    <t xml:space="preserve">Consejo Territorial de Planeación Departamental fortalecido.   </t>
  </si>
  <si>
    <t xml:space="preserve">0305 - 5 - 1 4 16 42 7 - 88
0305 - 5 - 3 1 5 27 85 16 7 - 20
</t>
  </si>
  <si>
    <t>201663000-0007</t>
  </si>
  <si>
    <t>Asistencia al Consejo Territorial de Planeación del Departamento del Quindío.</t>
  </si>
  <si>
    <t xml:space="preserve">Fortalecer competencias de planificación del consejo territorial del Departamento del Quindío,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2020.   </t>
  </si>
  <si>
    <t xml:space="preserve">Apoyar la participación de los integrantes del consejo territorial a congresos y eventos nacionales regionales y departamentales, en el Departamento del Quindío, durante la vigencia 2020
Utilizar diversos medios e instrumentos para la difusión del accionar del consejo territorial a través de estrategias de comunicación e imagen institucional y adquisición de equipos digitales y de cómputo en el Departamento del Quindío, durante la vigencia 2020.
Aumentar los  espacios para capacitación orientados en planificación del territorio Quindiano a través de diplomado o Escuela de liderazgo en ordenamiento territorial en el Departamento del Quindío, durante la vigencia 2020.   </t>
  </si>
  <si>
    <t xml:space="preserve">1.1  Talleres Participativos Sectoriales 
1.2  Sesiones de Recolección de Información con la Sociedad Civil
1.3  Cartografía Social Departamental
1.4  Emisión de documentos de trabajo  
1.5  Empleo de medios de comunicación social: radio, prensa, televisivos.
1.6  Intercambios RAP Eje Cafetero    
</t>
  </si>
  <si>
    <t>Superávit recurso ordinario</t>
  </si>
  <si>
    <t>Recurso Ordinario (20)
Superavit Recurso Ordinario (88)</t>
  </si>
  <si>
    <t>Juan Manuel Lozano Castro
Jefe Oficina Desarrollo Territorial</t>
  </si>
  <si>
    <t>Secretaría de Planeación</t>
  </si>
  <si>
    <t>2.1 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</si>
  <si>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t xml:space="preserve">2.2. XIV Encuentro CTP, traslados de ida y vuelta desde su lugar de origen Plaza de Bolívar del Municipio de Armenia hasta el Municipio de "Montenegro”, en los días que sean acordados por el contratante, a realizarse durante el mes de septiembre o octubre - Suministro de alimentación en el municipio sede, Desayuno, Almuerzo y Cena, durante los días del encuentro - Servicio de alojamiento acomodación en habitaciones dobles en los días que sean acordados por el contratante. Mes de septiembre u octubre para 25 personas. </t>
  </si>
  <si>
    <t>2.4. Asistencia de los consejeros a foros regionales de participación ciudadana y estratégicos, convocatorias de la RAP Eje Cafetero, del Sistema Departamental y Regional de Planeación, igualmente participar en las convocatorias a las reuniones de la Comisión Técnica del Sistema Regional y Nacional de Planeación, incluye:  Traslados aéreos, terrestres e internos, alojamiento y alimentación.</t>
  </si>
  <si>
    <t>2.1 Adquisiciòn de Equipo de computo e inmuebles: Tablets</t>
  </si>
  <si>
    <t xml:space="preserve">2.2  Scaner, Camara fotografia, Grabadora, Microfonos Inalambricos. </t>
  </si>
  <si>
    <t xml:space="preserve">3.1 Comunicaciones externas de interes público a traves de medios radiales, prensa y televisivos. </t>
  </si>
  <si>
    <t>3.2 Actualizaciòn y cargas permanente a la pagina Web y redes del Consejo Territorial</t>
  </si>
  <si>
    <t>Recurso Ordinario</t>
  </si>
  <si>
    <t>3.3. Suministro de material litografico, papeleria, impresos y publicaciones, entre otros.</t>
  </si>
  <si>
    <t>4.1. Realización Capacitaciones/Talleres/Seminarios/ Ciclo de Conferencias sobre Desarrollo Territorial,etc</t>
  </si>
  <si>
    <t>4.2. Diseñar y elaborar el contenido academico y programatico del Centro de Pensamiento/Escuela de Liderazgo</t>
  </si>
  <si>
    <t>Fortalecimiento de la Gestión  y Desempeño Institucional. "Quindío con una administración al servicio de la ciudadanía "</t>
  </si>
  <si>
    <t>45.5</t>
  </si>
  <si>
    <t>Instrumentos de planificación para  el  Ordenamiento y la Gestión Territorial Departamental (Plan de Desarrollo Departamental PDD, Politicas y Directrices de Ordenamiento Territorial, Sistema de Información Geográfica, Catastro Multiproposito  y mecanismos de integración)</t>
  </si>
  <si>
    <t xml:space="preserve">Instrumentos de planificación de ordenamiento y gestión territorial departamental implementados. </t>
  </si>
  <si>
    <t>0305 - 5 - 3 1 5 28 87 17 2 - 20</t>
  </si>
  <si>
    <t>201900363-0002</t>
  </si>
  <si>
    <t>Formulación  e implementación del  Plan de Desarrollo Departamental 2020-2023</t>
  </si>
  <si>
    <t>Aumentar los índices eficacia y eficiencia  de la inversión social en el Departamento del Quindío, a través de la formulación del Plan de Desarrollo 2020- 2023 (Componentes: Estratégico-financiero- seguimiento y evaluación) con  procesos de participación y sensibilización conducentes a  lograr el empoderamiento  de los entes territoriales municipales,  sociedad  civil y organizada en la ejecución del Plan, durante el periodo administrativo</t>
  </si>
  <si>
    <t xml:space="preserve">Formular  e implementar  el Plan de Desarrollo Departamental  2020-2023 a través  de la  estructuración del componente estratégico, financiero, de seguimiento y evaluación,  con el fin de lograr la construcción de  un instrumento de planificación  acorde al programa de gobierno  y las necesidades de la comunidad,  durante la vigencia 2020 .
Realizar la socialización del Plan de Desarrollo del Departamento del Quindío  2020- 2023, a través de  estrategias de divulgación ( Talleres de capacitación y  cartilla informativa), con el fin de lograr  el empoderamiento y  el control ciudadano en  el proceso de ejecución del  Plan  </t>
  </si>
  <si>
    <t>1.1 Captura de Información situación actual de la entidad territorial y su entorno - Identificación y analisis de indicadores :económicos, sociales, financieros e institucionales</t>
  </si>
  <si>
    <t>Recurso Ordinario (20)</t>
  </si>
  <si>
    <t>José Ignacio Rojas Sepúlveda
Secretario Departamental de Planeación</t>
  </si>
  <si>
    <t xml:space="preserve">
Secretaría de Planeación</t>
  </si>
  <si>
    <t>1.2 Realización mesas participativas construcción componente diagnóstico PDD (Identificacación de problemas, causas y consecuencias)</t>
  </si>
  <si>
    <t xml:space="preserve">1.3 Estructuración componente Diagnóstico por sectores </t>
  </si>
  <si>
    <t>2.1 Construcción participativa visión PDD</t>
  </si>
  <si>
    <t xml:space="preserve">2.2 Mesas participativas formulación Plan de Desarrollo </t>
  </si>
  <si>
    <t>2.3 Estructuración componente estratégico Plan de Desarrollo</t>
  </si>
  <si>
    <t>2.4 Estructuración componente financiero Plan de Desarrollo (Marco Fiscal a mediano plazo, Plan Financiero y matriz Plurianual)</t>
  </si>
  <si>
    <t>2.5 Socialización propuesta en los diferentes sectores e instancias de participación  ciudadana y ajuste anteproecto Plan de Desarrollo de conformidad con las recomendaciones</t>
  </si>
  <si>
    <t xml:space="preserve">2.6 Asistencia técnica entes territoriales Municipales </t>
  </si>
  <si>
    <t>3.1 Formulación componente de seguimiento y evaluación del Plan de Desarrollo Departamental</t>
  </si>
  <si>
    <t>Socialización Plan de Desarrollo del Quindio entes territoriales, institucionalidad, academia y demás instancias.</t>
  </si>
  <si>
    <t>Refrigerios Mesas</t>
  </si>
  <si>
    <t>0305 - 5 - 1 4 17 45 9 - 88 
0305 - 5 - 3 1 5 28 87 17 9 - 20</t>
  </si>
  <si>
    <t>201663000-0009</t>
  </si>
  <si>
    <t>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</si>
  <si>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</si>
  <si>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Quindío( I- Fase)
Fortalecer el  Sistema de Información Geográfica del Departamento del Quindío </t>
  </si>
  <si>
    <t>Implementación y Seguimiento a las directrices del POD y seguimento al catastro multiproposito de los municpios del Quindio</t>
  </si>
  <si>
    <t>Fortalecimiento  de los procesos de asociatividad y de integracion regional  desde los municpios del departamento</t>
  </si>
  <si>
    <t>socializacion de las directrices de ordenamiento territorial POD en los Municipios del Departamento</t>
  </si>
  <si>
    <t>fortalecimeinto de la Plataforma SIG INSTITUCIONAL licenciamiento software.</t>
  </si>
  <si>
    <t>Mantenimiento y Actualizacion permanente de las bases de Datos del SIG</t>
  </si>
  <si>
    <t xml:space="preserve">Fortalecimiento de los procesos de ordenamiento territorial y  acompañamiento técnico en la implementacion de la cartografia estrategica para la formulación del OT de los municipios </t>
  </si>
  <si>
    <t xml:space="preserve">Recurso Ordinario </t>
  </si>
  <si>
    <t>45.4</t>
  </si>
  <si>
    <t>Observatorio económico del Departamento, con procesos de fortalecimiento</t>
  </si>
  <si>
    <t>Observatorio económico del Departamento del Quindío actualizado y dotado.</t>
  </si>
  <si>
    <t>0305 - 5 - 1 4 17 45 10 - 88
0305 - 5 - 3 1 5 28 87 17 10 - 20</t>
  </si>
  <si>
    <t>201663000-0010</t>
  </si>
  <si>
    <t xml:space="preserve">Diseño    e implementación del Observatorio  de Desarrollo Humano en el Departamento del Quindio </t>
  </si>
  <si>
    <t xml:space="preserve">Aumentar los índices eficacia y eficiencia  de la inversión social en el Departamento del Quindío, a través  del diseño e implementación de la primera fase  del Observatorio de Desarrollo Humano en el Departamento del Quindío (Diagnóstico y compilación de la información estadística -Elaboración de los lineamientos metodológicos, tecnológicos y presupuestales),durante el periodo administrativo. </t>
  </si>
  <si>
    <t>Elaborar  diagnóstico y compilar las estadísticas existentes en el Departamento por series de tiempo  y estrategias ( Inclusión social, seguridad humana, desarrollo sostenible, buen gobierno y prosperidad con equidad), con el fin contar con información soporte  que permita la toma de decisiones y aumentar los índices de eficacia y eficiencia de la inversión social en el Departamento del Quindío, durante la vigencia 2020.
Elaborar los lineamientos metodológicos, tecnológicos y presupuestales para la implementación del Observatorio de Desarrollo Humano en Departamento del Quindío, con el fin  de contar con los soportes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Quindío, durante la vigencia 2020</t>
  </si>
  <si>
    <t>1.1.1 Actualización de los instrumentos (Anuario Estadístico, Carta Estadística, Indicadores) de identificación, validación y cálculo de indicadores del observatorio departamental  contenidos en las dos áreas temáticas abordadas (Social y económica) para los 18 sectores priorizados en la vigencia 2020.</t>
  </si>
  <si>
    <t xml:space="preserve">
Superávit recurso ordinario</t>
  </si>
  <si>
    <t>2.1 Análisis de la información recolectada para la actualización y generación de los  boletines trimestrales (4), el informe anual del departamento (1) y los demás análisis requeridos correspondientes a la vigencia 2020 (1 Informe de Empleo)</t>
  </si>
  <si>
    <t>2.2 Fortalecer el seguimiento a los problemas identificados en el departamento con relación a los ODS para la última vigencia de análisis.</t>
  </si>
  <si>
    <t>3.1.1. Apoyo en la implementación del sistema de consulta del Observatorio de Desarrollo Humano y fortalecimiento de su funcionamiento a partir de la compra de equipos informáticos, periféricos y licencias.</t>
  </si>
  <si>
    <t xml:space="preserve">3.1.2. Apoyo en la recolección y procesamiento de bases y datos estadísticos para la estructuración del sistema de información </t>
  </si>
  <si>
    <t>4.1.1. Apoyo en la asistencia y revisión de las Fichas Básicas Municipales</t>
  </si>
  <si>
    <t>45.3</t>
  </si>
  <si>
    <t>Banco de Programas y Proyectos del Departamento  con Procesos de fortalecimiento.</t>
  </si>
  <si>
    <t>Banco de Programas y Proyectos del Departamento fortalecido</t>
  </si>
  <si>
    <t>0305 - 5 - 1 4 17 45 12 - 88
0305 - 5 - 3 1 5 28 87 17 12 - 20</t>
  </si>
  <si>
    <t>201663000-0012</t>
  </si>
  <si>
    <t>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</si>
  <si>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</si>
  <si>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Fortalecer la gestión de recursos, a través del SGR, departamentales, nacionales  e Internacional para el apoyo de alternativas regionales.
Fortalecer el Monitoreo, control y seguimiento de los proyectos de inversión en tiempo real
Brindar apoyo técnico integral o interdisciplinario a las Secretarias de la Gobernación del Quindío y a los entes territoriales en la identificación y formulación  de Proyectos en el marco de la Metodología General Ajustada, Marco Lógico y otras</t>
  </si>
  <si>
    <t>1.2 Asistencia Técnica  en estructuración, formulación y revisión de proyectos, Metodología General Ajustada MGA,   seguimiento a  trámites de  aprobación  proyectos  de Inversión SGR  y  mesas técnicas (Secretarias Sectoriales,   Instancias de carácter municipal, departamental, regional  y/o nacional), rendición de cuentas Sistema General de Regalias SGR, reuniones OCAD  Regional y Departamental.</t>
  </si>
  <si>
    <t>Sandra Patricia Díaz Ordoñez
Jefe de Proyectos y Cooperación
Norma Consuelo Mantilla Quintero  
Profesional Universitario
Luis Alberto Rincon Quintero 
Asesor Despacho</t>
  </si>
  <si>
    <t>2.6.  Apoyo técnico  y acompañamiento a las unidades ejecutoras para el Seguimiento a los Proyectos de Inversión del Banco de Proyectos nivel departamental en el  SISTEMA DE SEGUIMIENTO A PROYECTOS DE INVERSIÓN -SPI-, teniendo en cuenta la Ejecución fisica, el seguimiento a actividades, el  Seguimiento de gestión y los anexos.</t>
  </si>
  <si>
    <t>2.1. Asistencia Técnica en la formulación y estructuración de  proyectos de carácter estrategico (del orden departamental, Regional, Nacional e Internacional), en  las Metodologías requeridas, apoyando la realizacion de mesas de trabajo con las unidades ejecutoras y entidades actoras, para la construccion de los documentos y anexos requeridos en los proyectos, la verifcacion de requisitos en los proyectos,  el diligenciamiento de la información en las plataformas requeridas y la socializacion de los proyectos formulados .</t>
  </si>
  <si>
    <t xml:space="preserve"> 2.2 Asistencia Técnica a las unidades ejecutoras en la formulación y estructuración de proyectos de acuerdo al Plan de Desarrollo 2020-2023, apoyando las mesas de trabajo, los procesos de revisión y verificación del cumplimiento de requisitos generales.</t>
  </si>
  <si>
    <t>2.3. Apoyo técnico para la incorporación y diligenciamiento de la información de los proyectos de inversión, de acuerdo al Plan de Desarrollo 2020-2023, a través de las plataformas de  la Metodología General Ajustada —MGA WEB, SUIFP-TERRITORIO, de acuerdo a la normatividad vigente y  las directrices establecidas por el Departamento Nacional de Planeación –DNP-, realizando talleres con las unidades ejecutoras.</t>
  </si>
  <si>
    <t xml:space="preserve">2.4.  Apoyo y acompañamiento técnico para la realización de modificaciones y/o  ajustes a los proyectos de Inversión vigencia 2020, de acuerdo a los formatos y directrices del Manual Operativo del Banco de Programas y Proyectos del Departamento y su actualización en las plataformas de  la Metodología General Ajustada —MGA WEB, SUIFP-TERRITORIO.  </t>
  </si>
  <si>
    <t xml:space="preserve">2.5. Apoyo a los procesos de revision, verificación de cumplimiento de requisitos generales y acompañamiento a los proyectos presentados  por formuladores ciudadanos u oficiales,  presentando los respectivos informes y actualización de la caracterización de  los proyectos e iniciativas  estratégicas  del departamento y sus municipios, susceptibles de ser financiados con recursos del orden departamental, regional, nacional e internacional. </t>
  </si>
  <si>
    <t>2.7.  Seguimiento, identificaciòn y sistematizaciòn de las iniciativas y proyectos susceptibles a ser financiados con recursos de cooperaciòn internacional, gestionados por los entes territoriales municipales ante las agencias de cooperaciòn y embajadas extranjeras en el pais.</t>
  </si>
  <si>
    <t>2.8 Capacitación y asistencia tecnica a las unidades ejecutoras de la administración departamental, en forulación, estructuración metodologica,teoria de proyectos, gestión presupuestal de la inversión publica, armonizacion de proyectos y herramientas informaticas que soporten el ciclo de la inversión: MGA, SUIFP Y SPI, de acuerdo al plan de desarrollo 2020-2023</t>
  </si>
  <si>
    <t>2.9 Apoyo y asistencia tecnica en la formulación y estructuración de los proyectos de la secretaria de planeación departamental, de acuerdo al plan de desarrollo 2020-2023, apoyando la revisión y verificación del cumplimiento de requisitos generales y la actualización en la plataformas de la metodologia general ajustada -MGA WEB, SUIFP-TERRITORIO,SPI</t>
  </si>
  <si>
    <t>45.17</t>
  </si>
  <si>
    <t xml:space="preserve">Entes territoriales  con servicio de asistencia técnica de los Instrumentos de Planificación para  el Ordenamiento y la Gestión Territorial departamental. </t>
  </si>
  <si>
    <t>Entes territoriales con procesos de asistencia técnica realizadas.</t>
  </si>
  <si>
    <t>0305 - 5 - 1 4 17 45 14 - 88
0305 - 5 - 3 1 5 28 87 17 14 - 20</t>
  </si>
  <si>
    <t>201663000-0014</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</si>
  <si>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</si>
  <si>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2020. </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</si>
  <si>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t>
  </si>
  <si>
    <t xml:space="preserve">Asistencia técnica a los Municipios en el seguimiento y/o evaluación Planes Básicos de Ordenamiento Territorial  y la Gestión Territorial departamental. </t>
  </si>
  <si>
    <t>José Ignacio Rojas Sepúlveda
Secretario Departamental de Planeación
Martha Elena Giraldo Ramirez
Directora Técnica
Sandra Patricia Díaz Ordoñez
Jefe de Proyectos y Cooperación
Juan Manuel Lozano Castro
Jefe Oficina Desarrollo Territorial</t>
  </si>
  <si>
    <t xml:space="preserve">Asistencia técnica, seguimiento y/o evaluación Planes Básicos de Ordenamiento Territorial  </t>
  </si>
  <si>
    <t>Capacitación , Asistencia técnica, seguimiento y evaluación  instrumentos de planificación a los doce municipios</t>
  </si>
  <si>
    <t>45.12</t>
  </si>
  <si>
    <t>Entes territoriales con servicio de asistencia  técnica del Modelo Integrado de Planeación y de Gestión MIPG</t>
  </si>
  <si>
    <t>Entes Territoriales con procesos de asistencia técnica realizadas.</t>
  </si>
  <si>
    <t>Asistencia técnica a los Entes territoriales en el Modelo Integrado de Planeación y de Gestión MIPG</t>
  </si>
  <si>
    <t>45.13</t>
  </si>
  <si>
    <t>Entes territoriales  con servicio de asistencia técnica en la Medición del Desempeño Municipal.</t>
  </si>
  <si>
    <t>Asistencia técnica, seguimiento y/o evaluación  Ranking Integral de Desempeño Municipal.</t>
  </si>
  <si>
    <t>45.15</t>
  </si>
  <si>
    <t xml:space="preserve">Entes territoriales  con servicio de asistencia técnica  en el Sistema de Identificación de Potenciales Beneficiarios de Programas Sociales (SISBEN). </t>
  </si>
  <si>
    <t xml:space="preserve">Asistencia técnica en la operatividad del Sistema de Selección de Beneficiarios SISBEN III en los doce municipios del Departamento del Quindío:  </t>
  </si>
  <si>
    <t>45.16</t>
  </si>
  <si>
    <t>Entes territoriales con servicio de asistencia técnica en la formulación, preparación, seguimiento y evaluación de las políticas públicas.</t>
  </si>
  <si>
    <t xml:space="preserve">Capacitación , Asistencia técnica, seguimiento y/o evaluación Politicas Públicas  </t>
  </si>
  <si>
    <t>45.14</t>
  </si>
  <si>
    <t xml:space="preserve">Entes territoriales  con servicio de asistencia técnica en Banco de Programas y Proyectos de Inversión Nacional (BPIN).  </t>
  </si>
  <si>
    <t>Capacitación , Asistencia técnica, seguimiento y/o evaluación Metodologia General Ajustada</t>
  </si>
  <si>
    <t>45.1</t>
  </si>
  <si>
    <t>Implementación de  las Dimensiones y Politicas  del Modelo Integrado de Planeación y de Gestión MIPG</t>
  </si>
  <si>
    <t>Número de Dimensiones y Políticas   de MIPG implementadas.</t>
  </si>
  <si>
    <t>0305 - 5 - 1 4 17 45 6 - 88</t>
  </si>
  <si>
    <t>202000363-0006</t>
  </si>
  <si>
    <t xml:space="preserve">Implementación  del Modelo Integrado de Planeación y de Gestión MIPG en la Administración Departamental del Quindio </t>
  </si>
  <si>
    <t>Mejorar el Indice de  gestión y el desempeño institucional de la administración departamental, con el propósito de dar cumplimiento a la visión y misión institucional con eficacia y eficiencia, en beneficio de la población del Departamento del Quindío</t>
  </si>
  <si>
    <t>Fortalecer la implementación de procesos y procedimientos que reglamentan la operación de las Dimensiones y Políticas del Modelo Integrado de Planeación y de Gestión MIPG en las diferentes áreas de la Administración Departamental.</t>
  </si>
  <si>
    <t xml:space="preserve">1. DIMENSION DE TALENTO HUMANO </t>
  </si>
  <si>
    <t>Superavit Recurso Ordinario (88)</t>
  </si>
  <si>
    <t>Martha Elena Giraldo Ramirez
Directora Técnica</t>
  </si>
  <si>
    <t>2. DIMENSION DIRECCIONAMIENTO ESTRATÉGICO</t>
  </si>
  <si>
    <t>3. DIMENSION GESTIÓN PARA RESULTADOS CON VALORES</t>
  </si>
  <si>
    <t>4. DIMENSION GESTIÓN PARA RESULTADOS CON VALORES</t>
  </si>
  <si>
    <t>5. DIMENSIÓN INFORMACIÓN Y COMUNICACIÓN</t>
  </si>
  <si>
    <t>6. DIMENSION GESTIÓN DEL CONOCIMIENTO Y LA INNOVACIÓN</t>
  </si>
  <si>
    <t xml:space="preserve">7. DIMENSION DE CONTROL INTERNO </t>
  </si>
  <si>
    <t xml:space="preserve">1. DIMENSION DE TALENTO HUMANO /  1.1 POLITICA DE TALENTO HUMANO </t>
  </si>
  <si>
    <t>1. DIMENSION DE TALENTO HUMANO / 1.2 POLITICA DE  INTEGRIDAD</t>
  </si>
  <si>
    <t xml:space="preserve">2. DIMENSION DIRECCIONAMIENTO ESTRATÉGICO / 2.1 PLANEACION INSTITUCIONAL </t>
  </si>
  <si>
    <t>2. DIMENSION DIRECCIONAMIENTO ESTRATÉGICO / 2.2 POLITICA GESTIÓN PRESUPUESTAL Y EFICIENCIA DEL GASTO PUBLICO</t>
  </si>
  <si>
    <t xml:space="preserve">3. DIMENSION GESTIÓN PARA RESULTADOS CON VALORES / 3.1  POLITICA FORTALECIMIENTO ORGANIZACIONAL Y SIMPLIFICACION DE PROCESOS </t>
  </si>
  <si>
    <t xml:space="preserve">3. DIMENSION GESTIÓN PARA RESULTADOS CON VALORES / 3.2 POLITICA DE GOBIERNO DIGITAL </t>
  </si>
  <si>
    <t xml:space="preserve">3. DIMENSION GESTIÓN PARA RESULTADOS CON VALORES / 3.3  POLITICA DE SEGURIDAD DIGITAL </t>
  </si>
  <si>
    <t>3. DIMENSION GESTIÓN PARA RESULTADOS CON VALORES / 3.4 POLITICA DEFENSA JURIDICA</t>
  </si>
  <si>
    <t>3. DIMENSION GESTIÓN PARA RESULTADOS CON VALORES / 3.5 POLITICA  TRANSPARENCIA, ACCESO A LA INFORMACIÓN Y LUCHA CONTRA LA CORRUPCIÓN</t>
  </si>
  <si>
    <t xml:space="preserve">3. DIMENSION GESTIÓN PARA RESULTADOS CON VALORES / 3.6 POLITICA SERVICIO AL CIUDADANO </t>
  </si>
  <si>
    <t xml:space="preserve">3. DIMENSION GESTIÓN PARA RESULTADOS CON VALORES /3.7 POLITICA DE RACIONALIZACION DE TRÁMITES </t>
  </si>
  <si>
    <t xml:space="preserve">3. DIMENSION GESTIÓN PARA RESULTADOS CON VALORES / 3.8 POLITICA PARTICIPACIÓN CIUDADANA EN LA GESTIÓN </t>
  </si>
  <si>
    <t xml:space="preserve">3. DIMENSION GESTIÓN PARA RESULTADOS CON VALORES / 3.9 POLITICA MEJORA NORMATIVA </t>
  </si>
  <si>
    <t xml:space="preserve">4. DIMENSION GESTIÓN PARA RESULTADOS CON VALORES /4.1 POLITICA DE SEGUIMIENTO Y EVALUACIÓN DEL DESEMPEÑO INSTITUCIONAL </t>
  </si>
  <si>
    <t xml:space="preserve">5. DIMENSIÓN INFORMACIÓN Y COMUNICACIÓN / 5.1  POLITICA GESTIÓN DOCUMENTAL </t>
  </si>
  <si>
    <t xml:space="preserve">5. DIMENSIÓN INFORMACIÓN Y COMUNICACIÓN / 5.2 POLITICA  GESTIÓN DE LA INFORMACION ESTADISTICA </t>
  </si>
  <si>
    <t>6. DIMENSION GESTIÓN DEL CONOCIMIENTO Y LA INNOVACIÓN / 6.1  POLÍTICA DE GESTIÓN DEL CONOCIMIENTO Y LA INNOVACIÓN</t>
  </si>
  <si>
    <t>7. DIMENSION DE CONTROL INTERNO / 7.1 POLITICA DE CONTROL INTERNO</t>
  </si>
  <si>
    <t>Dimensiones y Politicas  del  MIPG</t>
  </si>
  <si>
    <t>Realización procesos de autoevaluación MIPG</t>
  </si>
  <si>
    <t>Logitica proceso de socialización  y divulgación MIPG</t>
  </si>
  <si>
    <t>JOSÉ IGNACIO ROJAS SEPÚLVEDA</t>
  </si>
  <si>
    <t>Secretario de Planeación</t>
  </si>
  <si>
    <t xml:space="preserve">SEGUIMIENTO PLAN DE ACCIÓN
SECRETARIA TIC
DICIEMBRE 31 DE 2020
  </t>
  </si>
  <si>
    <t>CODIGO INTERNO META</t>
  </si>
  <si>
    <t>PRESUPUESTADO</t>
  </si>
  <si>
    <t>E (COMPROMISOS)</t>
  </si>
  <si>
    <t>E (OBLIGACIONES)</t>
  </si>
  <si>
    <t>Edad Económicamente Activa      (20-59 años)</t>
  </si>
  <si>
    <t>INCLUSIÓN SOCIAL Y EQUIDAD</t>
  </si>
  <si>
    <t>Facilitar el acceso y uso de las Tecnologías de la Información y las Comunicaciones en todo el departamento del Quindio. "Tú y yo somos ciudadanos TIC"</t>
  </si>
  <si>
    <t>Servicio de acceso y uso de Tecnologías de la Información y las Comunicaciones</t>
  </si>
  <si>
    <t>Soluciones de conectividad en instituciones públicas instaladas</t>
  </si>
  <si>
    <t>0324 - 5 - 1 1 13 16 35 - 20
0324 - 5 - 1 1 13 16 35 - 88</t>
  </si>
  <si>
    <t>202000363-0035</t>
  </si>
  <si>
    <t>Fortalecimiento  y apoyo a las tecnologías de la información de las comunicaciones en el departamento del Quindío.</t>
  </si>
  <si>
    <t>Fortalecer e incentivar la apropiación, acceso y uso de herramientas tecnológicas en diversos sectores y comunidad en general, con el fin de generar el nacimiento de una nueva opción económica como lo es la industria y la venta de servicios TIC, impactando positivamente, el desarrollo económico en el Departamento del Quindío, a través de la transformación digital y los emprendimientos de este sector.</t>
  </si>
  <si>
    <t>Ofrecer puntos de acceso comunitario a las Tecnologías de la Información y las Comunicaciones en los diferentes sectores urbanos del Departamento del Quindío.</t>
  </si>
  <si>
    <t>Apoyo técnico y/o profesional en la estructuracion, direccionamiento y transición del protocolo IPV6 en instituciones públicas en el departamento del Quindío.</t>
  </si>
  <si>
    <t xml:space="preserve">Recurso Ordinario  </t>
  </si>
  <si>
    <t>ING.Carlos Fernando Benitez /                                                   ING. Carlos Arturo Caicedo /                                                   ING.Jhon Mario Lievano</t>
  </si>
  <si>
    <t>Secretaría TIC</t>
  </si>
  <si>
    <t>Adquisición de equipos de infraestructura tecnológica que permitan la modernizacion, con el fin de apoyar la transicion hacia el protocolo IPV6 en instituciones publicas del departamento del Quindío.</t>
  </si>
  <si>
    <t>Superavit Recurso Ordinario</t>
  </si>
  <si>
    <t>Apoyo tecnico y/o profesional para la sostenibilidad y/o modernizacion de la infraestructura tecnologica de la gobernacion del quindio.</t>
  </si>
  <si>
    <t>Modernización tecnológica del edificio de la Gobernación</t>
  </si>
  <si>
    <t>16.5</t>
  </si>
  <si>
    <t>Servicio de educación informal en tecnologías de la información y las comunicaciones.</t>
  </si>
  <si>
    <t>Personas capacitadas en tecnologías de la información y las comunicaciones</t>
  </si>
  <si>
    <t>Capacitar y/o formar personas a través de programas TIC en diferentes sectores del departamento con énfasis en inclusión social y generacional</t>
  </si>
  <si>
    <t>Apoyo técnico y/o profesional para la capacitación de personas en tecnologías de la información y las comunicaciones.ciones.</t>
  </si>
  <si>
    <t>Fomento del desarrollo de aplicaciones, software y contenidos para impulsar la apropiación de las Tecnologías de la Información y las Comunicaciones (TIC) "Quindío paraiso empresarial TIC-Quindío TIC"</t>
  </si>
  <si>
    <t>17.8</t>
  </si>
  <si>
    <t>Servicio de promoción de la industria de Tecnologías de la Información</t>
  </si>
  <si>
    <t xml:space="preserve">Eventos para  promoción  de productos y Servicio de la industria TI realizados </t>
  </si>
  <si>
    <t>0324 - 5 - 1 1 13 17 36 - 88</t>
  </si>
  <si>
    <t>202000363-0036</t>
  </si>
  <si>
    <t>Fortalecimiento del sector empresarial del departamento del Quindío</t>
  </si>
  <si>
    <t>Fortalecer  e incentivar la apropiación, acceso y uso de herramientas tecnológicas en diversos sectores y comunidad en general, con el fin de generar el nacimiento de una nueva opción económica como lo es la industria y la venta de servicios TIC, impactando positivamente, el desarrollo económico en el Departamento del Quindío, a través de la transformación digital y los emprendimientos de este sector.</t>
  </si>
  <si>
    <t xml:space="preserve">Realizar eventos de promoción  de los productos y servicios de la inustria de la las tecnologías de la información para el fortalecimiento empresarial del departamento </t>
  </si>
  <si>
    <t>Apoyo tecnico y/o profesional en la estructuracion  y realización de evento o ferias tecnológicas en el departamento del Quindío</t>
  </si>
  <si>
    <t>ING.Carlos Fernando Benitez /                                               ING.Jhon Mario Lievano</t>
  </si>
  <si>
    <t xml:space="preserve">PRODUCTIVIDAD Y COMPETITIVIDAD </t>
  </si>
  <si>
    <t xml:space="preserve">Desarrollo tecnológico e innovación para el crecimiento empresarial </t>
  </si>
  <si>
    <t>31.1</t>
  </si>
  <si>
    <t>Servicio de apoyo para la transferencia de conocimiento y tecnología</t>
  </si>
  <si>
    <t>Nuevas tecnologías adoptadas</t>
  </si>
  <si>
    <t xml:space="preserve">
0324 - 5 - 1 2 13 31 1 - 88</t>
  </si>
  <si>
    <t>201663000-0001</t>
  </si>
  <si>
    <t>Apoyo a la estrategia de Gobierno en linea en el Departamento del Quindío</t>
  </si>
  <si>
    <t xml:space="preserve">Mejorar el acceso de los usuarios internos como externos mediante  los servicios informáticos ofrecidos por la entidad, para el grado de satisfaccion de los usuarios </t>
  </si>
  <si>
    <t>Mejorar los sistemas de información y equipos tecnológicos mediante la actualizacion y mantenimiento para aumentar los tiempos de respuesta de atención al usuario</t>
  </si>
  <si>
    <t>Implementacion de servicios virtuales</t>
  </si>
  <si>
    <t>ING. CARLOS ARTURO CAICEDO</t>
  </si>
  <si>
    <t>Generación de una cultura que valora y gestiona el conocimiento y la innovación.</t>
  </si>
  <si>
    <t>3904018</t>
  </si>
  <si>
    <t>32.2</t>
  </si>
  <si>
    <t>Servicios de comunicación con enfoque en Ciencia Tecnología y Sociedad</t>
  </si>
  <si>
    <t>Juguetes, juegos o videojuegos para la comunicación de la ciencia, tecnología e innovación producidos</t>
  </si>
  <si>
    <t>0324 - 5 - 1 2 13 32 37 - 88</t>
  </si>
  <si>
    <t>202000363-0037</t>
  </si>
  <si>
    <t xml:space="preserve">Implementación  y  divulgación de la estratégia    "  Quindío innovador y competitivo" </t>
  </si>
  <si>
    <r>
      <t xml:space="preserve">Potenciar la innovación en el Departamento del Quindío a través de procesos </t>
    </r>
    <r>
      <rPr>
        <sz val="12"/>
        <color theme="1"/>
        <rFont val="Arial"/>
        <family val="2"/>
      </rPr>
      <t>fomento de la participación ciudadana en ciencia, tecnología e innovación,</t>
    </r>
    <r>
      <rPr>
        <sz val="12"/>
        <color rgb="FF000000"/>
        <rFont val="Arial"/>
        <family val="2"/>
      </rPr>
      <t xml:space="preserve"> apoyo a las empresas, universidades y otras instancias que generan conocimiento e investigación.</t>
    </r>
  </si>
  <si>
    <t>Realizar la transformación digital de las empresas de la región con la apropiación de herramientas digitales, que permitan ser competitivos en los diferentes sectores productivos ( Juguetes, juegos o videojuegos para la comunicación )</t>
  </si>
  <si>
    <t>Apoyo técnico y/o profesional en la elaboración, construcción y/o sensibilización de servicios con base tecnológica en el Departamento del Quindío.</t>
  </si>
  <si>
    <t>LIDERAZGO, GOBERNABILIDAD Y TRANSPARENCIA</t>
  </si>
  <si>
    <t xml:space="preserve"> </t>
  </si>
  <si>
    <t>17.6</t>
  </si>
  <si>
    <t>Servicio de educación informal para la implementación de la Estrategia de Gobierno digital</t>
  </si>
  <si>
    <t>Personas capacitadas para la implementación de la Estrategia de Gobierno digital</t>
  </si>
  <si>
    <t>0324 - 5 - 3 1 5 28 89 17 4 - 20
0324 - 5 - 1 4 17 17 4 - 88</t>
  </si>
  <si>
    <t>201663000-0004</t>
  </si>
  <si>
    <t>Apoyo a la sostenibilidad de las tecnologías de la información y comunicación de la Gobernación del Quindío</t>
  </si>
  <si>
    <t>Optimizar la infraestructura informática y de comunicaciones disponible a través de actualización de equipos y aplicaciones para una mejor atención al usuario</t>
  </si>
  <si>
    <t>Modernizar la infraestructura tecnológica mediante la actualización de herramientas tecnológicas y soporte de primer nivel; para agilizar los procesos</t>
  </si>
  <si>
    <t>Apoyo técnico y/o profesional</t>
  </si>
  <si>
    <t xml:space="preserve"> Recurso Ordinario</t>
  </si>
  <si>
    <t>20
88</t>
  </si>
  <si>
    <t>ING.Carlos Fernando Benitez /                                                ING. Carlos Arturo Caicedo /                                                   ING.Jhon Mario Lievano</t>
  </si>
  <si>
    <t>Apoyo tecnico y/o profesional para la capacitación de personas en la  implementación de la estrategia de gobierno digital</t>
  </si>
  <si>
    <t>17.10</t>
  </si>
  <si>
    <t>Servicio de educación informal en Gestión TI y en Seguridad y Privacidad de la Información</t>
  </si>
  <si>
    <t>Personas capacitadas para en Gestión TI y en Seguridad y Privacidad de la Información</t>
  </si>
  <si>
    <t>Apoyo tecnico y/o profesional para la capacitación de personas en la implemetacion de la Gestión TI y en Seguridad y Privacidad de la Información</t>
  </si>
  <si>
    <t>JOHN MARIO LIÉVANO FERNÁNDEZ</t>
  </si>
  <si>
    <t>Secretario TIC</t>
  </si>
  <si>
    <t>SEGUIMIENTO PLAN DE ACCIÓN
SECRETARIA ADMINISTRATIVA
DICIEMBRE 31   DE   2020</t>
  </si>
  <si>
    <t>01 de 1</t>
  </si>
  <si>
    <t xml:space="preserve">PLAN DE DESARROLLO DEPARTAMENTAL </t>
  </si>
  <si>
    <t>CODIGO INTERNO
META</t>
  </si>
  <si>
    <t>GÉNERO</t>
  </si>
  <si>
    <t xml:space="preserve">PRESUPUESTADO </t>
  </si>
  <si>
    <t>E  (OBLIGACIONES)</t>
  </si>
  <si>
    <t>Palenqueras</t>
  </si>
  <si>
    <t>Implementación de  las Dimensiones y Políticas  del Modelo Integrado de Planeación y de Gestión MIPG</t>
  </si>
  <si>
    <t>202000363-0003</t>
  </si>
  <si>
    <t>Implementación del  Modelo Integrado de Planeación y de Gestión MIPG  de la  Administración Departamental del Quindío (  Dimensiones  de Talento humano,  Información y Comunicación y Gestión del Conocimiento).</t>
  </si>
  <si>
    <t>Mejorar el Índice de  gestión y el desempeño institucional de la administración departamental, con el propósito de dar cumplimiento a la visión y misión institucional con eficacia y eficiencia, en beneficio de la población del Departamento del Quindío</t>
  </si>
  <si>
    <t>Implementar del  Modelo Integrado de Planeación y de Gestión MIPG ,  Dimensiones  de Talento humano,  Información y Comunicación y Gestión del Conocimiento  con el propósito de mejorar el índice de gestión y desempeño y el cumplimiento de las metas del Plan de Desarrollo 2020-2023</t>
  </si>
  <si>
    <t xml:space="preserve">Desarrollar un plan de trabajo para identificar los medios, mecanismos, procesos y procedimientos para capturar, clasificar y organizar el conocimiento de la Entidad.     </t>
  </si>
  <si>
    <t>Superávit recurso Ordinario</t>
  </si>
  <si>
    <t>MAURICIO GRAJALES OSORIO</t>
  </si>
  <si>
    <t>Secretaría Administrativa-Dirección Talento Humano</t>
  </si>
  <si>
    <t xml:space="preserve">Realizar el  diagnóstico  y el Plan de Acción de la  implementación del Código de Integridad.  </t>
  </si>
  <si>
    <t>Ejecutar las actividades establecidas en el Plan Institucional de Archivos PINAR.</t>
  </si>
  <si>
    <t>45.9</t>
  </si>
  <si>
    <t>Estrategias  de actualización, depuración, seguimiento y evaluación de las bases de datos  del Pasivo Pensional  de la Administración Departamental.</t>
  </si>
  <si>
    <t>Estrategias  de actualización, depuración, seguimiento y evaluación de las bases de datos  del Pasivo Pensional  de la Administración Departamental</t>
  </si>
  <si>
    <t>202000363-0004</t>
  </si>
  <si>
    <t>Actualización, depuración, seguimiento y evaluación   del  Pasivo Pensional  de la Administración Departamental del Quindío</t>
  </si>
  <si>
    <t xml:space="preserve">Implementar estrategias de actualización, depuración, seguimiento y evaluación de las bases de datos del pasivo pensional de la administración departamental, con el fin de contar con  información depurada y real, que permita el desarrollo de acciones administrativas a corto, mediano y largo plazo.  </t>
  </si>
  <si>
    <t>Diseñar y Establecer  los procedimientos que se van a implementar en el Fondo Territorial de Pensiones con el fin de contar con la información depurada  y real.</t>
  </si>
  <si>
    <t>PAOLA ARIAS CEBALLOS</t>
  </si>
  <si>
    <t>Secretaría Administrativa-Dirección Fondo Territorial de Pensiones</t>
  </si>
  <si>
    <t>Depurar los expedientes administrativos que reposan  en el Fondo Territorial de Pensiones.</t>
  </si>
  <si>
    <t>Adelantar acciones para determinar qué cuotas partes están a favor o cargo del Ente Territorial.</t>
  </si>
  <si>
    <t>42.3</t>
  </si>
  <si>
    <t>Implementación del Plan de Acción del Sistema Departamental de Servicio a la Ciudadanía SDSC</t>
  </si>
  <si>
    <t xml:space="preserve">Plan de Acción del Sistema Departamental de Servicio a la Ciudadanía SDSC implementado. </t>
  </si>
  <si>
    <t>202000363-0005</t>
  </si>
  <si>
    <t>Implementación del Sistema Departamental de Servicio a la Ciudadanía SDSC   en la Administración Departamental.</t>
  </si>
  <si>
    <r>
      <t>Fortalecer la democracia participativa, organización y participación de la sociedad civil y la garantía de los derechos y deberes electorales.</t>
    </r>
    <r>
      <rPr>
        <vertAlign val="superscript"/>
        <sz val="12"/>
        <color theme="1"/>
        <rFont val="Arial"/>
        <family val="2"/>
      </rPr>
      <t xml:space="preserve"> </t>
    </r>
  </si>
  <si>
    <t>Implementar el plan de acción del Sistema Departamental de Servicio a la Ciudadanía SDSC, a través del desarrollo de actividades que permitan la interacción de la comunidad y estado, facilitando el acceso de los servicios que oferta la administración departamental, en cumplimiento de la Ordenanza número 001 del 02 de marzo de 2017</t>
  </si>
  <si>
    <t>Ejecutar las acciones en el marco del cumplimiento del Plan de Acción del Sistema Departamental de Servicio a la Ciudadanía SDSC</t>
  </si>
  <si>
    <t xml:space="preserve">MAURICIO GRAJALES OSORIO-
JOHN HAROLD VALENCIA RODRIGUEZ
</t>
  </si>
  <si>
    <t>JHON HAROLD VALENCIA RODRÍGUEZ</t>
  </si>
  <si>
    <t>Secretario Administrativo</t>
  </si>
  <si>
    <t>.</t>
  </si>
  <si>
    <t>SEGUIMIENTO PLAN DE ACCIÓN
SECRETARIA DE AGRICULTURA DESARROLLO RURAL Y MEDIO AMBIENTE
DICIEMBRE 31   DE   2020</t>
  </si>
  <si>
    <t>CODIGO DE META INTERNA</t>
  </si>
  <si>
    <t>PRODUCTIVIDAD Y COMPETITIVIDAD</t>
  </si>
  <si>
    <t>Inclusión productiva de pequeños productores rurales. "Tú y yo con oportunidades para el pequeño campesino"</t>
  </si>
  <si>
    <t>4.3</t>
  </si>
  <si>
    <t>Servicio de asesoría para el fortalecimiento de la asociatividad</t>
  </si>
  <si>
    <t>Asociaciones fortalecidas</t>
  </si>
  <si>
    <t>0312 - 5 - 1 2 13 4 75 - 20
0312 - 5 - 1 2 13 4 75 - 88
0312 - 5 - 3 1 2 2 6 13 75 - 20</t>
  </si>
  <si>
    <t>201663000-0075</t>
  </si>
  <si>
    <t xml:space="preserve">Fomento al emprendimiento y  al empleo rural en el Departamento del Quindío  </t>
  </si>
  <si>
    <t>Aumentar crecimiento del PIB del departamento del Quindío a frente al PIB Nacional.</t>
  </si>
  <si>
    <t>Apoyar la formalización de empresas en los sectores productivos del departamento, a través de la identificación, análisis y priorización de los potenciales emprendimientos rurales, con el fin de contribuir a generar condiciones para aumentar   producto interno bruto el departamento durante la vigencia 2016. 
Realizar apalancamiento a las iniciativas productivas rurales, a través de procesos de acompañamiento a la consolidación de ideas de negocio e implementación de garantías complementarias para el facilitar el acceso a las diferentes fuentes financiación con el fin de contribuir a generar condiciones para aumentar   producto interno bruto el departamento   durante la vigencia 2016.
Capacitar a jóvenes y mujeres en actividades agrícolas y no agrícolas con procesos de seguimiento y evaluación en la generación de ideas y/o consolidación de negocios con el fin de contribuir a generar condiciones para aumentar producto interno bruto el departamento durante la vigencia 2016.</t>
  </si>
  <si>
    <t>Apoyo En La Formalización De Empresas En Los Sectores Productivos</t>
  </si>
  <si>
    <t>Recurso Ordinario
Superávit Recurso Ordinario</t>
  </si>
  <si>
    <t>JUAN CAMILO TABARES</t>
  </si>
  <si>
    <t>Secretaría de Agricultura, Desarrollo rural y Medio Ambiente</t>
  </si>
  <si>
    <t>Convenio de cofinanciación Alianzas productivas</t>
  </si>
  <si>
    <t xml:space="preserve">
Superávit Recurso Ordinario
</t>
  </si>
  <si>
    <t>4.1</t>
  </si>
  <si>
    <t>Servicio de apoyo financiero para proyectos productivos</t>
  </si>
  <si>
    <t>Proyectos productivos cofinanciados</t>
  </si>
  <si>
    <t>Adquisición y suministro de equipos, insumos agroindustriales</t>
  </si>
  <si>
    <t>4.5</t>
  </si>
  <si>
    <t>Servicio de apoyo para el fomento organizativo de la Agricultura Campesina, Familiar y Comunitaria</t>
  </si>
  <si>
    <t>Productores agropecuarios apoyados</t>
  </si>
  <si>
    <t>0312 - 5 - 1 2 8 4 79 - 20
0312 - 5 - 1 2 8 4 79 - 88
0312 - 5 - 3 1 3 11 34 8 79 - 20</t>
  </si>
  <si>
    <t>201663000-0079</t>
  </si>
  <si>
    <t>Fomento a la agricultura familiar , urbana y  mercados campesinos para la soberanía y  Seguridad alimentaria en el Departamento del Quindío.</t>
  </si>
  <si>
    <t>Aumentar la producción de frutas y verduras para el autoconsumo del departamento del Quindío a través de la implementación de un sistema de parcelas campesinas y comercio de excedentes.</t>
  </si>
  <si>
    <t>.Diseñar e implementar un (1) programa de agricultura familiar campesina.
.Apoyar la conformación de cuatro (4) alianzas para contratos de compra anticipada de productos de la agricultura familiar en el departamento del Quindío.
.Apoyar la conformación de cuatro (4) alianzas para contratos de compra anticipada de productos de la agricultura familiar en el departamento del Quindío.
.Beneficiar a 2400 familias urbanas y periurbanas con parcelas de agricultura familiar para autoconsumo y comercio de excedentes.
.Mejorar el estado nutricional de 1795 niños menor de 5 años y de 1531 niños de 6 a 18 años en riesgo de desnutrición en el departamento.</t>
  </si>
  <si>
    <t>Apoyo técnico en el fomento organizativo de la Agricultura Campesina, Familiar y Comunitaria</t>
  </si>
  <si>
    <t xml:space="preserve">20
</t>
  </si>
  <si>
    <t>LUIS ALBERTO GÓMEZ ROJAS</t>
  </si>
  <si>
    <t>Acompañamiento Y Asistencia Técnica A Productores Agropecuarios En La Productividad Primaria Y Alistamiento De La Oferta, Permitiendo Así El Aseguramiento De La Cadena Agroalimentaria En La Productividad Primaria</t>
  </si>
  <si>
    <t>4.10</t>
  </si>
  <si>
    <t>Servicio de apoyo a la comercialización</t>
  </si>
  <si>
    <t>Organizaciones de productores formales apoyadas</t>
  </si>
  <si>
    <t>0312 - 5 - 1 2 13 4 78 - 20
0312 - 5 - 1 2 13 4 78 - 88
0312 - 5 - 1 2 13 7 78 - 20
0312 - 5 - 1 2 13 7 78 - 88
0312 - 5 - 1 2 13 27 78 - 20
0312 - 5 - 1 2 13 27 78 - 88
0312 - 5 - 3 1 2 2 7 13 78 - 20</t>
  </si>
  <si>
    <t>201663000-0078</t>
  </si>
  <si>
    <t>Fortalecimiento a la competitividad productiva y empresarial del sector rural en el Departamento del Quindío</t>
  </si>
  <si>
    <t>Crecimiento del PIB del departamento del Quindío frente al PIB Nacional</t>
  </si>
  <si>
    <t>Conocimiento de métodos no tradicionales de comercialización. 
Aumentar la divulgación de eventos especializados para acceder a mercados internacionales.</t>
  </si>
  <si>
    <t xml:space="preserve">Apoyo en asesoría y asistencia técnica en la formulación, estructuración e implementación  de proyectos de comercialización y participación en mercados campesinos. </t>
  </si>
  <si>
    <t xml:space="preserve">
Superávit Recurso Ordinario</t>
  </si>
  <si>
    <t>Puesta en marcha de los instrumentos de planificación e información rural</t>
  </si>
  <si>
    <t>Ordinario</t>
  </si>
  <si>
    <t>Adquisición y suministro de equipos, insumos y logística.</t>
  </si>
  <si>
    <t>Productores apoyados para la participación en mercados campesinos</t>
  </si>
  <si>
    <t xml:space="preserve">Apoyo en asesoría y asistencia técnica en la formulación, estructuración e implementación de proyectos de comercialización a organizaciones de productores. </t>
  </si>
  <si>
    <t>Adquisición y suministro de equipos, insumos (software, hardware)</t>
  </si>
  <si>
    <t>4.7</t>
  </si>
  <si>
    <t>Documentos de planeación</t>
  </si>
  <si>
    <t>Planes de Desarrollo Agropecuario y Rural elaborados</t>
  </si>
  <si>
    <t>0312 - 5 - 1 2 8 4 113 - 20
0312 - 5 - 1 2 8 4 113 - 88
0312 - 5 - 1 2 8 8 113 - 20
0312 - 5 - 1 2 8 8 113 - 88</t>
  </si>
  <si>
    <t>202000363-00113</t>
  </si>
  <si>
    <t>Implementación de procesos de extensión agropecuaria e inocuidad (estatus sanitario, BPA, BPG) alimentaria; en el Departamento del Quindío</t>
  </si>
  <si>
    <t>Establecer los lineamientos para el fortalecimiento de habilidades y competencias técnicas y humanas, de capacidades financieras y estratégicas de los productores, para fortalecer la competitividad y sostenibilidad territorial del sector agropecuario.</t>
  </si>
  <si>
    <t>Formular e Implementar el Plan Departamental de Extensión Agropecuaria PDEA del departamento del Quindío.
Estructurar y ejecutar proyectos integrales agropecuarios, de asistencia técnica y extensión agropecuaria
municipales.
Implementar proyectos integrales agropecuarios sostenibles, de Coordinación interinstitucional en investigación, transferencia y adopción tecnológica.</t>
  </si>
  <si>
    <t xml:space="preserve">Apoyo en asesoría y asistencia técnica en la formulación, estructuración e implementación del PLAN DEPARTAMENTAL DE EXTENSION AGROPECUARIA PDEA. </t>
  </si>
  <si>
    <t>Superávit Recurso Ordinario</t>
  </si>
  <si>
    <t>LUIS ALBERTO GOMEZ</t>
  </si>
  <si>
    <t>4.8</t>
  </si>
  <si>
    <t>Servicios de acompañamiento en la implementación de Planes de desarrollo agropecuario y rural</t>
  </si>
  <si>
    <t>Planes de Desarrollo Agropecuario y Rural acompañados</t>
  </si>
  <si>
    <t>Apoyo en asesoría y asistencia técnica en la formulación, estructuración e implementación del PLAN DEPARTAMENTAL DE EXTENSION AGROPECUARIA PDEA.(municipales)</t>
  </si>
  <si>
    <t>4.4</t>
  </si>
  <si>
    <t>Servicio de apoyo para el acceso a maquinaria y equipos</t>
  </si>
  <si>
    <t>Productores beneficiados con acceso a maquinaria y equipo</t>
  </si>
  <si>
    <t>0312 - 5 - 1 2 8 4 14 - 20
0312 - 5 - 1 2 8 4 14 - 88
0312 - 5 - 1 2 8 5 14 - 20
0312 - 5 - 1 2 8 5 14 - 88</t>
  </si>
  <si>
    <t>202000363-0014</t>
  </si>
  <si>
    <t>Implementación de procesos productivos agropecuarios familiares campesinos en busca de la soberanía y seguridad alimentaria en el Departamento del Quindío.</t>
  </si>
  <si>
    <t>Estructurar y ejecutar programas y proyectos integrales agropecuarios y de acompañamiento técnico a los productores en la producción primaria y Transferencia de Tecnológica</t>
  </si>
  <si>
    <t>Formular e implementar proyectos integrales de Desarrollo Tecnológico y/o agro industriales, de dotación de
maquinaria y equipo.
Estructurar y ejecutar proyectos integrales agropecuarios de seguridad y soberanía alimentaria de
transferencia de innovaciones tecnológicas y provisión de metodologías de extensión rural (PDEA y PGAT
municipal) a los productores.
Formular e implementar programas y proyectos integrales de agro industria de extensión y asistencia técnica
agropecuaria, así como el fomento al crédito, a la infraestructura productiva.
Estructurar y ejecutar proyectos integrales agropecuarios que promuevan el acceso a los servicios de
financiamiento y a la gestión de riesgos naturales y de mercado del sector agropecuario y rural.</t>
  </si>
  <si>
    <t xml:space="preserve"> Adquisición de bienes o servicios y/o Convenio de cofinanciación Alianzas productivas; para el Servicio de apoyo para el acceso a maquinaria y equipos</t>
  </si>
  <si>
    <t>4.6</t>
  </si>
  <si>
    <t>Servicio de acompañamiento productivo y empresarial</t>
  </si>
  <si>
    <t>Unidades productivas beneficiadas</t>
  </si>
  <si>
    <t>Prestación de servicios profesionales de apoyo a la gestión para el Acompañamiento productivo y empresarial</t>
  </si>
  <si>
    <t>4.9</t>
  </si>
  <si>
    <t>Servicio de apoyo en la formulación y estructuración de proyectos</t>
  </si>
  <si>
    <t>Proyectos estructurados</t>
  </si>
  <si>
    <t>0312 - 5 - 1 2 13 4 15 - 20
0312 - 5 - 1 2 13 4 15 - 88
0312 - 5 - 1 2 13 10 15 - 20
0312 - 5 - 1 2 13 10 15 - 88</t>
  </si>
  <si>
    <t>202000363-0015</t>
  </si>
  <si>
    <t xml:space="preserve">Implementación de procesos de agro industrialización con calidad e inocuidad en el Departamento del Quindío </t>
  </si>
  <si>
    <t>Formular e implementar programas y proyectos integrales de agroindustria, que permitan el incremento de la productividad y competitividad agropecuaria sostenible</t>
  </si>
  <si>
    <t>Apoyar procesos de Formulación y estructuración de proyectos.
Mejorar los centros logísticos agropecuarios.
Mejorar la Infraestructura de pos cosecha.
Fortalecer y adecuar trapiches paneleros.</t>
  </si>
  <si>
    <t xml:space="preserve">Apoyo en asesoría y asistencia técnica en la formulación, estructuración e implementación de proyectos de AGRO INDUSTRIALIZACIÓN CON CALIDAD E INOCUIDAD  </t>
  </si>
  <si>
    <t>Servicios financieros y gestión del riesgo para las actividades agropecuarias y rurales. "Tú y yo con un campo protegido"</t>
  </si>
  <si>
    <t>5.1</t>
  </si>
  <si>
    <t>Servicio de apoyo a la implementación de mecanismos y herramientas para el conocimiento, reducción y manejo de riesgos agropecuarios</t>
  </si>
  <si>
    <t>Personas beneficiadas</t>
  </si>
  <si>
    <t>Implementación de procesos productivos agropecuarios familiares campesinos en busca de la soberanía y seguridad alimentaria.</t>
  </si>
  <si>
    <t>Estructurar y ejecutar programas y proyectos integrales agropecuarios y de acompañamiento técnico a los productores en la producción primaria y Transferencia de Tecnológica.</t>
  </si>
  <si>
    <t>Prestación de servicios profesionales de apoyo a la gestión para el Acompañamiento productivo, empresarial y riesgos productivos</t>
  </si>
  <si>
    <t>Ordenamiento social y uso productivo del territorio rural. "Tú y yo con un campo planificado"</t>
  </si>
  <si>
    <t>6.1</t>
  </si>
  <si>
    <t>Documentos de lineamientos técnicos</t>
  </si>
  <si>
    <t>Documentos de lineamientos para el ordenamiento social y productivo elaborados</t>
  </si>
  <si>
    <t>0312 - 5 - 1 2 13 6 16 - 20
0312 - 5 - 1 2 13 6 16 - 88</t>
  </si>
  <si>
    <t>202000363-0016</t>
  </si>
  <si>
    <t>Implementación de procesos de ordenamiento productivo y social territorial</t>
  </si>
  <si>
    <t>Formular e implementar procesos agropecuarios integrales, sostenibles, de reconversión productiva acordes con la aptitud, vocación y formalización de la propiedad rural ajustados a los lineamientos del Plan de Ordenamiento Productivo y Social De La Propiedad Rural (POPSPR).</t>
  </si>
  <si>
    <t>Formular e implementar el Plan de Ordenamiento Productivo Y Social De La Propiedad Rural (POPSPR).
Formular e implementar programas y proyectos agropecuarios integrales, sostenibles, de reconversión
productiva.</t>
  </si>
  <si>
    <t xml:space="preserve">Apoyo coordinación puesta en marcha del plan de ordenamiento productivo y social de la propiedad rural </t>
  </si>
  <si>
    <t>6.2</t>
  </si>
  <si>
    <t>Servicio de apoyo para el fomento de la formalidad</t>
  </si>
  <si>
    <t xml:space="preserve">Personas sensibilizadas en la formalización </t>
  </si>
  <si>
    <t xml:space="preserve">Acompañamiento en el proceso de formalización de la propiedad rural </t>
  </si>
  <si>
    <t>Aprovechamiento de mercados externos. "Tú y yo a los mercados internacionales"</t>
  </si>
  <si>
    <t>7.1</t>
  </si>
  <si>
    <t>Servicio de apoyo financiero para la participación en Ferias nacionales e internacionales</t>
  </si>
  <si>
    <t>Participaciones en ferias nacionales e internacionales</t>
  </si>
  <si>
    <t>Sanidad agropecuaria e inocuidad agroalimentaria. "Tú y yo con un agro saludable"</t>
  </si>
  <si>
    <t>8.1</t>
  </si>
  <si>
    <t>Servicio de divulgación y socialización</t>
  </si>
  <si>
    <t>Eventos realizados</t>
  </si>
  <si>
    <t>Implementación de procesos de extensión agropecuaria e inocuidad (estatus sanitario, BPA, BPG) alimentaria.</t>
  </si>
  <si>
    <t xml:space="preserve">Apoyo en asesoría y asistencia técnica en la formulación, estructuración e implementación de proyectos de Sanidad agropecuaria e inocuidad agroalimentaria. </t>
  </si>
  <si>
    <t>Adquisición y suministro de bienes, servicios, equipos, insumos, logística.</t>
  </si>
  <si>
    <t>Ciencia, tecnología e innovación agropecuaria. "Tú y yo con un agro interconectado"</t>
  </si>
  <si>
    <t>9.1</t>
  </si>
  <si>
    <t>Documentos de lineamientos técnicos elaborados</t>
  </si>
  <si>
    <t>0312 - 5 - 1 2 13 9 17 - 20
0312 - 5 - 1 2 13 9 17 - 88</t>
  </si>
  <si>
    <t>202000363-0017</t>
  </si>
  <si>
    <t xml:space="preserve">Implementación de procesos de innovación, ciencia y tecnología agropecuario en el Departamento del Quindío </t>
  </si>
  <si>
    <t>Formular e implementar programas y proyectos integrales agropecuarios sostenibles, de Coordinación interinstitucional en investigación,
transferencia y adopción de tecnologías, que permitan proyectar la educación, la ciencia, la tecnología.</t>
  </si>
  <si>
    <t>Mejorar los procesos de planificación integrales de Desarrollo Tecnológico, agropecuarios y agroindustriales y
de desarrollo rural integral.
Elaborar documentos de lineamientos técnicos.
Apoyar la coordinación interinstitucional en investigación, transferencia y adopción de sistemas de información
tecnológica.</t>
  </si>
  <si>
    <t>Apoyo coordinación puesta en marcha de proyectos de CTI</t>
  </si>
  <si>
    <t>9.2</t>
  </si>
  <si>
    <t>Servicio de información actualizado</t>
  </si>
  <si>
    <t>Sistemas de información actualizados</t>
  </si>
  <si>
    <t xml:space="preserve">Apoyo coordinación puesta en marcha de proyecto de CTI en sistemas de información y comunicación </t>
  </si>
  <si>
    <t>Infraestructura productiva y comercialización. "Tú y yo con agro competitivo"</t>
  </si>
  <si>
    <t>10.1</t>
  </si>
  <si>
    <t>Centros logísticos agropecuarios adecuados</t>
  </si>
  <si>
    <t>0312 - 5 - 1 2 13 10 15 - 88</t>
  </si>
  <si>
    <t>Implementación de procesos de agro industrialización con calidad e inocuidad en el Departamento del Quindío.</t>
  </si>
  <si>
    <t>Adquisición y suministro de equipos, insumos y licencias agroindustriales.</t>
  </si>
  <si>
    <t>JUAN CAMILO  TABARES</t>
  </si>
  <si>
    <t>10.2</t>
  </si>
  <si>
    <t>Infraestructura de pos cosecha adecuada</t>
  </si>
  <si>
    <t xml:space="preserve"> Realización de acciones de diseño, acompañamiento para adecuación de infraestructura de pos cosecha</t>
  </si>
  <si>
    <t>Adquisición y suministro de equipos, insumos y logística agroindustriales de pos cosecha</t>
  </si>
  <si>
    <t xml:space="preserve">Productividad y competitividad de las empresas colombianas. "Tú y yo con empresas competitivas" </t>
  </si>
  <si>
    <t>27.3</t>
  </si>
  <si>
    <t>Servicio de asistencia técnica para emprendedores y/o empresas en edad temprana</t>
  </si>
  <si>
    <t xml:space="preserve">Necesidades empresariales atendidas a partir de emprendimientos </t>
  </si>
  <si>
    <t>Impulsar la competitividad productiva y empresarial  mediante ruedas de negocio</t>
  </si>
  <si>
    <t xml:space="preserve">Apoyo en asesoría y asistencia técnica en la formulación, estructuración e implementación de proyectos de emprendedores y/o empresas en edad temprana. </t>
  </si>
  <si>
    <t>27.2</t>
  </si>
  <si>
    <t>Servicio de asistencia técnica para el desarrollo de iniciativas clústeres</t>
  </si>
  <si>
    <t>Clústeres asistidos en la implementación de los planes de acción</t>
  </si>
  <si>
    <t>Apoyo en asesoría y asistencia técnica en la formulación, estructuración e implementación de proyectos depara el desarrollo de iniciativas clústeres.</t>
  </si>
  <si>
    <t>TERRITORIO, AMBIENTE Y DESARROLLO SOSTENIBLE</t>
  </si>
  <si>
    <t>Fortalecimiento del desempeño ambiental de los sectores productivos. "Tú y yo guardianes de la biodiversidad".</t>
  </si>
  <si>
    <t>20.2</t>
  </si>
  <si>
    <t>Documentos de lineamientos técnicos para mejorar la calidad ambiental de las áreas urbanas</t>
  </si>
  <si>
    <t>Documentos de lineamientos técnicos para para mejorar la calidad ambiental de las áreas urbanas elaborados</t>
  </si>
  <si>
    <t>0312 - 5 - 1 3 10 20 18 - 88</t>
  </si>
  <si>
    <t>202000363-0018</t>
  </si>
  <si>
    <t xml:space="preserve">Fortalecimiento de los procesos de Gestión Ambiental Urbana y Rural para la protección del Paisaje y la Biodiversidad en el Departamento del Quindío </t>
  </si>
  <si>
    <t>Promover estrategias para garantizar la conservación, protección, recuperación y gestión sostenible de la estructura ecológica del Departamento, con énfasis en la conservación y uso del recurso hídrico y la biodiversidad.</t>
  </si>
  <si>
    <t>Elaborar lineamientos técnicos para el mejoramiento de la calidad ambiental en áreas urbanas.
Determinar lineamientos técnicos en calidad ambiental de las áreas urbanas.</t>
  </si>
  <si>
    <t xml:space="preserve"> Apoyo en asesoría y asistencia técnica en la formulación, estructuración e implementación de programas y proyectos de inducción, educación y capacitación</t>
  </si>
  <si>
    <t>Apoyo en asesoría y asistencia técnica en la formulación, estructuración e implementación de Documentos de lineamientos técnicos para para mejorar la calidad ambiental de las áreas urbanas elaborados</t>
  </si>
  <si>
    <t>Conservación de la biodiversidad y sus servicios ecosistémicos. "Tú y yo en territorios biodiversos"</t>
  </si>
  <si>
    <t>21.2</t>
  </si>
  <si>
    <t>Servicio apoyo financiero para la implementación de esquemas de pago por Servicio ambientales</t>
  </si>
  <si>
    <t xml:space="preserve">Esquemas de Pago por Servicio ambientales implementados </t>
  </si>
  <si>
    <t>0312 - 5 - 1 3 10 21 67 - 20
0312 - 5 - 1 3 10 21 67 - 88
0312 - 5 - 3 1 1 1 2 10 67 - 20</t>
  </si>
  <si>
    <t>201663000-0067</t>
  </si>
  <si>
    <t>Gestión integral de cuencas hidrográficas en el Departamento del Quindío.</t>
  </si>
  <si>
    <t>Mantener  de la oferta hídrica promedio anual  de las Unidades de Manejo de Cuenca (UMC) del departamento del Quindío.</t>
  </si>
  <si>
    <t>Realizar y coordinar acciones de  recuperación y mantenimiento del recursos hídrico.</t>
  </si>
  <si>
    <t xml:space="preserve">Apoyo en asesoría y asistencia profesional en la formulación, estructuración e implementación de proyectos para Esquemas de Pago por Servicio ambientales. </t>
  </si>
  <si>
    <t xml:space="preserve">MIGUEL ANGEL MEJIA </t>
  </si>
  <si>
    <t xml:space="preserve">Consolidar el Fondo del Agua del departamento del Quindío  </t>
  </si>
  <si>
    <t>Adquisición y suministro de equipos, insumos y logística para Esquemas de Pago por Servicio ambientales.</t>
  </si>
  <si>
    <t xml:space="preserve">Apoyo en asesoría y asistencia técnica en la formulación, estructuración e implementación de proyectos para Esquemas de Pago por Servicio ambientales. </t>
  </si>
  <si>
    <t>21.4</t>
  </si>
  <si>
    <t>Servicio de recuperación de cuerpos de agua lénticos y lóticos</t>
  </si>
  <si>
    <t>Bosque ripario recuperado</t>
  </si>
  <si>
    <t>0312 - 5 - 1 3 10 21 68 - 20
0312 - 5 - 1 3 10 21 68 - 88
0312 - 5 - 3 1 1 1 3 10 68 - 20</t>
  </si>
  <si>
    <t>201663000-0068</t>
  </si>
  <si>
    <t>Aplicación de mecanismos de protección ambiental en el Departamento del Quindío.</t>
  </si>
  <si>
    <t xml:space="preserve">Mantener  de la oferta hídrica promedio anual  de las Unidades de Manejo de Cuenca (UMC) del departamento del Quindío 
</t>
  </si>
  <si>
    <t>Potencializar  el Sistema Departamental y municipal de áreas protegidas.</t>
  </si>
  <si>
    <t>Vigilancia, control y seguimiento a las áreas de protección</t>
  </si>
  <si>
    <t>MIGUEL ANGEL MEJIA</t>
  </si>
  <si>
    <t>21.7</t>
  </si>
  <si>
    <t>Adquisición, Mantenimiento y Administración de áreas de importancia estratégica para la conservación y regulación del recurso hídrico.</t>
  </si>
  <si>
    <t xml:space="preserve">Numero de Hectáreas intervenidas </t>
  </si>
  <si>
    <t>Apoyo en asesoría y asistencia técnica en la formulación, estructuración e implementación de proyectos Administración de áreas de importancia estratégica para la conservación y regulación del recurso hídrico.</t>
  </si>
  <si>
    <t>Apoyo en asesoría y asistencia técnica en la formulación, estructuración e implementación de proyectos jurídicos y administrativos de los procesos de gestión de áreas de importancia estratégica para la conservación y regulación del recurso hídrico.</t>
  </si>
  <si>
    <t>Apoyo en la operativización e implementación de proyectos de mantenimiento y administración de áreas de importancia estratégica para la conservación y regulación del recurso hídrico.</t>
  </si>
  <si>
    <t>21.5</t>
  </si>
  <si>
    <t xml:space="preserve">Estrategia  Departamental para la protección y bienestar de los animales domésticos y silvestres del Departamento </t>
  </si>
  <si>
    <t>Estrategia  para la protección y bienestar de los animales domésticos y silvestres adoptada</t>
  </si>
  <si>
    <t>0312 - 5 - 1 3 10 21 19 - 88</t>
  </si>
  <si>
    <t>202000363-0019</t>
  </si>
  <si>
    <t>Apoyo a la generación de entornos  amigables para nuestros animales en el departamento del Quindío.</t>
  </si>
  <si>
    <t>Implementar estrategias Departamentales para la protección y bienestar de los animales domésticos y silvestres</t>
  </si>
  <si>
    <t>Fortalecer el acompañamiento Departamental en Campañas para la fauna silvestre y Domestica.
Apoyar en asesoría y asistencia técnica en la formulación, estructuración e implementación de Estrategia para la protección y bienestar de los animales domésticos y silvestres.</t>
  </si>
  <si>
    <t>Apoyo en asesoría y asistencia técnica en la formulación, estructuración e implementación de Estrategia para la protección y bienestar de los animales domésticos y silvestres adoptada</t>
  </si>
  <si>
    <t>Apoyo en asesoría y asistencia técnica en la operativización de las campañas de fauna silvestre y domestica</t>
  </si>
  <si>
    <t>21.6</t>
  </si>
  <si>
    <t>Realizar  campaña  de sensibilización y apropiación del patrimonio ambiental en el departamento</t>
  </si>
  <si>
    <t>Campaña  de sensibilización y apropiación del patrimonio ambiental realizada</t>
  </si>
  <si>
    <t>0312 - 5 - 1 3 10 21 69 - 20
0312 - 5 - 1 3 10 21 69 - 88
0312 - 5 - 1 3 10 23 69 - 20
0312 - 5 - 1 3 10 23 69 - 88
0312 - 5 - 3 1 1 1 3 10 69 - 20</t>
  </si>
  <si>
    <t>201663000-0069</t>
  </si>
  <si>
    <t>Fortalecimiento  y potencialización de los servicios ecosistémicos en el Departamento del Quindío.</t>
  </si>
  <si>
    <t xml:space="preserve">Disminuir en la presión por cargas contaminantes, medida por el Índice de Alteración Potencial de la Calidad del Agua </t>
  </si>
  <si>
    <t xml:space="preserve">Mejorar en la calidad del agua en los sistemas hídricos  </t>
  </si>
  <si>
    <t>Desarrollar estrategias de educación ambiental para el desarrollo sostenible</t>
  </si>
  <si>
    <t>prestación de servicio de apoyo a la gestión para los procesos de educación y apropiación del patrimonio ambiental</t>
  </si>
  <si>
    <t>Adquisición de material para la difusión, educación y capacitación.</t>
  </si>
  <si>
    <t>Gestión de la información y el conocimiento ambiental. "Tú y yo conscientes con la naturaleza"</t>
  </si>
  <si>
    <t>22.1</t>
  </si>
  <si>
    <t>Servicio de apoyo financiero a emprendimientos</t>
  </si>
  <si>
    <t xml:space="preserve">Emprendimientos apoyados </t>
  </si>
  <si>
    <t>0312 - 5 - 1 3 10 22 20 - 88</t>
  </si>
  <si>
    <t>202000363-0020</t>
  </si>
  <si>
    <t xml:space="preserve">Apoyo a nuevos modelos de vida sostenibles, sustentables y eficientes en el suelo rural y urbano en el Departamento del Quindío. </t>
  </si>
  <si>
    <t>Apoyar competencias administrativas, organizacionales, mercados, extensión, planes de negocio, coordinación interinstitucional en proyectos con prácticas sostenibles asociadas a producción limpia, la agricultura orgánica y la ganadería sostenible.</t>
  </si>
  <si>
    <t xml:space="preserve">Formular e implementar Proyectos integrales de emprendimientos verdes de las organizaciones de los productores, mediante acciones de capacitación, acompañamiento, asesoría, y seguimiento en competencias administrativas, organizacionales, mercados, planes de negocio, coordinación interinstitucional.
Formular e implementar Proyectos para el fomento de la cultura de asociatividad, que permitan consolidar procesos de autogestión, perspectiva de género, étnico y relevo generacional y sostenibilidad organizacional.
Gestionar y fortalecer una red de Estaciones meteorológicas que permita a las instituciones del departamento tener información en tiempo real sobre la variabilidad climática en el Quindío y generar una respuesta temprana a los eventos que se presente en las diferentes áreas vulnerables.
Gestionar la articulación de la red de Estaciones meteorológicas agroambientales del Quindío, que permita tener información sobre la variabilidad climática en el Quindío.
</t>
  </si>
  <si>
    <t>Apoyo en asesoría y asistencia técnica en la identificación, formulación e implementación de proyectos de Emprendimientos Verdes.</t>
  </si>
  <si>
    <t>Suministro de bienes y servicios para el Apoyo en la implementación de proyectos de Emprendimientos Verdes.</t>
  </si>
  <si>
    <t>Ordenamiento Ambiental Territorial. "Tú y yo planificamos con sentido ambiental"</t>
  </si>
  <si>
    <t>23.3</t>
  </si>
  <si>
    <t>Obras para estabilización de taludes</t>
  </si>
  <si>
    <t>Obras para estabilización de taludes realizadas</t>
  </si>
  <si>
    <t>Acciones orientadas a estabilizar los taludes cuando la obra se ve afectadas por fallas o movimientos de tierra.</t>
  </si>
  <si>
    <t>Estructuración  de proyectos de Obras para estabilización de taludes.(bioingeniería)</t>
  </si>
  <si>
    <t>Gestión del cambio climático para un desarrollo bajo en carbono y resiliente al clima. "Tú y yo preparados para el cambio climático"</t>
  </si>
  <si>
    <t>24.2</t>
  </si>
  <si>
    <t>Servicio de producción de plántulas en viveros</t>
  </si>
  <si>
    <t>Plántulas producidas</t>
  </si>
  <si>
    <t>0312 - 5 - 1 3 10 24 21 - 88</t>
  </si>
  <si>
    <t>202000363-0021</t>
  </si>
  <si>
    <t>Implementación de acciones de Gestión del Cambio Climático en el marco del PIGCC.</t>
  </si>
  <si>
    <t>Promover y desarrollar estrategias que garanticen la conservación, protección, recuperación y gestión sostenible de la estructura ecológica
del Departamento, con énfasis en la conservación y uso del recurso hídrico y la biodiversidad</t>
  </si>
  <si>
    <t>Apoyar a las iniciativas de educación, restauración y recuperación ecológica en diferentes áreas del departamento.</t>
  </si>
  <si>
    <t>Adelantar los estudios y diseños necesarios para la instalación y puesta en marcha de un vivero de especies nativas</t>
  </si>
  <si>
    <t>JULIO CÉSAR CORTÉS PULIDO</t>
  </si>
  <si>
    <t>Secretario de Agricultura, Desarrollo Rural y Medio Ambiente</t>
  </si>
  <si>
    <t>CODIGO INTERNO DE LA META</t>
  </si>
  <si>
    <t>META FISICA</t>
  </si>
  <si>
    <t>ACTIVIDADES</t>
  </si>
  <si>
    <t>PRESUPUESTO</t>
  </si>
  <si>
    <t>INCLUSION SOCIAL Y EQUIDAD</t>
  </si>
  <si>
    <t>Fomento a la recreación, la actividad física y el deporte. "Tú y yo en la recreación y el deporte"</t>
  </si>
  <si>
    <t>PENDIENTE DNP</t>
  </si>
  <si>
    <t xml:space="preserve">Infraestructura  deportiva y/o recreativa con procesos   Constructivos ,  y/o Mejorados, y/o Ampliados, y/o Mantenidos, Y/o  Reforzados </t>
  </si>
  <si>
    <t xml:space="preserve">Infraestructura   deportiva y/o recreativa construída y/o Mejorada, y/o Ampliada, y/o Mantenida, Y/o  Reforzada </t>
  </si>
  <si>
    <t xml:space="preserve">0211101_4
</t>
  </si>
  <si>
    <t>201663000-0171</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</si>
  <si>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</si>
  <si>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</si>
  <si>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Desarrollo de Programas y Proyectos, en los componentes de vivienda, infraestructura, equipamiento colectivo y comunitario.</t>
  </si>
  <si>
    <t>Construcción, mejoramiento y/o rehabilitación de la infraestructura de escenarios deportivos y/o recreativos.</t>
  </si>
  <si>
    <t>Estampilla Prodesarrollo</t>
  </si>
  <si>
    <t>CPS - 78
MO - 2
COMPRAVENTA - 2
CONSULTORIA - 4
SUMINISTRO - 4
OBRA - 2</t>
  </si>
  <si>
    <t xml:space="preserve">EPD 15%
</t>
  </si>
  <si>
    <t>PABLO CESAR HERRERA CORREA 
CLAUDIA ANDREA LONDOÑO CELIS</t>
  </si>
  <si>
    <t>Gerente</t>
  </si>
  <si>
    <t>Calidad, cobertura y fortalecimiento de la educación inicial, prescolar, básica y media." Tú y yo con educación y de calidad"</t>
  </si>
  <si>
    <t xml:space="preserve">Infraestructura  de Instituciones Educativas  con procesos   Constructivos ,  y/o Mejorados, y/o Ampliados, y/o Mantenidos, Y/o  Reforzados </t>
  </si>
  <si>
    <t xml:space="preserve">Infraestructura  de Instituciones Educativas   construída y/o Mejorada, y/o Ampliada, y/o Mantenida, Y/o  Reforzada </t>
  </si>
  <si>
    <t>0211101_4
0211102_3</t>
  </si>
  <si>
    <t>Mantener, mejorar y/o rehabilitar la Infraestructura instituciones educativas en el departamento del Quindío.</t>
  </si>
  <si>
    <t>Impuesto al Registro 6%</t>
  </si>
  <si>
    <t>IMPUESTO AL REGISTRO</t>
  </si>
  <si>
    <t xml:space="preserve"> TERRITORIO, AMBIENTE Y DESARROLLO SOSTENIBLE</t>
  </si>
  <si>
    <t>Infraestructura red vial regional. "Tú y yo con movilidad vial"</t>
  </si>
  <si>
    <t>Infraestructura   vial  con procesos  de construcción, mejoramiento, ampliación, mantenimiento y/o  Reforzamiento.</t>
  </si>
  <si>
    <t>Infraestructura vial construida, mejorada, ampliada, mantenida, y/o reforzada.</t>
  </si>
  <si>
    <t>0211102_3</t>
  </si>
  <si>
    <t>Mantener, mejorar y/o rehabilitar la infraestructura y vial del departamento</t>
  </si>
  <si>
    <t>Acceso a soluciones de vivienda. "Tú y yo con vivienda digna"</t>
  </si>
  <si>
    <t>4001001</t>
  </si>
  <si>
    <t xml:space="preserve">Servicio de asistencia técnica y jurídica en saneamiento y titulación de predios </t>
  </si>
  <si>
    <t>Entidades territoriales asistidas técnica y jurídicamente</t>
  </si>
  <si>
    <t>Asistencia técnica y jurídica a entidades territoriales en saneamiento, titulación de predios y formulacio de proyectos</t>
  </si>
  <si>
    <t>4001014</t>
  </si>
  <si>
    <t xml:space="preserve">Viviendas de Interés Prioritario urbanas costruidas </t>
  </si>
  <si>
    <t>Viviendas de Interés Prioritario urbanas construidas</t>
  </si>
  <si>
    <t>Mejoramiento y/o construcción de vivienda urbana y rural.</t>
  </si>
  <si>
    <t>4001015</t>
  </si>
  <si>
    <t xml:space="preserve">Viviendas de Interés Prioritario urbanas mejoradas </t>
  </si>
  <si>
    <t>Viviendas de Interés Prioritario urbanas mejoradas</t>
  </si>
  <si>
    <t>4001030</t>
  </si>
  <si>
    <t>Estudios de pre inversión e inversión</t>
  </si>
  <si>
    <t xml:space="preserve">Estudios o diseños realizados </t>
  </si>
  <si>
    <t>Estudios y diseños para la extructuracion de proyectos</t>
  </si>
  <si>
    <t xml:space="preserve">Infraestructura Institucional de Edificios Públicos de atención de servicios ciudadanos con procesos Costructivos, y/o Mejorados, y/o Ampliados, y/o Mantenidos y/o Reforzados </t>
  </si>
  <si>
    <t>Infraestructura  Institucional o Edificios Públicos   construida y/o Mejorada, y/o Ampliada, y/o Mantenida, Y/o  Reforzada</t>
  </si>
  <si>
    <t>Construcción, mantenimiento, mejoramiento y/o la rehabilitación de la infraestructura de equipamientos públicos y colectivos.</t>
  </si>
  <si>
    <t>SEGUIMIENTO PLAN DE ACCIÓN
IDTQ
DICIEMBRE   31 DE   2020</t>
  </si>
  <si>
    <t>Edad Económicamente Activ (20-59 años)</t>
  </si>
  <si>
    <t>Seguridad de Transporte. "Tú y yo seguros en la vía"</t>
  </si>
  <si>
    <t>Formular e Implementar una estrategia de movilidad saludable, segura y sostenible.</t>
  </si>
  <si>
    <t xml:space="preserve">Estrategia de movilidad saludable, segura y sostenible  formulada e implementada </t>
  </si>
  <si>
    <t>SEGURIDAD DE TRANSPORTE. TU Y YO SEGUROS EN LA VIA</t>
  </si>
  <si>
    <t>Fortalecimiento de la seguridad vial  en el Departamento del Quindío</t>
  </si>
  <si>
    <t xml:space="preserve">Disminuir el número de lesiones fatales por siniestros de tránsito, a través de la implementación de estrategias que permitan mejorar las condiciones de seguridad en las vías de los municipios de jurisdicción del Instituto Departamental de Tránsito del Quindío.
</t>
  </si>
  <si>
    <t>Disminuir los riesgos de accidentes en las vias mediante la formulación e implementación de planes y programas de seguridad vial para el mejoramiento de las ocndiciones de vida de la población en la jurisdicción del I.D.T.Q</t>
  </si>
  <si>
    <t xml:space="preserve">Estrategia de movilidad saludable, segura y sostenible   implementada </t>
  </si>
  <si>
    <t>24010101</t>
  </si>
  <si>
    <t>Propios</t>
  </si>
  <si>
    <t>Raul Augusto Perez Ospina</t>
  </si>
  <si>
    <t>Debbie Duque Burgos</t>
  </si>
  <si>
    <t>19.2</t>
  </si>
  <si>
    <t>Formular e Implementar un programa de formación en normas de tránsito y fomento de cultura  de la seguridad en la vía.</t>
  </si>
  <si>
    <t>Programa de formación cultural  de la seguridad en la vía formulado e implementado.</t>
  </si>
  <si>
    <t>Implementación del Programa "Tu y yo por la seguridad vial", en el Departamento del Quindio.</t>
  </si>
  <si>
    <t>Programa de formación cultural  de la seguridad en la vía implementado.</t>
  </si>
  <si>
    <t>19.3</t>
  </si>
  <si>
    <t>Formular e Implementar un programa de control, prevención y atención del tránsito y el transporte en los municipios y vías de jurisdicción del IDTQ.</t>
  </si>
  <si>
    <t>Programa de control y atención del tránsito y el transporte formulado e implementado</t>
  </si>
  <si>
    <t>Programa de control y atención del tránsito y el transporte implementado</t>
  </si>
  <si>
    <t>19.4</t>
  </si>
  <si>
    <t>Diseñar e Implementar un programa de señalización y demarcación en los municipios y vías de jurisdicción del IDTQ.</t>
  </si>
  <si>
    <t>Programa de Señalización y demarcación en los municipios y vías de jurisdicción del IDTQ diseñado e Implementado</t>
  </si>
  <si>
    <t>Programa de Señalización y Demarcación en los municipios y vías de jurisdicción del IDTQ Implementado</t>
  </si>
  <si>
    <t>DEBBIE DUQUE BURGOS</t>
  </si>
  <si>
    <t>Directora Instituto Departamental de Tránsito del Quindío (IDTQ)</t>
  </si>
  <si>
    <t>SEGUIMIENTO PLAN DE ACCIÓN
SECRETARIA DE FAMILIA
DICIEMBRE  31   DE   2020</t>
  </si>
  <si>
    <t>CODIGO INTERNA
META</t>
  </si>
  <si>
    <t>INCLUSION SOCIAL</t>
  </si>
  <si>
    <t>Salud Pública, "Tú y yo con salud de calidad"</t>
  </si>
  <si>
    <t>1905021</t>
  </si>
  <si>
    <t xml:space="preserve">Servicio de gestión del riesgo en temas de salud sexual y reproductiva </t>
  </si>
  <si>
    <t>Campañas de gestión del riesgo en temas de salud sexual y reproductiva implementadas.</t>
  </si>
  <si>
    <t>0316 - 5 - 1 1 2 12 25 - 20
0316 - 5 - 1 1 2 12 25 - 88</t>
  </si>
  <si>
    <t>202000363-0025</t>
  </si>
  <si>
    <t>Diseño e implementación de campañas para la promoción de la vida y prevención del consumo de sustancias psicoactivas "TU Y YO UNIDOS POR LA VIDA".</t>
  </si>
  <si>
    <t>Fomentar hábitos de vida saludable y derechos sexuales y reproductivos</t>
  </si>
  <si>
    <t>*Campañas de prevención y promoción orientadas a la salud sexual y reproductiva y la salud mental
*Fomento de estrategias de prevención y mitigación del consumo de SPA</t>
  </si>
  <si>
    <t xml:space="preserve">Diseñar e implementar una estrategia de prevención del riesgo y promoción de la salud sexual y reproductiva con enfoque diferencial </t>
  </si>
  <si>
    <t>20-88</t>
  </si>
  <si>
    <t>Directora de Desarrollo Humano y Familia - Leidy Jaramillo Santofimio</t>
  </si>
  <si>
    <t xml:space="preserve">Secretaría de Familia </t>
  </si>
  <si>
    <t>Diseñar e implementar campañas de promoción de la salud mental y arraigo por la vida</t>
  </si>
  <si>
    <t>Alianzas intersectoriales para la prevención y promoción de la salud sexual y reproductiva y salud mental</t>
  </si>
  <si>
    <t>Superavit recurso ordinario</t>
  </si>
  <si>
    <t>Servicio de gestión del riesgo en temas de trastornos mentales</t>
  </si>
  <si>
    <t>Campañas de gestión del riesgo en temas de trastornos mentales implementadas</t>
  </si>
  <si>
    <t>Diseño, implementación y seguimiento de una estrategia de prevencion y mitigación del consumo de SPA en el departamento del Quindío</t>
  </si>
  <si>
    <t>Consolidación de redes de apoyo para la prevención y/o mitigación de consumo de SPA</t>
  </si>
  <si>
    <t>Pendón,plegables. Folletos, manillas, cartillas, etc</t>
  </si>
  <si>
    <t>Refrigerios, logística y sonido</t>
  </si>
  <si>
    <t>Promoción y acceso efectivo a procesos culturales y artísticos. "Tú y yo somos cultura Quindiana"</t>
  </si>
  <si>
    <t>Servicio de educación informal al sector artístico y cultural</t>
  </si>
  <si>
    <t>Capacitaciones de educación informal realizadas</t>
  </si>
  <si>
    <t>0316 - 5 - 1 1 5 25 110 - 20
0316 - 5 - 1 1 14 36 110 - 20
0316 - 5 - 1 1 14 37 110 - 88
0316 - 5 - 3 1 3 17 60 14 110 - 20</t>
  </si>
  <si>
    <t>201663000-0110</t>
  </si>
  <si>
    <t>Desarrollo de acciones encaminadas a la atención integral  de los adolescentes y jóvenes del Departamento del Quindío</t>
  </si>
  <si>
    <t>Desarrollar procesos efectivos de atención, generación de impacto, oferta pública y garantía de derechos.</t>
  </si>
  <si>
    <t>Alta articulación entre los entes gubernamentales y privados para realizar el seguimiento de la matriz de planificación de la política pública de juventud del depto.</t>
  </si>
  <si>
    <t>Articulación interinstitucional para el uso del arte, la cultura, el deporte y la recreación como instrumentos de promoción y prevención</t>
  </si>
  <si>
    <t>Jefe Oficina de Juventud- Manuel Paitño Buitrago</t>
  </si>
  <si>
    <t xml:space="preserve">Apoyo y seguimiento a los indicadores de cumplimiento del plan de accion de la politica publica de juventud </t>
  </si>
  <si>
    <t xml:space="preserve">Capacitaciones, socialización y conformación de espacios de participación juvenil </t>
  </si>
  <si>
    <t>Desarrollo de acciones dispuestas a la implementacion de la politica de juventud, en los componentes de responsabilidad de la oficina de juventud</t>
  </si>
  <si>
    <t>Realizar actividades de prevención para adolescentes y jóvenes en riesgo social y/o vinculados a la Ley de responsabilidad  penal</t>
  </si>
  <si>
    <t>Apoyo y seguimientoa los procesos de coordinación del sistema de responsabilidad penal</t>
  </si>
  <si>
    <t>Desarrollo Integral de Niños, Niñas, Adolescentes y sus Familias. "Tú y yo niños, niñas y adolescentes con desarrollo integral"</t>
  </si>
  <si>
    <t xml:space="preserve">Diseñar e implementar un Modelo de atención integral en entornos protectores para la primera infancia </t>
  </si>
  <si>
    <t>Modelo de atención integral de entornos protectores implementado</t>
  </si>
  <si>
    <t>0316 - 5 - 1 1 14 36 102 - 20
0316 - 5 - 1 1 14 36 102 - 88
0316 - 5 - 3 1 3 16 56 14 102 - 20</t>
  </si>
  <si>
    <t>201663000-0102</t>
  </si>
  <si>
    <t>Implementación de un modelo de atención integral a niños y niñas en entornos protectores en el Departamento del Quindìo</t>
  </si>
  <si>
    <t>Atención integral a los niños, niñas de primera infancia desde la gestación hasta los 4 años y 11 meses con un modelo integral y diferencial, que permita mejorar sus condiciones de vida.</t>
  </si>
  <si>
    <t>Incrementar los índices de apoyo y acompañamiento en el desarrollo infantil en  ambientes familiares y grupales,  alimentación adecuada y seguimiento al desarrollo.
Mejorar el acompañamiento en el desarrollo gestacional y  complemento nutricional, pautas de crianza y desarrollo infantil</t>
  </si>
  <si>
    <t>Adopción de Modelo de Atención a Madres Gestantes y Desarrollo Infantil en ambientes familiares y grupales</t>
  </si>
  <si>
    <t>Jefe Oficina de Familia - María Isabel Arango Valencia</t>
  </si>
  <si>
    <t xml:space="preserve">Recurso Ordinario
</t>
  </si>
  <si>
    <t>Seguimiento y evaluación del Modelo de Atención a Madres Gestantes y Desarrollo Infantil en ambientes familiares y grupales</t>
  </si>
  <si>
    <t xml:space="preserve">Implementar y realizar seguimiento a las Rutas Integrales de Atención </t>
  </si>
  <si>
    <t xml:space="preserve">Numero de rutas integrales de atención  a la  primera infancia implementadas y con seguimiento </t>
  </si>
  <si>
    <t>Seguimiento a las 6 rutas implementadas en los municipios priorizados por la nación (Armenia, Buenavista, Circasia, Pijao, Quimbaya y La Tebaida)</t>
  </si>
  <si>
    <t xml:space="preserve">Apoyar la socialización de las rutas integrales de atención, en marco de los comites y consejos que así lo requieran, del orden Departamental y municipal. </t>
  </si>
  <si>
    <t>Apoyo en el seguimiento de la Implemantación de la ruta integral de  atención departamental.</t>
  </si>
  <si>
    <t>Prestar asistencia técnica a las Rutas Implementadas en los Municipios, para la adecuada implementación de las RIAS.</t>
  </si>
  <si>
    <t>Consolidar redes familiares, sociales, comunitarias e institucionales para la protección de la infancia.</t>
  </si>
  <si>
    <t>Formación de formadores para la adecuada implementación de las redes protectoras para niños y niñas de la primera infancia.</t>
  </si>
  <si>
    <t>Monitoreo y evaluación de las redes familiares, sociales, comunitarias e institucionales consolidadas</t>
  </si>
  <si>
    <t>36.8</t>
  </si>
  <si>
    <t xml:space="preserve">Implementar la  Política Pública para la Protección, el Fortalecimiento y el Desarrollo Integral de la Familia Quindiana </t>
  </si>
  <si>
    <t>Política Pública de Familia  implementada</t>
  </si>
  <si>
    <t>0316 - 5 - 1 1 16 36 103 - 20
0316 - 5 - 1 1 16 36 103 - 88
0316 - 5 - 3 1 3 17 58 14 103 - 20</t>
  </si>
  <si>
    <t>201663000-0103</t>
  </si>
  <si>
    <t>Formulación e implementación de  la politica pública  de la familia en el departamento del Quindío.</t>
  </si>
  <si>
    <t>Implementar la política pública que garantice los derechos de las familias del departamento del Quindío.</t>
  </si>
  <si>
    <t xml:space="preserve">Aumentar espacios de atención, formación y reflexión, orientados al fortalecimiento de los entornos familiares, sociales y educativos.
Alto grado de tolerancia ante la diversidad de pensamientos y comportamientos al interior de las familias </t>
  </si>
  <si>
    <t>Apoyar con el seguimiento al Plan de Acción de la Politica Publica  de Familia</t>
  </si>
  <si>
    <t>Apoyar con el seguimiento,  monitoreo y evaluación de la política publica de familia</t>
  </si>
  <si>
    <t xml:space="preserve">Diseñar y desarrollar estrategias, programas y/o proyectos para la protección y fortalecimiento de las familias del departamento </t>
  </si>
  <si>
    <t>Logistica operativa, Transporte sonido, refrigerios, Publicidad, Volantes, pendones, afiches, manillas, etc.</t>
  </si>
  <si>
    <t>Desarrollar estrategias, programas y/o proyectos que promuevan la garantía de derechos de las familias del departamento y fomenten la prevención de riesgo, a través de mejorar las conductas al interior de las mismas</t>
  </si>
  <si>
    <t>Apoyo  al  seguimiento de  la  ejecución presupuestal  de los recursos destinados   a la  política pública de familia</t>
  </si>
  <si>
    <t>Apoyo y acompañamiento jurídico en el marco de la implementación de la política publica de familia</t>
  </si>
  <si>
    <t>Realizar acciones tendientes a la implementación de la político publica de familia</t>
  </si>
  <si>
    <t>Revisar, ajustar e implementar  la Política Pública de Primera Infancia, Infancia y Adolescencia</t>
  </si>
  <si>
    <t xml:space="preserve">Política Pública de Primera Infancia, Infancia y Adolescencia, revisada, ajustada e implementada. </t>
  </si>
  <si>
    <t>0316 - 5 - 1 1 14 36 109 - 20
0316 - 5 - 1 1 14 36 109 - 88
0316 - 5 - 3 1 3 17 59 14 109 - 20</t>
  </si>
  <si>
    <t>201663000-0109</t>
  </si>
  <si>
    <t>Implementación de la política de primera infancia, infancia y adolescencia en el Departamento del Quindío</t>
  </si>
  <si>
    <t xml:space="preserve">Implementar la política pública que garantice los derechos de los niños, niñas y adolescentes del depto. del Quindío. </t>
  </si>
  <si>
    <t>Eficiencia en la articulación Interinstitucional que garantice un seguimiento efectivo del cumplimiento del plan de acción de la política publica de infancia y adolescencia</t>
  </si>
  <si>
    <t>Revisar y reformular  la Politica Publica  de primera infancia, infancia y adolescencia del departamento</t>
  </si>
  <si>
    <t>Apoyar con el seguimiento al Plan de Acción de la Politica Publica  de primera infancia, infancia y adolescencia del departamento</t>
  </si>
  <si>
    <t>Apoyo en los espacios de participación tales como: Consejo de Politica Social, Comite Departamental e Interinstitucional  para la Primera Infancia, Infancia y Adolescencia y Familia, CIETI, Mesa de Paticipación de NiÑos, Niñas y Adolescentes</t>
  </si>
  <si>
    <t>Apoyo a programas que conlleven a la  implementación de la Politica publica de primera infancia, infancia y adolescencia en el Departamento del Quindio</t>
  </si>
  <si>
    <t>Brindar asistencia tecnica a los municipios del departamento, que así lo requieran en temas relacionados con el seguimiento e implementación de la politica publica de primera infancia, infancia y adolescencia del departamento</t>
  </si>
  <si>
    <t>Logistica operativa, sonido, refrigerios, Publicidad, Volantes, pendones, afiches, manillas, etc.</t>
  </si>
  <si>
    <t>Apoyo al Comite de  Primera Infancia, Infancia y Adolescencia y al Consejo de Politica Social</t>
  </si>
  <si>
    <t>Apoyo en la revisión juridica en los temas relacionados con la implementacion de la politica publica de primera infancia, infancia y adolescencia del departamento</t>
  </si>
  <si>
    <t>Apoyar la Implementación de una estrategia de prevencion de embarazos y segundos embarazos a temprana edad</t>
  </si>
  <si>
    <t>Realizar jornadas pedagogicas de prevencion en las Instituciones educativas del depto</t>
  </si>
  <si>
    <t>Apoyar la articulación intersectorial, a través de mesas de trabajo en pro de la prevencion de los embarazos en adolescentes y segundos embarazos a temprana edad.</t>
  </si>
  <si>
    <t>Apoyar la implementación de una  estrategia  de prevención y atención de la erradicación del abuso, explotación sexual comercial, trabajo infantil y peores formas de trabajo, y actividades delictivas</t>
  </si>
  <si>
    <t>Apoyar la implementación del Plan integral de prevención y erradicación del trabajo infantil "PIPETI", las peores formas de trabajo y apoyar al CIETI</t>
  </si>
  <si>
    <t xml:space="preserve">Implementar  la Política Pública de Juventud </t>
  </si>
  <si>
    <t>Política Pública de Juventud implementada</t>
  </si>
  <si>
    <t>Revisión, ajuste e implementación de la Política Pública de Juventud</t>
  </si>
  <si>
    <t xml:space="preserve">Seguimiento a los indicadores de cumplimiento del plan de accion de la politica publica de juventud </t>
  </si>
  <si>
    <t>Fomento y fortalecimiento de organizaciones de base social para la participación y empoderamiento juvenil</t>
  </si>
  <si>
    <t xml:space="preserve">Dinamización de espacios para la participación juvenil </t>
  </si>
  <si>
    <t>ADQUISICION DE BIENES Y SERVICIOS: Logistica operativa,  refrigerios, sonido, ferreteria, etc</t>
  </si>
  <si>
    <t>Volantes, pendones, afiches, manillas, etc.</t>
  </si>
  <si>
    <t>Rutas integrales de atención en violencia intrafamiliar y  violencia de género</t>
  </si>
  <si>
    <t>Capacitación en activación de las Rutas Integrales de Atención en Violencia Intrafamiliar y de Género, a trabajadores de Supermercados y Tenderos de los Municipios realizadas</t>
  </si>
  <si>
    <t>0316 - 5 - 1 1 18 36 26 - 88
0316 - 5 - 1 1 18 37 26 - 88</t>
  </si>
  <si>
    <t>202000363-0026</t>
  </si>
  <si>
    <t>Diseño e implementación de programa de acompañamiento familiar y comunitario con enfoque preventivo en los tipos de violencias en el Departamento del Quindío. "TU Y YO COMPROMETIDOS CON LA FAMILIA"</t>
  </si>
  <si>
    <t>Fortalecer la convivencia del entorno familiar y social en el Departamento del Quindío</t>
  </si>
  <si>
    <t>*Socialización, promoción e implementación, de las rutas integrales de atención en violencia intrafamiliar y de género en el departamento del quindío
*Implementación de un programa de acompañamiento familiar para fortalecer vinculos familiares</t>
  </si>
  <si>
    <t>Articulación con Gremios (comerciantes y taxistas) para la socialización, promoción e implementación de las Rutas Integrales de Atención en Violencia Intrafamilair y de Género</t>
  </si>
  <si>
    <t xml:space="preserve">Socialización y promoción de Rutas Integrales de Atención en Violencia Intrafamiliar y de Género </t>
  </si>
  <si>
    <t>Servicio de divulgación para la promoción y prevención de los derechos de los niños, niñas y adolescentes</t>
  </si>
  <si>
    <t xml:space="preserve">Eventos de divulgación realizados </t>
  </si>
  <si>
    <t>0316 - 5 - 1 1 14 36 27 - 20
0316 - 5 - 1 1 14 36 27 - 88
0316 - 5 - 1 2 14 29 27 - 88</t>
  </si>
  <si>
    <t>202000363-0027</t>
  </si>
  <si>
    <t>Diseño e implementación de programa comunitario para la prevención de los derechos de Niños, Niñas y Adolescentes y su desarrollo integral. "TU Y YO COMPROMETIDOS CON LOS SUEÑOS".</t>
  </si>
  <si>
    <t>Promover y proteger los derechos de los niños, niñas y adolescentes  y prevenir su vulneración</t>
  </si>
  <si>
    <t>*Fomento de estrategias y acciones de  promoción y prevención
*Desarrollo de programas para la garantía de derechos de los nna
*Estrategias de protección para  los NN implementadas</t>
  </si>
  <si>
    <t>Diseño de estrategia para la protección de los NN</t>
  </si>
  <si>
    <t>Articulación interinstitucional para el desarrollo de la estrategia para la protección de los NN</t>
  </si>
  <si>
    <t>Dotación de espacios socialmente no convencionales: tiempos no convencionales</t>
  </si>
  <si>
    <t xml:space="preserve">Implementación de estrategia de protección para los NN </t>
  </si>
  <si>
    <t>Articulación interinstitucional para la garantía de Derechos de NNA</t>
  </si>
  <si>
    <t>Recurs Ordinario</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</si>
  <si>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</si>
  <si>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</si>
  <si>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0316 - 5 - 1 1 18 36 28 - 88</t>
  </si>
  <si>
    <t>202000363-0028</t>
  </si>
  <si>
    <t>Atención Post egreso de adolescentes y jóvenes, en los servicios de restablecimiento en la administración de justicia, con enfoque pedagógico y restaurativo encaminados a la inclusión social del Departamento del Quindío .</t>
  </si>
  <si>
    <t>Prevenir el delito, fomentar la inclusión de adolescentes egresados del SRPA y evitar la reincidencia</t>
  </si>
  <si>
    <t xml:space="preserve">*Estrategias para la prevención del delito adolescente.
*Acciones orientadas a la promoción de egresos exitosos e inclusión de  jóvenes del SRPA 
*Procesos post egreso enfocados en la prevención de la reincidencia </t>
  </si>
  <si>
    <t>Canalizar oferta público-privada para la inclusión de adolescentes egresados del SRPA</t>
  </si>
  <si>
    <t>Seguimiento a los procesos de coordinación del sistema de responsabilidad penal</t>
  </si>
  <si>
    <t>Fomento, seguimiento y evaluación de estrategias para la prevención de la reincidencia al SRPA</t>
  </si>
  <si>
    <t>Inclusión social y productiva para la población en situación de vulnerabilidad. "Tú y yo, población vulnerable incluida"</t>
  </si>
  <si>
    <t>Servicio de asistencia técnica para fortalecimiento de unidades productivas colectivas para la generación de ingresos</t>
  </si>
  <si>
    <t>Unidades productivas colectivas con asistencia técnica</t>
  </si>
  <si>
    <t xml:space="preserve">Diseño e implementación, seguimiento y evaluación de estrategias para el fomento y fortalecimiento del emprendimiento y empleo juvenil </t>
  </si>
  <si>
    <t>Servicio de gestión de oferta social para la población vulnerable</t>
  </si>
  <si>
    <t xml:space="preserve">Mecanismos de articulación implementados para la gestión de oferta social </t>
  </si>
  <si>
    <t>0316 - 5 - 3 1 3 18 62 14 118 - 20</t>
  </si>
  <si>
    <t>201663000-0118</t>
  </si>
  <si>
    <t>Implementación del programa  para la atención y acompañamiento  del ciudadano migrante  y de repatriación en el Departamento del Quindío.</t>
  </si>
  <si>
    <t>Implementar el plan de acompañamiento al ciudadano migrante (el que sale y el que retorna).</t>
  </si>
  <si>
    <t>Existencia de planes de acompañamiento al ciudadano migrante del depto. del Quindío</t>
  </si>
  <si>
    <t>Formular e implementar el plan de acompañamiento al ciudadano migrante en el departamento del Quindío</t>
  </si>
  <si>
    <t>Directora de Poblaciones - Daniela Alvis Hoyos</t>
  </si>
  <si>
    <t>1.1.1. Procesos  de capacitación, asistencia técnica, seguimiento y evaluación en cuanto a la garantia de derechos de la población migrante del Departamento</t>
  </si>
  <si>
    <t>1.2.1  Apoyar el programa de asistencia social y de repatriación de quindianos fallecidos en el exterior</t>
  </si>
  <si>
    <t xml:space="preserve">Logistica operativa, refrigerios, sonido </t>
  </si>
  <si>
    <t>Servicio de acompañamiento familiar y comunitario para la superación de la pobreza</t>
  </si>
  <si>
    <t>Comunidades con acompañamiento familiar.</t>
  </si>
  <si>
    <t>Adopción de programa de acompañamiento familiar para fortalecer vínculos familiares</t>
  </si>
  <si>
    <t>Implementación, seguimiento y evaluación de programa de acompañamiento familiar</t>
  </si>
  <si>
    <t>37.3</t>
  </si>
  <si>
    <t>Servicio de apoyo para el fortalecimiento de unidades productivas colectivas para la generación de ingresos</t>
  </si>
  <si>
    <t>Unidades productivas colectivas fortalecidas</t>
  </si>
  <si>
    <t>0316 - 5 - 1 1 14 37 29 - 20
0316 - 5 - 1 1 14 37 29 - 88
0316 - 5 - 1 1 14 38 29 - 20
0316 - 5 - 1 1 14 38 29 - 88</t>
  </si>
  <si>
    <t>202000363-0029</t>
  </si>
  <si>
    <t>Atención integral a población en condición de discapacidad en los municipios del Departamento del Quindío. "TU Y YO JUNTOS EN LA INCLUSIÓN".</t>
  </si>
  <si>
    <t xml:space="preserve">Fortalecer la capacidad de los Municipios para la atención integral a población con discapacidad del Departamento del Quindío. </t>
  </si>
  <si>
    <t>*Articulación para la optimización de recursos orientados a brindar servicios de atención integral a población con de discapacidad
*Aumento de la cobertura de la estrategia de rehabilitación basada en la comunidad  en los municipios .
*Fomento de procesos de empleabilidad o emprendimiento para PcD y/o cuidadores</t>
  </si>
  <si>
    <t>Fomentar y fortalecer la inclusión laboral y productiva de cuidadores, cuidadoras, PCD y sus Familias</t>
  </si>
  <si>
    <t>Directora de Adulto Mayor y Discapacidad - Karla Daniela Quintero</t>
  </si>
  <si>
    <t>Fomentar el emprendimiento y el empleo para cuidadores y PCD en el Departamento</t>
  </si>
  <si>
    <t xml:space="preserve">Apoyar la construcción e Implementación de los  Planes de vida de los cabildos Indígenas asentados en el Departamento del Quindío </t>
  </si>
  <si>
    <t xml:space="preserve">Planes de vida de los cabildos indígenas  construidos  e implementados </t>
  </si>
  <si>
    <t xml:space="preserve">0316 - 5 - 1 1 14 37 30 - 20
0316 - 5 - 1 1 14 37 30 - 88
</t>
  </si>
  <si>
    <t>202000363-0030</t>
  </si>
  <si>
    <t>Apoyo en la construcción e Implementación de los Planes de vida de los Cabildos y Resguardos indígenas  asentados en el Departamento del Quindío. "TU Y YO UNIDOS CON DIGNIDAD".</t>
  </si>
  <si>
    <t>Apoyar  la elaboración y puesta en marcha  de planes de vida de las comunidades indígenas del departamento del Quindío</t>
  </si>
  <si>
    <t xml:space="preserve">*Formular e implementar los planes de vida de los cabildos indígenas del departamento del Quindío 
*Formular e implementar los planes de vida de los resguardos indígenas del departamento del Quindío </t>
  </si>
  <si>
    <t>Alianzas sociales y/o comunitarias con enfoque diferencial en los Cabildos  indígenas</t>
  </si>
  <si>
    <t>Directora de Poblaciones - Daniela Alvis Hoyos / Jefe de Poblaciones - Jhon Deivi Sánchez</t>
  </si>
  <si>
    <t>Formulación e Implementación de los Planes de Vida de los Cabildos Indígenas</t>
  </si>
  <si>
    <t xml:space="preserve">Apoyar la construcción e Implementación de los  Planes de vida de los resguardos indígenas  asentados en el Departamento del Quindío </t>
  </si>
  <si>
    <t xml:space="preserve">Planes de vida de los resguardos indígenas  construidos  e implementados </t>
  </si>
  <si>
    <t>Alianzas sociales y/o comunitarias con enfoque diferencial en los Resguardos indígenas</t>
  </si>
  <si>
    <t>Formulación e Implementación de los Planes de Vida de los Resguardos Indígenas</t>
  </si>
  <si>
    <t>Formular e implementar la política publica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</si>
  <si>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</si>
  <si>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0316 - 5 - 1 1 14 37 31 - 20
0316 - 5 - 1 1 14 37 31 - 88</t>
  </si>
  <si>
    <t>202000363-0031</t>
  </si>
  <si>
    <t xml:space="preserve">Formulación e implementación de la política publica para la comunidad negra, afrocolombiana, raizal y palenquera residente en el Departamento del Quindío. </t>
  </si>
  <si>
    <t>Garantizar la protección de derechos y la atención integral con enfoque diferencial de las comunidades afrodescendientes asentadas en el departamento del Quindío</t>
  </si>
  <si>
    <t>*Formulación, implementación, seguimiento y evaluación de la Política Pública NARP 
*Implementar alianzas interinstitucionales para la atención integral con enfoque diferencial a la población afro descendiente del Departamento del</t>
  </si>
  <si>
    <t>Formulación e implementación de la Política Pública NARP en el Departamento del Quindío</t>
  </si>
  <si>
    <t>Desarrollo de campañas y talleres relacionados con la promocion de derechos de poblacion NARP</t>
  </si>
  <si>
    <t>Capacitar personal de entidades públicos y privadas en los Derechos de la Población NARP</t>
  </si>
  <si>
    <t>Pendón,plegables. Folletos, manillas, etc</t>
  </si>
  <si>
    <t xml:space="preserve">Logistica operativa, refrigerios, sonido para celebracion de eventos </t>
  </si>
  <si>
    <t>Atención integral de población en situación permanente de desprotección social y/o familiar "Tú y yo con atención integral"</t>
  </si>
  <si>
    <t>4104035</t>
  </si>
  <si>
    <t>38.3</t>
  </si>
  <si>
    <t>Servicios de atención integral a población en condición de discapacidad</t>
  </si>
  <si>
    <t xml:space="preserve">Personas atendidas con servicios integrales de atención </t>
  </si>
  <si>
    <t>Fomentar y fortalecer un banco de ayudas Técnicas No Pos para personas con Discapacidad en el departamento del Quindío</t>
  </si>
  <si>
    <t xml:space="preserve">Estrategia de rehabilitación basada en la comunidad implementada en los municipios  </t>
  </si>
  <si>
    <t>Acompañamiento a  las personas con discapacidad,  familias y comunidad en la implementación del programa RBC</t>
  </si>
  <si>
    <t>Realizar  capacitaciones en agentes comunitarios en RBC</t>
  </si>
  <si>
    <t>Conformación y fortalecimiento a las redes de apoyo de la estrategia RBC</t>
  </si>
  <si>
    <t>4104026</t>
  </si>
  <si>
    <t>Servicio de articulación de oferta social para la población habitante de calle</t>
  </si>
  <si>
    <t xml:space="preserve">Servicio de articulación habitante de calle implementado en los municipios </t>
  </si>
  <si>
    <t>0316 - 5 - 1 1 14 38 32 - 88</t>
  </si>
  <si>
    <t>202000363-0032</t>
  </si>
  <si>
    <t xml:space="preserve"> Apoyo en  la articulación de la  oferta social para la población habitante de calle del Departamento del Quindío</t>
  </si>
  <si>
    <t>Articulación de oferta social para la población en situación de calle del departamento del Quindío</t>
  </si>
  <si>
    <t xml:space="preserve">Implementar alianzas interinstitucionales e Interadministrativas para la atención y el acompañamiento a la persona en situación de calle </t>
  </si>
  <si>
    <t>Articulación con entes territoriales e interinstitucionales para la oferta, atención y acompañamiento al habitante de calle</t>
  </si>
  <si>
    <t>Implementar  la Política   Pública de Diversidad Sexual e Identidad de Género</t>
  </si>
  <si>
    <t>Política pública de diversidad sexual implementada.</t>
  </si>
  <si>
    <t>0316 - 5 - 1 1 14 38 125 - 20
0316 - 5 - 1 1 14 38 125 - 88
0316 - 5 - 3 1 3 18 65 14 125 - 20</t>
  </si>
  <si>
    <t>201663000-0125</t>
  </si>
  <si>
    <t>Fomulación e implementación de la politica pública  de diversidad sexual en el Departamento del Quindío</t>
  </si>
  <si>
    <t>Implementación de la política pública que garantice los derechos de las personas con diversidad sexual e identidad de género en el dpto. del Quindío.</t>
  </si>
  <si>
    <t>Establecer políticas claras para la inclusión social de la población LGTBI
Altos espacios de atención, formación y reflexión, orientados al fortalecimiento de los entornos  sociales y educativos respecto a las personas con diversidad sexual</t>
  </si>
  <si>
    <t>Implementacion del plan de accion  de la politica publica de diversidad sexual e identidad de genero</t>
  </si>
  <si>
    <t>Jefe Oficina de Mujer y la Equidad - Elayne Loaiza Jurado</t>
  </si>
  <si>
    <t>Iimplementar, hacer seguimiento y evaluación a estrategias de formación para la disminución de todas las formas de discriminación por orientación sexual e identidad de género diverso</t>
  </si>
  <si>
    <t>Capacitar personal de entidades públicos y privadas en la atención con enfoque diferencial y subdiferencial OSIGD/LGBTI para la inclusión, protección y promoción de las personas de estos sectores</t>
  </si>
  <si>
    <t>Logistica operativa, refrigerios, sonido para celebracion de eventos relacionados con la equidad</t>
  </si>
  <si>
    <t>Desarrollar estrategias, programas y/o proyectos que promuevan la garantía de derechos a la poblacion sexualmente diversa</t>
  </si>
  <si>
    <t>Desarrollo programas, campañas, talleres relacionados con la promocion de derechos de poblacion LGTBI</t>
  </si>
  <si>
    <t xml:space="preserve">Revisar, ajustar e implementar la política pública de equidad de género para la mujer </t>
  </si>
  <si>
    <t>Política pública de la mujer y equidad de género revisada, ajustada e implementada.</t>
  </si>
  <si>
    <t>0316 - 5 - 1 1 16 38 128 - 20
0316 - 5 - 1 1 16 38 128 - 88
0316 - 5 - 3 1 3 18 66 14 128 - 20</t>
  </si>
  <si>
    <t>201663000-0128</t>
  </si>
  <si>
    <t>Implementación de la polìtica pùblica de equidad de género para la mujer en el Departamento del Quindìo</t>
  </si>
  <si>
    <t xml:space="preserve">Implementación de programas y proyectos institucionales para el acceso a las oportunidades Económicas sociales y culturales de mujeres en el departamento del Quindío </t>
  </si>
  <si>
    <t>Apropiación jurídica  por parte de la población e institucionalidad sobre las rutas de atención existentes.
Mejorar la articulación frente a la implementación de las políticas públicas de equidad y género</t>
  </si>
  <si>
    <t>Revisión y ajuste a la Política Pública de Equidad de Género para la Mujer</t>
  </si>
  <si>
    <t xml:space="preserve">Seguimiento al cumplimiento de los planes de acción de la Politica Publica de  Equidad de Género para la mujer
</t>
  </si>
  <si>
    <t xml:space="preserve">Fomento y fortalecimiento de organizaciones de base social para la participación y empoderamiento de mujeres
</t>
  </si>
  <si>
    <t xml:space="preserve">Desarrollo de actividades de impacto para la promocion de derechos y movilizacion social
</t>
  </si>
  <si>
    <t>Apoyo en la consolidacion de espacios de participacion a traves de la socializacion de la normatividad existente</t>
  </si>
  <si>
    <t>Fortalecimiento y/o apoyo a unidades productivas y/o proyectos de emprendemiento de mujeres</t>
  </si>
  <si>
    <t xml:space="preserve">Formular e implementar la Política Pública de Adulto Mayor </t>
  </si>
  <si>
    <t xml:space="preserve">Política Pública de Adulto Mayor  formulada e implementada </t>
  </si>
  <si>
    <t xml:space="preserve">0316 - 5 - 1 1 14 38 129 - 06
0316 - 5 - 1 1 14 38 129 - 20
0316 - 5 - 1 1 14 38 129 - 84
0316 - 5 - 1 1 14 38 129 - 88
0316 - 5 - 3 1 3 19 67 14 129 - 06
0316 - 5 - 3 1 3 19 67 14 129 - 20
</t>
  </si>
  <si>
    <t>201663000-0129</t>
  </si>
  <si>
    <t xml:space="preserve">Apoyo y bienestar integral a las personas mayores del Departamento del Quindío </t>
  </si>
  <si>
    <t>Altos índices de atención a los adultos mayores en el departamento del Quindío.</t>
  </si>
  <si>
    <t>Apoyar la elaboración, seguimiento y evaluación de los planes de acción de los municipios y depto. de la Política Publica de envejecimiento y vejez
Apoyar acciones que conlleven al conocimiento de la Ley 1276 del 2009: Nuevos Criterios de Atención Integral del Adulto  Mayor en los Centros Vida</t>
  </si>
  <si>
    <t>Formulación de la  política pública de Envejecimiento y vejez</t>
  </si>
  <si>
    <t>20-88-6-84</t>
  </si>
  <si>
    <t>Apoyo  al  seguimiento de  la  ejecución presupuestal  de los recursos destinados   a la  política pública de Envejecimiento y vejez</t>
  </si>
  <si>
    <t>Desarrollar estrategias de vigilancia y control que permitan garantizar el cumplimiento y reconocimiento de los derechos de las personas mayores.</t>
  </si>
  <si>
    <t>Apoyar elseguimiento y evaluacion de los planes de accion de los municipios y depto de la Politica Publica de envejecimiento y vejez</t>
  </si>
  <si>
    <t>Realizar motivación e infundir  sentido de pertenencia y compromiso de parte del Consejo Departamental del  adulto mayor</t>
  </si>
  <si>
    <t xml:space="preserve">Apoyar elseguimiento y evaluacion de los planes de accion de los municipios y depto de la Politica Publica de envejecimiento y vejez
</t>
  </si>
  <si>
    <t xml:space="preserve">Apoyar asistencias técnicas grupales a los grupos de adultos mayores del depto, en deporte, cultura, recreación y motivación </t>
  </si>
  <si>
    <t>Servicios de atención y protección integral al adulto mayor</t>
  </si>
  <si>
    <t xml:space="preserve">Adultos mayores atendidos con servicios integrales </t>
  </si>
  <si>
    <t>Dinamización del Cabildo Departamental de Sabios del Quindío y asistencia técnica cabildos Municiaples</t>
  </si>
  <si>
    <t xml:space="preserve">
Apoyar con actividades para la  creacion del cabildo de adulto mayoren en 6 municipios del Quindio</t>
  </si>
  <si>
    <t>Dinamización  del Consejo Departamental del  adulto mayor</t>
  </si>
  <si>
    <t xml:space="preserve">Realizar acompañamiento a los grupos de adultos mayores del depto,a través de deporte, cultura, recreación y motivación </t>
  </si>
  <si>
    <t>Celebraciones y eventos donde se resalte la importancia del rol del adulto mayor y su trayectoria de vida en la familia y la sociedad</t>
  </si>
  <si>
    <t>Logística Operativa, Sonido, refrigerios, Etc</t>
  </si>
  <si>
    <t>Transferencia estampilla para el bienestar del adulto mayor</t>
  </si>
  <si>
    <t>Municipios con recursos transferidos con la estampilla Departamental para el bienestar del adulto mayor</t>
  </si>
  <si>
    <t xml:space="preserve">Fortalecimiento a los CPSAM y CV del Departamento del Quindío </t>
  </si>
  <si>
    <t xml:space="preserve">Apoyar el seguimiento a la ejecución del recurso estampilla pro adulto mayor a los Centros Vida  y a los CBA    </t>
  </si>
  <si>
    <t>CENTROS VIDA (DV)</t>
  </si>
  <si>
    <t>Centros de Binestar del Adulto Mayor (CBA)</t>
  </si>
  <si>
    <t>Revisar, ajustar e implementar  la Política Pública de  Discapacidad</t>
  </si>
  <si>
    <t xml:space="preserve">Política Pública de  Discapacidad  revisada, ajustada e implementada. </t>
  </si>
  <si>
    <t>0316 - 5 - 1 1 14 38 114 - 20
0316 - 5 - 1 1 14 38 114 - 88
0316 - 5 - 3 1 3 17 61 14 114 - 20</t>
  </si>
  <si>
    <t>201663000-0114</t>
  </si>
  <si>
    <t>Actualización e implementación  de   la política pública departamental de discapacidad  "Capacidad sin limites" en el Quindío.</t>
  </si>
  <si>
    <t xml:space="preserve">Aumentar los niveles de representatividad e incidencia de las personas con discapacidad en escenarios de participación social y política en el Departamento.  </t>
  </si>
  <si>
    <t>Realizar acciones para  el  seguimiento al Plan de Acción de los CMD – Ejes de la Política Pública
Procesos de  fortalecimiento en la cultura organizacional  del sector público y privado</t>
  </si>
  <si>
    <t xml:space="preserve">Formación de cuidadores para el adecuado manejo de la Discapacidad a Cuidadoras, Cuidadores y Familias </t>
  </si>
  <si>
    <t>Servicio de Intérpretes de lengua de señas que permita la inclusión y acceso de las personas con discapcidad.</t>
  </si>
  <si>
    <t xml:space="preserve">Elaboración ,seguimiento y evaluacion de los planes de accion de los municipios y depto de la Politica Publica de discapacidad.
</t>
  </si>
  <si>
    <t>Asistencia técnica a los municipios para la adecuada apropiación de la Política Pública de Discapacidad</t>
  </si>
  <si>
    <t>Fomentar las organizaciones de base social y fortalecer las existentes</t>
  </si>
  <si>
    <t>Eventos de participacion e integración de la poblacion con discapacidad</t>
  </si>
  <si>
    <t xml:space="preserve">LOGISTICA OPERATIVA: Rrefrigerios, sonido, logistica en general, elementos y/o materia prima </t>
  </si>
  <si>
    <t>Apoyar la Formación de la población con discapacidad, cuidadores , cuidadoras y sus familias, en talleres de formación en maderas, pintura, muralismo, escultura y artes plasticas, etc, con el fin de realizar inclusion social y mejoramiento de su calidad de vida.</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</si>
  <si>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</si>
  <si>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</si>
  <si>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Apoyar la elaboración ,seguimiento y evaluacion de los planes de accion de los municipios y depto de la Politica Publica de discapacidad.</t>
  </si>
  <si>
    <t xml:space="preserve">Diseñar , construir  y difundir  de manera concertada la malla de oferta institucional con los diferentes actores
</t>
  </si>
  <si>
    <t>Servicio permanente de untérpretes de lengua de señas en servicios de urgencia y de información pública.</t>
  </si>
  <si>
    <t>Fortalecimiento de la convivencia y la seguridad ciudadana. "Tú y yo seguros"</t>
  </si>
  <si>
    <t>Servicio de apoyo para la implementación de medidas en derechos humanos y derecho internacional humanitario</t>
  </si>
  <si>
    <t>Casa de la Mujer Empoderada implementada</t>
  </si>
  <si>
    <t>0316 - 5 - 1 1 16 41 33 - 20
0316 - 5 - 1 1 16 41 33 - 88
0316 - 5 - 1 2 16 4 33 - 20
0316 - 5 - 1 4 16 42 33 - 88</t>
  </si>
  <si>
    <t>202000363-0033</t>
  </si>
  <si>
    <t>Implementación de la Casa de la Mujer Empoderada para la promoción a la participación ciudadana de mujeres en escenarios sociales, políticos y el fortalecimiento de la Asociatividad en el departamento del Quindío. "TU Y YO  CON LAS MUJERES EMPODERADAS".</t>
  </si>
  <si>
    <t>Crear la casa de la mujer como un espacio para el encuentro, la articulación, el empoderamiento, el fomento de la participación y la promoción de la mujer urbana y rural del Departamento del Quindío</t>
  </si>
  <si>
    <t>*Articulación interinstitucional para la promoción, el empoderamiento y el fomento de organizaciones orientadas a la mujer.
*Fortalecer la articulación de organizaciones y procesos orientados al empoderamiento y la promoción de la mujer.</t>
  </si>
  <si>
    <t xml:space="preserve">Recurso ordinario
</t>
  </si>
  <si>
    <t>PENDIENTE</t>
  </si>
  <si>
    <t>Casa Refugio de la Mujer implementada</t>
  </si>
  <si>
    <t>0316 - 5 - 1 1 16 41 34 - 20
0316 - 5 - 1 1 16 41 34 - 88</t>
  </si>
  <si>
    <t>202000363-0034</t>
  </si>
  <si>
    <t>Implementación de la Casa Refugio de la Mujer del Departamento del Quindío.</t>
  </si>
  <si>
    <t>Crear la casa refugio para la protección de la mujer víctima del Departamento del Quindío</t>
  </si>
  <si>
    <t>*Articulación interinstitucional para la protección de la mujer.
*Fortalecer la articulación de organizaciones y procesos orientados a la protección de la mujer.</t>
  </si>
  <si>
    <t xml:space="preserve">Promover alianzas estratégicas para la creación y puesta en funcionamiento de la Casa Refugio para la protección de la Mujer </t>
  </si>
  <si>
    <t>Articulación de base social y comunitario para la protección de la Mujer</t>
  </si>
  <si>
    <t>Realizar procesos continuos y formativos para el aumento de mujeres protegidas y protectoras.</t>
  </si>
  <si>
    <t xml:space="preserve">Dotación de la Casa Refugio para la protección de la mujer </t>
  </si>
  <si>
    <t>Derechos fundamentales del trabajo y fortalecimiento del diálogo social. "Tú y yo con una niñez protegida"</t>
  </si>
  <si>
    <t>Servicio de educación informal para la prevención integral del trabajo infantil</t>
  </si>
  <si>
    <t>Personas capacitadas</t>
  </si>
  <si>
    <t>Diseño e Implementación de programa comunitario para la prevención de los Derechos de Niños, Niñas y Adolescentes y su desarrollo integral. "TU Y YO COMPROMETIDOS CON LOS SUEÑOS".</t>
  </si>
  <si>
    <t>Diseño e implementación, seguimiento y evaluación de una estrategia para la prevención de trabajo infantil</t>
  </si>
  <si>
    <t>superavit recurso ordinario</t>
  </si>
  <si>
    <t>Diseño e implementación, seguimiento y evaluación de estrategias de divulgación de Rutas de Atención en casos de vulneración de Derechos de NNA</t>
  </si>
  <si>
    <t>Diseño e implementación de campañas</t>
  </si>
  <si>
    <t>BDiseño e implementación de programa comunitario para la prevención de los derechos de Niños, Niñas y Adolescentes y su desarrollo integral. "TU Y YO COMPROMETIDOS CON LOS SUEÑOS".</t>
  </si>
  <si>
    <t>Servicio de promoción a la participación ciudadana</t>
  </si>
  <si>
    <t>Iniciativas para la promoción de la participación femenina en escenarios sociales y políticos implementada.</t>
  </si>
  <si>
    <t>SEGUIMIENTO PLAN DE ACCIÓN
SECRETARIA DE TURISMO INDUSTRIA Y COMERCIO
DICIEMBRE  31   DE   2020</t>
  </si>
  <si>
    <t xml:space="preserve">    F-PLA-07 </t>
  </si>
  <si>
    <t xml:space="preserve">Contratos </t>
  </si>
  <si>
    <t>27.1</t>
  </si>
  <si>
    <t>Servicio de apoyo y consolidación de las Comisiones Regionales de Competitividad - CRC</t>
  </si>
  <si>
    <t xml:space="preserve">Planes de trabajo concertados con las CRC para su consolidación </t>
  </si>
  <si>
    <t xml:space="preserve">0311 - 5 - 1 2 13 27 51 - 20
0311 - 5 - 1 2 13 27 51 - 88
</t>
  </si>
  <si>
    <t>201663000-0051</t>
  </si>
  <si>
    <t>Apoyo al mejoramiento de la competitividad a iniciativas  productivas en el  Departamento del Quindío</t>
  </si>
  <si>
    <t>Mejoramiento de  los  niveles de competitividad e innovación en  las empresas, a través de fortalecimiento de los clúster y  rutas competitivas  en el Departamento del Quindío.</t>
  </si>
  <si>
    <t>Incremento de las empresas competitivas en el departamento.</t>
  </si>
  <si>
    <t>Apoyo para la ejecuciòn  del Plan de Acciòn de la Comisiòn Regional de Competitividad.</t>
  </si>
  <si>
    <t xml:space="preserve">
88</t>
  </si>
  <si>
    <t>88
20</t>
  </si>
  <si>
    <t>Hernando Alonso Garcia Arìas, Jefe de Promociòn,empleo,competitividad e innovaciòn</t>
  </si>
  <si>
    <t xml:space="preserve">Secretaría de Turismo, Industria y Comercio </t>
  </si>
  <si>
    <t>Servicio de asistencia tècnica para el desarrollo de iniciativas Clùsters</t>
  </si>
  <si>
    <t>Aunar esfuerzos  para desarrollar proyecctos que incremente la competitiviad, la invonaciòn y la productividad de los clùster en el departamento</t>
  </si>
  <si>
    <t>Apoyo para la implementaciòn  y ejecuciòn de los planes de acciòn de los clùsters</t>
  </si>
  <si>
    <t>27.4</t>
  </si>
  <si>
    <t>Servicio de asistencia técnica a las Mipymes para el acceso a nuevos mercados</t>
  </si>
  <si>
    <t>Empresas asistidas técnicamente</t>
  </si>
  <si>
    <t>0311 - 5 - 1 2 13 27 56 - 20
0311 - 5 - 1 2 13 27 56 - 88
0311 - 5 - 3 1 2 2 10 13 56 - 20</t>
  </si>
  <si>
    <t>201663000-0056</t>
  </si>
  <si>
    <t xml:space="preserve">Fortalecimiento del sector empresarial  hacia mercados globales en el Departamento del Quindio .   </t>
  </si>
  <si>
    <t xml:space="preserve">Mejoramiento del potencial exportador de empresas con capacidad para su conexión a mercados globales 
</t>
  </si>
  <si>
    <t xml:space="preserve">Mejoramiento en la generación de competencias y habilidades en las empresas del departamento del Quindío.
Fortalecimiento de mecanismos de inversión y de herramientas tecnológicas de servicios logísticos en el sector empresarial para su
conexión a mercados global
</t>
  </si>
  <si>
    <t>Fortalecimiento a doce empresas en actividades de apertura de mercados internos y/o externos</t>
  </si>
  <si>
    <t>Hernando Alonso Garcia Arìas,  Jefe de Promociòn,empleo,competitividad e innovaciòn</t>
  </si>
  <si>
    <t>Apoyo a procesos y actividades direccionadas a promover el acceso a nuevos mercados  para las Mypymes del departamento</t>
  </si>
  <si>
    <t>Aunar esfuerzos para desarrolar proyectos  y/o actividades dirrecionadas a promover el acceso a nuevos mercados  para las Mypymes del departamento</t>
  </si>
  <si>
    <t>27.7</t>
  </si>
  <si>
    <t>Documentos de planeación elaborados</t>
  </si>
  <si>
    <t>0.30</t>
  </si>
  <si>
    <t>Elaboraciòn de estudios, diagnòticos y/o investigaciòn para la formulaciòn del Plan de Internacionalizaciòn del departamento del Quindìo.</t>
  </si>
  <si>
    <t>27.5</t>
  </si>
  <si>
    <t>Servicio de asistencia técnica a los entes territoriales para el desarrollo turístico</t>
  </si>
  <si>
    <t>Entidades territoriales asistidas técnicamente</t>
  </si>
  <si>
    <t>0311 - 5 - 1 2 13 27 59 - 20
0311 - 5 - 1 2 13 27 59 - 88
0311 - 5 - 3 1 2 3 11 13 59 - 20</t>
  </si>
  <si>
    <t>201663000-0059</t>
  </si>
  <si>
    <t>Fortalecimiento de la oferta de prestadores de servicios, productos y atractivos turísticos en el Departamento del Quindío.</t>
  </si>
  <si>
    <t xml:space="preserve">Mejoramiento del posicionamiento del departamento del Quindío como destino turistico en Colombia. </t>
  </si>
  <si>
    <t>Fortalecimiento de los factores que hacen competitivo el turismo.</t>
  </si>
  <si>
    <t>Apoyo a los diferentes procesos que permitan fortalecer la oferta turìstica del destino del deparamento del Quindìo</t>
  </si>
  <si>
    <t>Monica Andrea Rodrìguez Gonzalez 
Jefe Promociòn y Calidad Turìstica</t>
  </si>
  <si>
    <t>Logistica, impresión material y /o refrigerios para adelantar las diferentes campañas truísticas del Departamento</t>
  </si>
  <si>
    <t>Ejecución del Plan de Calidad Turistica</t>
  </si>
  <si>
    <t>Aunar esfuerzos y coordinar entre municipios y empresarios el apoyo en asistencia tècnica para certificaciones en protocolos de bioseguridad.</t>
  </si>
  <si>
    <t>Proyectos de infraestructura turística apoyados</t>
  </si>
  <si>
    <t>Estudios y/o diseños para proyectos de infraestructura turística.</t>
  </si>
  <si>
    <t>Apoyar los procesos de planificaciòn turìstica.</t>
  </si>
  <si>
    <t>27.6</t>
  </si>
  <si>
    <t>Servicio de promoción turística</t>
  </si>
  <si>
    <t>Campañas realizadas</t>
  </si>
  <si>
    <t xml:space="preserve">0311 - 5 - 1 2 13 27 62 - 52
0311 - 5 - 1 2 13 27 62 - 94
0311 - 5 - 3 1 2 3 13 13 62 - 52
0311 - 5 - 1 2 13 27 62 - 88
</t>
  </si>
  <si>
    <t>201663000-0062</t>
  </si>
  <si>
    <t>Apoyo a la promoción nacional e internacional como destino  turísmo del Departamento del Quindío.</t>
  </si>
  <si>
    <t>Mejoramiento del nivel de impacto de las acciones de "Promoción del destino turístico del departamento del Quindío"</t>
  </si>
  <si>
    <t>Eficiente identificación de los mercados prioritarios para productos turísticos</t>
  </si>
  <si>
    <t>Ejecucion del Plan de Mercadeo para la  Promoción del departamento como destino turística nivel nacional.</t>
  </si>
  <si>
    <t xml:space="preserve">
52
</t>
  </si>
  <si>
    <t xml:space="preserve">
Impuesto al Registro
</t>
  </si>
  <si>
    <t>52
94</t>
  </si>
  <si>
    <t>Maria Claudia Echeverri Bermudez 
Directora de Turìsmo,Clùster y Asociatividad</t>
  </si>
  <si>
    <t>Apoyo a camapañas de promociòn institucional a travès de  diferentes medios de comunicaciòn</t>
  </si>
  <si>
    <t xml:space="preserve">
Superávit  Impuesto al Registro
</t>
  </si>
  <si>
    <t>Apoyo a la promociòn nacional e internaciònal del departamento del Quindìo como destino turìstico</t>
  </si>
  <si>
    <t>Logìstica y transporte para realizar  labores institucionales</t>
  </si>
  <si>
    <t>Adquisiciòn de equipos tecnologicos para la promociòn turìstica</t>
  </si>
  <si>
    <t xml:space="preserve">impuesto al registro 
</t>
  </si>
  <si>
    <t>Generación y formalización del empleo. "Tú y yo con empleo de calidad"</t>
  </si>
  <si>
    <t>28.1</t>
  </si>
  <si>
    <t>Servicios de apoyo financiero para la creaciòn de empresas</t>
  </si>
  <si>
    <t>Planes de negocio financiados</t>
  </si>
  <si>
    <t>0311 - 5 - 1 2 13 28 53 - 20
0311 - 5 - 1 2 13 28 53 - 88
0311 - 5 - 3 1 2 2 9 13 53 - 20</t>
  </si>
  <si>
    <t>201663000-0053</t>
  </si>
  <si>
    <t>Apoyo al emprendimiento, empresarismo, asociatividad y generación de empleo en el departamento del Quindío.</t>
  </si>
  <si>
    <t>Mejoramiento de los niveles de emprendimiento, empresarismo y asociatividad en el departamento del Quindío</t>
  </si>
  <si>
    <t>Eficiente estimulo con recursos financieros para el emprendimiento, empresarismo y asociatividad en el departamento del Quindío</t>
  </si>
  <si>
    <t>Apoyar  tres unidades de emprendimiento de jovenes emprendedores.</t>
  </si>
  <si>
    <t>Aunar esfuerzos para desarrolar proyectos direccionados al financiamiento de planes de negocio</t>
  </si>
  <si>
    <t>28.4</t>
  </si>
  <si>
    <t>Servicio de asesorìa tècnica para el emprendimiento.</t>
  </si>
  <si>
    <t>Emprendimientos fortalecidos</t>
  </si>
  <si>
    <t>Apoyo a procesos y actividades direccionadas a fortalecer las capacidades de los emprendedores del departamento</t>
  </si>
  <si>
    <t>Aunar esfuerzos para desarrolar proyectos  a travès delos cuales se fortalezcan las capacidades de los emprendedores del departamento</t>
  </si>
  <si>
    <t>28.2</t>
  </si>
  <si>
    <t>Servicio de asìstencia tècnica para la gèneracion y formalizaciòn del empleo</t>
  </si>
  <si>
    <t>Talleres de oferta institucional realizados</t>
  </si>
  <si>
    <t>Apoyar tres unidades de emprendimiento de población con enfoque diferencial.</t>
  </si>
  <si>
    <t>Apoyo a procesos y actividades direccionadas a desarrollar talleres de oefrta institucional del sector trabajo.</t>
  </si>
  <si>
    <t>Logistica, impresiones maaterial  y refrigerios para adelantar los talleres de oferta institucional</t>
  </si>
  <si>
    <t>28.3</t>
  </si>
  <si>
    <t>Servicio de informaciòn y monitoreo del mercado de trabajo</t>
  </si>
  <si>
    <t>Reportes realizados</t>
  </si>
  <si>
    <t>Apoyo a procesos y actividades direccionadas a fortalecer el observatorio regional del mercado de trabajo ORMET</t>
  </si>
  <si>
    <t>Logistica, impresiones maaterial  y refrigerios para adelantar los procesos de monitoreo del mercado de tarabajo,</t>
  </si>
  <si>
    <t xml:space="preserve">MARIA TERESA RAMÍREZ LEÓN </t>
  </si>
  <si>
    <t>Secretaria de Turismo, Industria y Comercio</t>
  </si>
  <si>
    <t>SEGUIMIENTO PLAN DE ACCIÓN
INSTITUTO DEPARTAMENTAL DEL DEPORTE Y LA RECREACION DEL QUINDIO
DICIEMBRE 31   DE   2020</t>
  </si>
  <si>
    <t>39.1</t>
  </si>
  <si>
    <t>Servicio de Escuelas Deportivas</t>
  </si>
  <si>
    <t>Municipios con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</si>
  <si>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</si>
  <si>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</si>
  <si>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</si>
  <si>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</si>
  <si>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</si>
  <si>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Brindad asesoria a los doce municipios del departamente</t>
  </si>
  <si>
    <t>MONOPOLIO</t>
  </si>
  <si>
    <t>Coordinador area tecnica</t>
  </si>
  <si>
    <t>Gerente General INDEPORTES</t>
  </si>
  <si>
    <t>2334471206_6</t>
  </si>
  <si>
    <t>6</t>
  </si>
  <si>
    <t>Recursos del balance  Cigarrillos Nacionales y Extranjeros Funcionamiento 70%</t>
  </si>
  <si>
    <t>Servicio de promoción de la actividad física, la recreación y el deporte</t>
  </si>
  <si>
    <t>Municipios implementando  programas de recreación, actividad física y deporte social comunitario</t>
  </si>
  <si>
    <t>2234471207_3</t>
  </si>
  <si>
    <t>Realizacion de eventos deportivos en el departamento</t>
  </si>
  <si>
    <t>3</t>
  </si>
  <si>
    <t>IPOCONSUMO</t>
  </si>
  <si>
    <t>2234471208_4</t>
  </si>
  <si>
    <t>Realizacion de los juegos comunales en el departamento</t>
  </si>
  <si>
    <t>4</t>
  </si>
  <si>
    <t>ICLD</t>
  </si>
  <si>
    <t>2234471208_12</t>
  </si>
  <si>
    <t>12</t>
  </si>
  <si>
    <t>39.2</t>
  </si>
  <si>
    <t>Municipios vinculados al programa Supérate-Intercolegiados</t>
  </si>
  <si>
    <t>2234470205_12</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</si>
  <si>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</si>
  <si>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</si>
  <si>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</si>
  <si>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</si>
  <si>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 xml:space="preserve">Acompañamiento a la fase departamental y nacional de los juegos intercolegiados </t>
  </si>
  <si>
    <t>Tecnico Area tecnica</t>
  </si>
  <si>
    <t>2234470205_4</t>
  </si>
  <si>
    <t>Aportes Departamento 1% ICLD</t>
  </si>
  <si>
    <t>2334470205_6</t>
  </si>
  <si>
    <t xml:space="preserve">Municipios implementando  programas de recreación, actividad física y  y deporte social comunitario </t>
  </si>
  <si>
    <t>2234572209_3</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</si>
  <si>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</si>
  <si>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</si>
  <si>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</si>
  <si>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</si>
  <si>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Brindar apoyo tecnico y logistico a campamentos juveniles</t>
  </si>
  <si>
    <t>2334572209_6</t>
  </si>
  <si>
    <t>2234572210_3</t>
  </si>
  <si>
    <t xml:space="preserve">Apoyo logistico y tecnico al adulto mayor </t>
  </si>
  <si>
    <t>2334572210_6</t>
  </si>
  <si>
    <t>39.3</t>
  </si>
  <si>
    <t>Formular e  implementar una  política pública para el desarrollo y acceso al deporte, la recreación, la actividad física, la educación física y el uso adecuado del tiempo libre, como ejes de transformación humana y social en el departamento del Quindío</t>
  </si>
  <si>
    <t>Politica publica formulada e implementada</t>
  </si>
  <si>
    <t>2334572211_12</t>
  </si>
  <si>
    <t xml:space="preserve">Apoyo logistico tecnico </t>
  </si>
  <si>
    <t>2234572211_12</t>
  </si>
  <si>
    <t>2234572211_3</t>
  </si>
  <si>
    <t xml:space="preserve">22346741_4
</t>
  </si>
  <si>
    <t>201663000-0166</t>
  </si>
  <si>
    <t>Apoyo a proyectos deportivos, recreativos y de actividad fisica, en el Departamento del Quindìo</t>
  </si>
  <si>
    <t>Disminuir los índices del consumo de estupefacientes en los municipios del departamento</t>
  </si>
  <si>
    <t>Fortalecer la articulacion interinstitucional</t>
  </si>
  <si>
    <t>Actividades en promoción de hábitos y estilos de vida saludables  (Componente tecnico)</t>
  </si>
  <si>
    <t>23347471_5</t>
  </si>
  <si>
    <t>5</t>
  </si>
  <si>
    <t xml:space="preserve"> Cigarrillos Nacionales y Extranjeros Municipios 30%</t>
  </si>
  <si>
    <t>2234572212_3</t>
  </si>
  <si>
    <t>201663000-0165</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</si>
  <si>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</si>
  <si>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</si>
  <si>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Fomentar estios de vida saludable y actividad fisica</t>
  </si>
  <si>
    <t>Profesional universitario area tecnica</t>
  </si>
  <si>
    <t>2334573212_15</t>
  </si>
  <si>
    <t xml:space="preserve"> Rendimientos Financieros Recursos del Balance</t>
  </si>
  <si>
    <t>2334573212_18</t>
  </si>
  <si>
    <t xml:space="preserve"> RECURSOS DEL BALANCE CIGARRILLOS NACIONALES Y EXTRANJEROS 70% 2018</t>
  </si>
  <si>
    <t>2334573212_4</t>
  </si>
  <si>
    <t>2334573212_6</t>
  </si>
  <si>
    <t>Cigarrillos Nacionales y Extranjeros Funcionamiento 70%</t>
  </si>
  <si>
    <t>241434301010101_12</t>
  </si>
  <si>
    <t>202000363-0038</t>
  </si>
  <si>
    <t>Fortalecimiento, Habitos y estilos de vida saludable como instrumento SALVAVIDAS en el Departamento del Quindio</t>
  </si>
  <si>
    <t>Generar la participación y promoción de actividades físicas deportivas y recreativas en el departamento del Quindío</t>
  </si>
  <si>
    <t>Crear nuevos programas de actividad física y hábitos saludables de vida
Generar una cultura de estilos de vida saludable y actividad física.
Crear nuevos instrumentos de planificación para la formulación de la política publica
Mejorar difusión y acercamiento de la oferta institucional
Promover a los  niños, niñas, adolescentes y jóvenes para realizar actividades físicas y deportivas</t>
  </si>
  <si>
    <t>Coordinadora area tecnica</t>
  </si>
  <si>
    <t>241434301010101_3</t>
  </si>
  <si>
    <t>241434301010101_4</t>
  </si>
  <si>
    <t>241434301010101_7</t>
  </si>
  <si>
    <t>MINISTERIO DEL DEPORTE</t>
  </si>
  <si>
    <t>241434301010101_9</t>
  </si>
  <si>
    <t>RENDIMIENTOS FINANCIEROS</t>
  </si>
  <si>
    <t>251434301010101_12</t>
  </si>
  <si>
    <t>251434301010101_16</t>
  </si>
  <si>
    <t xml:space="preserve"> RECURSOS DEL BALANCE  IPOCONSUMO  2018</t>
  </si>
  <si>
    <t>251434301010101_17</t>
  </si>
  <si>
    <t>RECURSOS DEL BALANCE CIGARRILLOS NACIONALES Y EXTRANJEROS 70% 2018</t>
  </si>
  <si>
    <t>251434301010101_18</t>
  </si>
  <si>
    <t>251434301010101_19</t>
  </si>
  <si>
    <t>RECURSOS DEL BALANCE SUPERAVIT DEPARTAMENTO</t>
  </si>
  <si>
    <t>251434301010101_20</t>
  </si>
  <si>
    <t>RECURSOS DEL BALANCE MONOPOLIO 2018</t>
  </si>
  <si>
    <t>251434301010101_3</t>
  </si>
  <si>
    <t xml:space="preserve"> IPOCONSUMO</t>
  </si>
  <si>
    <t>251434301010101_4</t>
  </si>
  <si>
    <t>251434301010101_6</t>
  </si>
  <si>
    <t>241434301010201_12</t>
  </si>
  <si>
    <t>241434301010201_4</t>
  </si>
  <si>
    <t>241434301010201_7</t>
  </si>
  <si>
    <t>241434301020101_12</t>
  </si>
  <si>
    <t>Desarrollar estrategias para acceso de niños, niñas, adolescentes y jóvenes a procesos de formación deportiva y espacios recreativos en el Departamento del Quindío</t>
  </si>
  <si>
    <t>241434301020101_7</t>
  </si>
  <si>
    <t>241434301020102_5</t>
  </si>
  <si>
    <t xml:space="preserve">  Cigarrillos Nacionales y Extranjeros Municipios 30%</t>
  </si>
  <si>
    <t>25143430101020101_6</t>
  </si>
  <si>
    <t xml:space="preserve"> Cigarrillos Nacionales y Extranjeros Funcionamiento 70%</t>
  </si>
  <si>
    <t>241434301030101_12</t>
  </si>
  <si>
    <t>Crear nuevos instrumentos de planificación para la formulación de la política publica</t>
  </si>
  <si>
    <t>241434301030101_3</t>
  </si>
  <si>
    <t>Formación y preparación de deportistas. "Tú y yo campeones"</t>
  </si>
  <si>
    <t>40.2</t>
  </si>
  <si>
    <t>Servicio de asistencia técnica para la promoción del deporte</t>
  </si>
  <si>
    <t xml:space="preserve">Organismos deportivos asistidos </t>
  </si>
  <si>
    <t>2234468202_12</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</si>
  <si>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</si>
  <si>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</si>
  <si>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</si>
  <si>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</si>
  <si>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Apoyo a las ligas en los eventos deportivos de carácter federal</t>
  </si>
  <si>
    <t>Tecnico deporte Asociado</t>
  </si>
  <si>
    <t>31/06/2020</t>
  </si>
  <si>
    <t>INDEPORTES</t>
  </si>
  <si>
    <t>2234468202_4</t>
  </si>
  <si>
    <t xml:space="preserve">Realizar acompañamiento y asesorìa a las ligas y clubes del departamento </t>
  </si>
  <si>
    <t>2334468202_6</t>
  </si>
  <si>
    <t>RECURSOS DEL BALANCE CIGARRILLO</t>
  </si>
  <si>
    <t>2234468203_4</t>
  </si>
  <si>
    <t xml:space="preserve">Apoyo a deportistas de alto logros y reserva deportiva </t>
  </si>
  <si>
    <t>2234469204_4</t>
  </si>
  <si>
    <t xml:space="preserve">Apoyo  logistico a las 13 ligas estrategicas </t>
  </si>
  <si>
    <t>2234469204_12</t>
  </si>
  <si>
    <t>241434302010101_12</t>
  </si>
  <si>
    <t>202000363-0039</t>
  </si>
  <si>
    <t>Fortalecimiento al deporte competitivo y de altos logros "TU Y    YO SOMOS salvaVIDAS POR UN QUINDIO GANADOR" en el Departamento del Quindio</t>
  </si>
  <si>
    <t>Definir nuevas metodologías para el desarrollo en el deporte formativo y competitivo del Departamento del Quindío</t>
  </si>
  <si>
    <t>Mejorar el rendimiento deportivo  y competitivo en los  deportistas de alto nivel competitivo y con proyección a altos logros
Determinar nuevos procesos para el desarrollo y aprendizaje en la parte técnica y táctica al interior de los clubes y ligas.</t>
  </si>
  <si>
    <t>Jefe del atarea tecnica</t>
  </si>
  <si>
    <t>241434302010101_3</t>
  </si>
  <si>
    <t>241434302010101_4</t>
  </si>
  <si>
    <t>251434302010101_6</t>
  </si>
  <si>
    <t>Juegos Deportivos Realizados</t>
  </si>
  <si>
    <t>241434302010201_4</t>
  </si>
  <si>
    <t>Desarrollo de los  XXII JUEGOS DEPORTIVOS NACIONALES Y VI JUEGOS PARANACIONALES   2023</t>
  </si>
  <si>
    <t>Generar una mayor participación  deportiva y organización de eventos multideportivos en el Departamento del Quindío</t>
  </si>
  <si>
    <t>Aumentar la asignación de recursos para el deporte formativo y competitivo</t>
  </si>
  <si>
    <t>04</t>
  </si>
  <si>
    <t>Jefe del Area tecnica</t>
  </si>
  <si>
    <t>Gerente General</t>
  </si>
  <si>
    <t>SEGUIMIENTO PLAN DE ACCIÓN
PROMOTORA DE VIVIENDA Y DESARROLLO DEL QUINDIO 
DICIEMBRE  31   DE   2020</t>
  </si>
  <si>
    <t>SEGUIMIENTO PLAN DE ACCIÓN
OFICINA PRIVADA
DICIEMBRE 31  DE 2020</t>
  </si>
  <si>
    <t>45.8</t>
  </si>
  <si>
    <t>Desarrollo de  la Política  de Transparencia, Acceso a la Información Pública y Lucha Contra la Corrupción del Modelo Integrado de Planificación y Gestión MIPG, articulada con el "Pacto por la Integridad , Transparencia y Legalidad" del Gobierno Nacional</t>
  </si>
  <si>
    <r>
      <t xml:space="preserve">Política de Transparencia, Acceso a la Información Pública y Lucha Contra la Corrupción  articulada   con el "Pacto por la Integridad , Transparencia y Legalidad" del Gobierno Nacional desarrollada.                                                                           </t>
    </r>
    <r>
      <rPr>
        <sz val="12"/>
        <color rgb="FF000000"/>
        <rFont val="Arial"/>
        <family val="2"/>
      </rPr>
      <t xml:space="preserve">        </t>
    </r>
  </si>
  <si>
    <t>0313 - 5 - 3 1 5 26 83 17 82 - 20
0313 - 5 - 1 4 17 45 82 - 20
0313 - 5 - 1 4 17 45 82 - 88</t>
  </si>
  <si>
    <t>201663000-0082</t>
  </si>
  <si>
    <t>Desarrollar y fortalecer la cultura de la transparencia, participación, buen gobierno  y valores éticos y morales en el Departamento del Quindío.</t>
  </si>
  <si>
    <t>Elevar el índice de transparencia en la administración departamental, mediante un proceso de formación incluyente con énfasis en valores éticos, morales y ciudadanos, para aumentar la confianza en la administración gubernamental del Quindío.</t>
  </si>
  <si>
    <t xml:space="preserve">.Ciudadanos altamente informados   en temas relacionados con ética, Transparencia y buen gobierno.
.Mejorar la cultura del civismo y participación de los ciudadanos en los procesos institucionales del gobierno.
</t>
  </si>
  <si>
    <t>Desarrollo de actividades de buen gobierno y participación ciudadana.</t>
  </si>
  <si>
    <t>Recurso Ordinario
Superávit Recurso Ordinario</t>
  </si>
  <si>
    <t>Alber Yaccer Quintero</t>
  </si>
  <si>
    <t xml:space="preserve">Oficina Privada </t>
  </si>
  <si>
    <t xml:space="preserve">Desarrollo de la estrategia de transparencia </t>
  </si>
  <si>
    <t>45.7</t>
  </si>
  <si>
    <t>Desarrollo e implementación de la Estrategia de Comunicaciones para la Administración Departamental</t>
  </si>
  <si>
    <t>Estrategia de comunicaciones desarrollada e implementada</t>
  </si>
  <si>
    <t>0313 - 5 - 3 1 5 28 89 17 81 - 20
0313 - 5 - 1 4 17 45 81 - 20
0313 - 5 - 1 4 17 45 81 - 88</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</si>
  <si>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</si>
  <si>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</si>
  <si>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</si>
  <si>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 xml:space="preserve">.Incremento en el número de campañas institucionales para dar a conocer los programas y proyectos de la gobernación.
.Planificación institucional en la divulgación de los programas y proyectos.
</t>
  </si>
  <si>
    <t>Ejecución de Plan de Medios (radio, prensa, revistas, televisión, portales web, redes sociales, OOH) - Revisión y Desarrollo de la estrategia de comunicaciones</t>
  </si>
  <si>
    <t>Adriana Giraldo</t>
  </si>
  <si>
    <t xml:space="preserve">Operatividad de la estrategia de comunicaciones </t>
  </si>
  <si>
    <t xml:space="preserve">Operatividad de la estratégica de comunicaciones </t>
  </si>
  <si>
    <t>42.4</t>
  </si>
  <si>
    <t xml:space="preserve">Encuentros ciudadanos en el Departamento del Quindío en aplicación de la Política de Transparencia, Acceso a la Información Pública y Lucha contra la Corrupción.  </t>
  </si>
  <si>
    <t>Encuentros  ciudadanos realizados.</t>
  </si>
  <si>
    <t>0313 - 5 - 1 4 16 42 22 - 20</t>
  </si>
  <si>
    <t>202000363-0022</t>
  </si>
  <si>
    <t>Fortalecimiento de  las capacidades institucionales de la administración departamental del Quindío, para generar condiciones de gobernanza territorial, participación, administración eficiente y transparente.</t>
  </si>
  <si>
    <t>Fortalecer las capacidades institucionales con la aplicación de la política de transparencia, acceso a la información pública y lucha contra la corrupción, generando condiciones de confianza, participación efectiva, administración eficiente y transparente en escenarios presenciales o virtuales de encuentros ciudadanos</t>
  </si>
  <si>
    <t>Tener una mejor interacción con el ciudadano, juntas de acción comunal, gobiernos municipales y gremios, mejorando el diagnóstico de las necesidades de los gobernados.
Realizar encuentros ciudadanos en los municipios, corregimientos y comunas del departamento del Quindío</t>
  </si>
  <si>
    <t xml:space="preserve">Realización de Encuentros ciudadanos  presenciales o virtuales en el departamento del Quindío en aplicación de la Política de Transparencia, Acceso a la Información Pública y Lucha contra la Corrupción.  </t>
  </si>
  <si>
    <t xml:space="preserve">JUAN MIGUEL GALVIS BEDOYA </t>
  </si>
  <si>
    <t>Secretario Privado</t>
  </si>
  <si>
    <t>SEGUIMIENTO PLAN DE ACCIÓN
SECRETARIA DE CULTURA
DICIEMBRE 31   DE   2020</t>
  </si>
  <si>
    <t>Servicio de educación informal en áreas artísticas y culturales</t>
  </si>
  <si>
    <t>0310 - 5 - 1 1 5 25 46 - 20
0310 - 5 - 1 1 5 25 46 - 39
0310 - 5 - 1 1 5 25 46 - 41
0310 - 5 - 1 1 5 25 46 - 83
0310 - 5 - 1 1 5 25 46 - 88
0310 - 5 - 3 1 3 9 29 5 46 - 20
0310 - 5 - 3 1 3 9 29 5 46 - 39</t>
  </si>
  <si>
    <t>201663000-0046</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</si>
  <si>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</si>
  <si>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</si>
  <si>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.Ampliación de las oportunidades de acceso de la ciudadanía al arte y la cultura.
.Alta concertación de proyectos con la institucionalidad cultural.
.Mayor apoyo a la creación investigación y producción artística
</t>
  </si>
  <si>
    <t>Formación artística y cultural</t>
  </si>
  <si>
    <t>Superavit Ordinario</t>
  </si>
  <si>
    <t>Recurso Ordinario (20)
Estampilla Pro Cultura (39)
 Estampilla Pro Cultura (41)
Superávit Estampilla Pro Cultura (83)
Superávit Recurso Ordinario (88)
Recurso Ordinario (20)
Estampilla Pro Cultura (39)</t>
  </si>
  <si>
    <t>Secretaría de Cultura</t>
  </si>
  <si>
    <t>Superavit Estampilla Procultura</t>
  </si>
  <si>
    <t xml:space="preserve">* Brian Arango Trujillo
* Juan Ricardo Medina 
* Vanesa Molano 
*Jorge Ivan Espinosa Hidalgo 
*Juan manuel Rodriguez brito </t>
  </si>
  <si>
    <t xml:space="preserve"> Difusión y Circulación Artística</t>
  </si>
  <si>
    <t>Recurso Ordinario.</t>
  </si>
  <si>
    <t>Apoyo técnico y logístico</t>
  </si>
  <si>
    <t>Servicio de circulación artística y cultural</t>
  </si>
  <si>
    <t>Producciones artísticas en circulación</t>
  </si>
  <si>
    <t>Apoyo técnico en la coordinación del programa concertación y estímulos</t>
  </si>
  <si>
    <t>Superavit recurso estampilla</t>
  </si>
  <si>
    <t>Fortalecimiento del sector artistico y cultural</t>
  </si>
  <si>
    <t>Convocatoria y apoyo logístico</t>
  </si>
  <si>
    <t>Estampilla Procultura 50% Concertación</t>
  </si>
  <si>
    <t>Convocatoria y apoyo logístico de proyectos concertados</t>
  </si>
  <si>
    <t>Cofinanciación de proyectos</t>
  </si>
  <si>
    <t>Evaluación y Seguimiento de proyectos concertados</t>
  </si>
  <si>
    <t>Convocatoria y apoyo logístico de proyectos programa departamental de estímulos</t>
  </si>
  <si>
    <t>Estampilla Procultura 10% Estímulos</t>
  </si>
  <si>
    <t>Evaluación y Seguimiento de proyectos programa departamental de esttímulos</t>
  </si>
  <si>
    <t>Cofinanciación de proyectos programa departamental de esttímulos</t>
  </si>
  <si>
    <t>SECRETARÍA DE CULTURA</t>
  </si>
  <si>
    <t>3301085</t>
  </si>
  <si>
    <t>Servicios bibliotecarios</t>
  </si>
  <si>
    <t>Usuarios atendidos</t>
  </si>
  <si>
    <t>0310 - 5 - 1 1 5 25 11 - 34
0310 - 5 - 1 1 5 25 11 - 83</t>
  </si>
  <si>
    <t>202000363-0011</t>
  </si>
  <si>
    <t xml:space="preserve">Implementación del programa "Tú y Yo Somos Cultura", para el fortalecimiento a la léctura,  escitura  y bibliotecas en el Departamento del Quindío. </t>
  </si>
  <si>
    <t xml:space="preserve">Fortalecer el Plan Departamental de Lectura y Bibliotecas, que garantice un mayor acceso de las personas a los servicios bibliotecarios físicos y virtuales que permitan incentivar la lectura a través de procesos de formación, producción y circulación de contenidos literarios </t>
  </si>
  <si>
    <t xml:space="preserve">*Acceso por parte de la población rural, sectores populares y/o marginales urbanos a programas de formación y actividades de promoción de lectura. 
*Fortalecimiento y acompañamiento a bibliotecarios.
*Acceso a programas y eventos de promoción, circulación y difusión literarios. </t>
  </si>
  <si>
    <t>Procesos de formacion literaria y actividades de promocion de lectura.</t>
  </si>
  <si>
    <t xml:space="preserve">Estampilla Procultura 10% Bibliotecas
</t>
  </si>
  <si>
    <t>Estampilla Pro Cultura (34)
Superavit Estampilla Pro Cultura (83)</t>
  </si>
  <si>
    <t>Coordinación y apoyo de la Red Departamental de Bibliotecas.</t>
  </si>
  <si>
    <t>Fortalecimiento y dotación de bibliotecas</t>
  </si>
  <si>
    <t>3301100</t>
  </si>
  <si>
    <t>Servicio de divulgación y publicaciones</t>
  </si>
  <si>
    <t>Publicaciones realizadas</t>
  </si>
  <si>
    <t xml:space="preserve">Publicacion, divulgacion y circulación de obras literarias y escritores locales. </t>
  </si>
  <si>
    <t>Superávit Estampilla Pro Cultura (10% Bibliotecas)</t>
  </si>
  <si>
    <t>3301099</t>
  </si>
  <si>
    <t>Servicio de información para el sector artístico y cultural</t>
  </si>
  <si>
    <t>Sistema de información del sector artístico y cultural en operación</t>
  </si>
  <si>
    <t>0310 - 5 - 1 1 5 25 12 - 20
0310 - 5 - 1 1 5 25 12 - 88</t>
  </si>
  <si>
    <t>202000363-0012</t>
  </si>
  <si>
    <t xml:space="preserve"> Implementación de la " Ruta de la felicidad y la identidad quindiana", para  el fortalecimiento y visibilización de los procesos   artisticos  y culturales   en el Departamento del Quindio.</t>
  </si>
  <si>
    <t>Implementar la " Ruta de la felicidad y la identidad quindiana", para el fortalecimiento y visibilización de los procesos artísticos y culturales en el Departamento del Quindío.</t>
  </si>
  <si>
    <t>*Servicio de información para el sector artístico y cultural.
*Apoyo  y  fortalecimiento del sector artístico y cultural, Valoración, visibilización del sector artístico y cultural</t>
  </si>
  <si>
    <t>3301095</t>
  </si>
  <si>
    <t>Servicio de asistencia técnica en gestión artística y cultural</t>
  </si>
  <si>
    <t>Personas asistidas técnicamente</t>
  </si>
  <si>
    <t>0310 - 5 - 1 1 5 25 45 - 33
0310 - 5 - 1 1 5 25 45 - 83
0310 - 5 - 1 1 5 25 45 - 88</t>
  </si>
  <si>
    <t>201663000-0045</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</si>
  <si>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</si>
  <si>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</si>
  <si>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</si>
  <si>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Aportes para la seguridad social de artistas, creadores y gestores del departamento del Quindío</t>
  </si>
  <si>
    <t>Estampilla procultura 10% Seguridad social</t>
  </si>
  <si>
    <t>Superávit Estampilla Procultura</t>
  </si>
  <si>
    <t>Gestión, protección y salvaguardia del patrimonio cultural colombiano. "Tú y yo protectores del patrimonio cultural"</t>
  </si>
  <si>
    <t>Servicio de asistencia técnica en el manejo y gestión del patrimonio arqueológico, antropológico e histórico.</t>
  </si>
  <si>
    <t xml:space="preserve">Asistencias técnicas realizadas a entidades territoriales </t>
  </si>
  <si>
    <t>0310 - 5 - 1 1 5 26 49 - 20
0310 - 5 - 1 1 5 26 49 - 47
0310 - 5 - 1 1 5 26 49 - 88
0310 - 5 - 1 1 5 26 49 - 93
0310 - 5 - 3 1 3 10 32 5 49 - 20</t>
  </si>
  <si>
    <t>201663000-0049</t>
  </si>
  <si>
    <t>Apoyo al reconocimiento, apropiación y salvaguardia y difusión del patrimonio cultural en todo el Departamento del Quindío.</t>
  </si>
  <si>
    <t>Difusión y salvaguardia del patrimonio cultural</t>
  </si>
  <si>
    <t>Recurso Ordinaro</t>
  </si>
  <si>
    <t>Recurso Ordinario (20)
Iva Telefonía Móvil (47)
Superávit Recurso Ordinario (88)
Superávit Iva Telefonía Móvil (93)</t>
  </si>
  <si>
    <t xml:space="preserve">*Juan Ricardo Medina 
*Jorge Ivan Espinosa Hidalgo </t>
  </si>
  <si>
    <t>Apoyo a procesos, evaluación y seguimiento</t>
  </si>
  <si>
    <t xml:space="preserve">Alta valoracion, apropiacion y salvaguardia del patrimonio cultural material e inmaterial </t>
  </si>
  <si>
    <t>.Programas departamentales para conservación, protección, salvaguardia y difusión del Patrimonio Cultural
.Mayor reconocimiento y valoración de la diversidad poblacional presente en el Quindío</t>
  </si>
  <si>
    <t>Apoyo a proyectos y/o actividades de poblaciones especiales</t>
  </si>
  <si>
    <t>Servicio de divulgación y publicación del Patrimonio cultural</t>
  </si>
  <si>
    <t>Ayuda humanitaria Decreto 561 del Ministerio de Cultura</t>
  </si>
  <si>
    <t>Superavit IVA Telefonia movil cultura</t>
  </si>
  <si>
    <t>IVA Telefonia movil Cultura</t>
  </si>
  <si>
    <t>JORGE IVÁN ESPINOZA HIDALGO</t>
  </si>
  <si>
    <t>Secretario de Cultura</t>
  </si>
  <si>
    <t>SEGUIMIENTO PLAN DE ACCIÓN
SECRETARIA DE AGUAS E INFRAESTRUCTURA
DICIEMBRE 31 DE 2020</t>
  </si>
  <si>
    <t>Promoción al acceso a la justicia."Tú y yo con justicia"</t>
  </si>
  <si>
    <t>1.2</t>
  </si>
  <si>
    <t xml:space="preserve">Infraestructura  de las Instituciones de seguridad del estado con procesos  constructivos   y/o mejorados y/o ampliados y/o mantenidos y/o  reforzados </t>
  </si>
  <si>
    <t xml:space="preserve">Infraestructura  de las Instituciones de seguridad del estado construida y/o Mejorada, y/o Ampliada, y/o Mantenida, Y/o  Reforzada </t>
  </si>
  <si>
    <t>0308 - 5 - 1 1 18 1 7 - 88</t>
  </si>
  <si>
    <t>202000363-0007</t>
  </si>
  <si>
    <t>Construcción y/o mejoramiento de las instituciones públicas y/o de seguridad y  justicia  del estado en el Departamento Quindío .</t>
  </si>
  <si>
    <t>fortalecer infraestructuras públicas, equipamientos y equipamentos,  mediante diagnósticos que nos permitan establecer las condiciones que se encuentran con el fin de realizar intervenciones en la mejora de cada uno que permita  el buen funcionamiento.</t>
  </si>
  <si>
    <t>1- Promover la transparencia, la participación y la colaboración en la administración pública.                               2- Involucrar a la ciudadanía en el diseño, gestión de las diferentes estrategias a ejecutar para que sean beneficiados.</t>
  </si>
  <si>
    <t>Secretaría de Aguas e Infraestructura</t>
  </si>
  <si>
    <t>Prestación de servicios de salud. "Tú y yo con servicios de salud"</t>
  </si>
  <si>
    <t>13.11</t>
  </si>
  <si>
    <t xml:space="preserve">Infraestructura  Hospitalaria  con procesos  constructivos  y/o mejorados, y/o ampliados y/o mantenidos, y/o  reforzados </t>
  </si>
  <si>
    <t xml:space="preserve">Infraestructura   Hospitalaria  construída y/o Mejorada, y/o Ampliada, y/o Mantenida, y/o  Reforzada </t>
  </si>
  <si>
    <t>0308 - 5 - 1 1 2 13 8 - 88</t>
  </si>
  <si>
    <t>202000363-0008</t>
  </si>
  <si>
    <t>Construccion y/o mejoramiento de la infraestructura fisica de las instituciones de salud pública y bienestar social del departamento del quindio.</t>
  </si>
  <si>
    <t>Aumentar capacidad de infraestructura que permita la  prestaciòn del servicio de salud en el Departamento del Quindio.</t>
  </si>
  <si>
    <t xml:space="preserve">1- Aumentar la infraestructura cumpliendo con requisitos para la atenciòn basica en salud.
2- Disponer de sitios aptos para la atenciòn basica de salud
3 - Garantizar el acceso efectivo de la poblaciòn a los servicios de atenciòn  en salud
</t>
  </si>
  <si>
    <t>15.32</t>
  </si>
  <si>
    <t xml:space="preserve">Infraestructura  de Instituciones Educativas  con procesos  constructivos ,  y/o mejorados, y/o ampliados, y/o mantenidos, y/o  reforzados </t>
  </si>
  <si>
    <t>0308 - 5 - 1 1 1 15 21 - 04
0308 - 5 - 1 1 1 15 21 - 82
0308 - 5 - 3 1 2 4 15 1 21 - 04
0308 - 5 - 3 1 2 4 15 1 21 - 165</t>
  </si>
  <si>
    <t>201663000-0021</t>
  </si>
  <si>
    <t>Construir, mantener, mejorar y/o rehabilitar la infraestructura social del Departamento del Quindio</t>
  </si>
  <si>
    <t>Construir, mantener, mejorar y/o rehabilitar la infraestructura social del departamento del Quindío.</t>
  </si>
  <si>
    <t>Mantener en buen estado la infraestructura y asequible la infraestructura social del departamento del Quindío</t>
  </si>
  <si>
    <t>Servicio de transporte para el desplazamiento del personal y materiales  a las obras físicas</t>
  </si>
  <si>
    <t>82
4</t>
  </si>
  <si>
    <t>MILTON TORRES ANDRES PELAEZ</t>
  </si>
  <si>
    <t>Suministro y/o compraventa de materiales, elementos y  equipos necesarios para la ejecucion de proyectos en infraestructura educativa</t>
  </si>
  <si>
    <t>Prestacion de Servicios de Asistencia Profesional a la supervision en la vigilancia, seguimiento y control juridico de los contratos suscritos en cumplimiento del proyecto.</t>
  </si>
  <si>
    <t>Apoyo a la Supervision en la vigilancia, seguimiento y control juridico a los procesos y contratos de obra fìsica en ejecucion suscritos por el Departamento en cumplimiento del proyecto construir mantener, mejorar y/o rehabilitar la infraestructura socal-educativa del Departamento del Quindìo.</t>
  </si>
  <si>
    <t>Prestacion de Servicios de Apoyo Tecnico a la supervision en la vigilancia, seguimiento y contral juridico de los contratos suscritos por el Departamento</t>
  </si>
  <si>
    <t>Asistencia Profesional a la supervision en la vigilancia y seguimiento y control  Financiero y Administrativo de los contratos suscritos en cumplimiento del proyecto.</t>
  </si>
  <si>
    <t>Seguimiento y control administrativo y financiero de las obras y contratos suscritos y en ejecucion por el Departamento en cumplimiento del proyecto construir mantener, mejorar y/o rehabilitar la infraestructura socal-educativa del Departamento del Quindìo.</t>
  </si>
  <si>
    <t>Prestacion de Servicios de Asistencia Profesional  a la Supervision de obras fisicas y procesos que se adelanten en cumplimiento del proyecto.</t>
  </si>
  <si>
    <t>Seguimiento y control de obras físicas y procesos que se adelanten en cumplimiento del proyecto.</t>
  </si>
  <si>
    <t>Prestacion de Servicios de Apoyo Tecnico a la supervision  de obras fisicas y procesos que se adelanten en cumplimiento del proyecto.</t>
  </si>
  <si>
    <t xml:space="preserve">Apoyo  tecnico a la Supervision, en la vigilancia, seguimiento y control de las obras  y contratos suscritos, para manterner mejorar y/o rehabilitar la infraestructura social-educativa del Departamento del Quindio. </t>
  </si>
  <si>
    <t>Mano de obra calificada y/o no calificada necesaria para la ejecucion de obras fìsicas de mantenimiento y/o mejoramiento y/o rehabilitacion y/o atencion de la infraestructura social y de Instituciones educativas del Departamento del Quindìo</t>
  </si>
  <si>
    <t xml:space="preserve">Prestacion de servicios de mano de obra no calificada necesaria para el cumplimiento del Proyecto  </t>
  </si>
  <si>
    <t>Mantener, mejorar y/o rehabilitar las Instituciones Educativas del Departamento del Quindio.</t>
  </si>
  <si>
    <t>Interventoría integral para los contratos que se adelanten en Infraestructura Educativa.</t>
  </si>
  <si>
    <t>3301068</t>
  </si>
  <si>
    <t>25.3</t>
  </si>
  <si>
    <t>Servicio de mantenimiento de infraestructura cultural</t>
  </si>
  <si>
    <t>Infraestructura cultural intervenida</t>
  </si>
  <si>
    <t>0308 - 5 - 1 1 5 25 21 - 20
0308 - 5 - 1 1 5 25 21 - 88</t>
  </si>
  <si>
    <t>Mano de obra calificada y/o no calificada necesaria para la ejecucion de obras fìsicas de mantenimiento y/o mejoramiento y/o rehabilitacion y/o atencion de la infraestructura social y Cultural del Departamento del Quindìo</t>
  </si>
  <si>
    <t>Suministro y/o compraventa de materiales, elementos y  equipos necesarios para la ejecucion del proyectos</t>
  </si>
  <si>
    <t>39.4</t>
  </si>
  <si>
    <t xml:space="preserve">Infraestructura  deportiva y/o recreativa con procesos   constructivos ,  y/o mejorados, y/o ampliados, y/o mantenidos, y/o  reforzados </t>
  </si>
  <si>
    <t>0308 - 5 - 1 1 4 39 21 - 04</t>
  </si>
  <si>
    <t xml:space="preserve">Servicio de transporte  para el desplazamiento del personal  y materiales a las obras físicas  </t>
  </si>
  <si>
    <t>Suministro y/o compraventa de materiales, elementos y  equipos necesarios para la realizacion de proyectos en infraestructura deportiva.</t>
  </si>
  <si>
    <t>Apoyo a la Supervision en la vigilancia, seguimiento y control juridico a los procesos y contratos de obra fìsica en ejecucion suscritos por el Departamento en cumplimiento del proyecto construir mantener, mejorar y/o rehabilitar la infraestructura socal- deportiva del Departamento del Quindìo.</t>
  </si>
  <si>
    <t>Prestacion de Servicios de Apoyo Tecnico a la supervision en la vigilancia, seguimiento y contral juridico de los contratos suscritos por el Departamento.</t>
  </si>
  <si>
    <t>Seguimiento y control administrativo y financiero de las obras y contratos suscritos y en ejecucion por el Departamento en cumplimiento del proyecto construir mantener, mejorar y/o rehabilitar la infraestructura socal-deportiva del Departamento del Quindìo.</t>
  </si>
  <si>
    <t xml:space="preserve">Apoyo tecnico a la Supervision, en la vigilancia, seguimiento y control de las obras  y contratos suscritos, para manterner mejorar y/o rehabilitar la infraestructura social-deportiva del Departamento del Quindio. </t>
  </si>
  <si>
    <t>Mano de obra calificada y/o no calificada necesaria para la ejecucion de obras fìsicas de mantenimiento y/o mejoramiento y/o rehabilitacion y/o atencion de la infraestructura social y deportiva del Departamento del Quindìo</t>
  </si>
  <si>
    <t>Construccion, mejoramiento y/o rehabilitacion de Infraestructura Deportiva del Departamento del Quindio</t>
  </si>
  <si>
    <t>40.1</t>
  </si>
  <si>
    <t>Piscinas construidas y dotadas</t>
  </si>
  <si>
    <t>0308 - 5 - 1 1 4 40 21 - 04 0308 - 5 - 1 1 4 40 21 - 82</t>
  </si>
  <si>
    <t>Apoyo a la supervision en la vigilacia, seguimiento y control juridico a los procesos y contratos de obra fisica en ejecucion, suscritos por el departamento en cumplimiento del proyecto, construir, mantener, mejorar y/o rehabilitar la infraestructura social - deportiva del Departamento del Quindío</t>
  </si>
  <si>
    <t>Seguimiento y control administrativo y financiero de las obrasy contratos suscritos y en ejecucion por el departamento en cumplimiento del proyecto, construir, mantener, mejorar y/o rehabilitar la infraestructura social - deportiva del Departamento del Quindío</t>
  </si>
  <si>
    <t>Seguimiento y control de obras fisicas y procesos que se adelanten en cumplimiento del proyecto</t>
  </si>
  <si>
    <t>Estudios y diseños y/o construcción, mantenimiento, mejoramiento y/o rehabilitacion de piscina en el Departamento del Quindìo</t>
  </si>
  <si>
    <t>Interventoría integral para los contratos que se adelanten en Infraestructura Deportiva.</t>
  </si>
  <si>
    <t>10.4</t>
  </si>
  <si>
    <t>Plazas de mercado adecuadas</t>
  </si>
  <si>
    <t>0308 - 5 - 1 2 13 10 9 - 88</t>
  </si>
  <si>
    <t>202000363-0009</t>
  </si>
  <si>
    <t>Construcción y/o mejoramiento  de la infraestructura turística y/o  productiva y  competitiva       para el desarrollo del Departamento del Quindío</t>
  </si>
  <si>
    <t>Fortalecer de manera eficaz y eficiente  las infraestructuras turistica y productiva del Departamento del Quindío que permita el fortalecimiento  de las variables antes mencionadas  en los diferentes municipios.</t>
  </si>
  <si>
    <t>1-Gestionar recursos para desarrollar los mantenimientos periódicos a los equipamientos colectivos.                                                       2- Aumentar la cobertura y mejoramiento de infraestructura turistica y productiva en los diferentes municipios del Departamento del Quindío</t>
  </si>
  <si>
    <t>27.8</t>
  </si>
  <si>
    <t>Mirador turístico construido</t>
  </si>
  <si>
    <t>0308 - 5 - 1 2 13 27 9 - 88</t>
  </si>
  <si>
    <t>Construcción y/o mejoramiento  de la infraestructura turística y/o  productiva y  competitiva       para el desarrollo del Departamento del Quindío..</t>
  </si>
  <si>
    <t>1-Gestionar recursos para desarrollar los mantenimientos periódicos a los equipamientos colectivos.                                                                 2- Aumentar la cobertura y mejoramiento de infraestructura turistica y productiva en los diferentes municipios del Departamento del Quindío</t>
  </si>
  <si>
    <t>18.2</t>
  </si>
  <si>
    <t>Infraestructura   vial  con procesos  de construcción, mejoramiento, ampliación, mantenimiento y/o  reforzamiento.</t>
  </si>
  <si>
    <t xml:space="preserve">Infraestructura  vial    construída, mejorada, ampliada,  mantenida, y/o  reforzada </t>
  </si>
  <si>
    <t>0308 - 5 - 1 3 9 18 19 - 20
0308 - 5 - 1 3 9 18 19 - 23
0308 - 5 - 1 3 9 18 19 - 88
0308 - 5 - 1 3 9 18 19 - 89
0308 - 5 - 3 1 2 4 14 9 19 - 20
0308 - 5 - 3 1 2 4 14 9 19 - 23</t>
  </si>
  <si>
    <t>201663000-0019</t>
  </si>
  <si>
    <t>Mantener, mejorar, rehabilitar y/o atender las vías y sus emergencias, en cumplimiento del Plan Vial del Departamento del Quindío.</t>
  </si>
  <si>
    <t>Mantener, mejorar y/o rehabilitar la infraestructura vial del departamento del Quindío.</t>
  </si>
  <si>
    <t xml:space="preserve">Atender oportunamente y con calidad la infraestructura vial del departamento con mantenimiento y rehabilitación </t>
  </si>
  <si>
    <t>Apoyo a la Supervision en la vigilancia, seguimiento y control juridico a los procesos,  y contratos de obra fìsica en ejecucion y suscritos por el Departamento en cumplimiento del proyecto Mantener, mejorar, rehabilitar y/o atender emergencias en las  vías, en cumplimiento del Plan Vial del Departamento del Quindío.</t>
  </si>
  <si>
    <t>20
23    88</t>
  </si>
  <si>
    <t>ALFONSO VELEZ</t>
  </si>
  <si>
    <t xml:space="preserve">Suministro de combustible </t>
  </si>
  <si>
    <t>Servicio de Vigilancia en puntos aleatorios</t>
  </si>
  <si>
    <t>Prestacion de Servicios de Asistencia Profesional y/o asistencia tecnica a la supervision en la vigilancia, seguimiento y control juridico de los contratos suscritos en cumplimiento del proyecto.</t>
  </si>
  <si>
    <t>Prestacion de Servicios de Asistencia Tecnica a la supervision  de obras fisicas y procesos que se adelanten en cumplimiento del proyecto</t>
  </si>
  <si>
    <t xml:space="preserve">Prestacion de Servicios Profesionales para la Direccion y la Coordinacion de la maquinaria </t>
  </si>
  <si>
    <t xml:space="preserve">Prestacion de Servicios para la operación de maquinaria pesada, vehiculos y equipos </t>
  </si>
  <si>
    <t xml:space="preserve">Prestacion de Servicios de mano de obra no calificada </t>
  </si>
  <si>
    <t xml:space="preserve">Mano de obra calificada y/o no calificada necesaria para la ejecucion de obras fìsicas de mantenimiento, mejorarimento  de las vìas y sus emergencia en cumplimiento del Plan Vial del Departamento del Quindío.
</t>
  </si>
  <si>
    <t xml:space="preserve">Mantenimiento y/o mejoramiento de las vias secundarias y terciarias en el departamento del Qundio
</t>
  </si>
  <si>
    <t xml:space="preserve">Suministro y/o compraventa de materiales, elementos y  equipos </t>
  </si>
  <si>
    <t>Seguimiento y control administrativo y financiero de las obras y contratos suscritos y en ejecucion por el Departamento en cumplimiento del proyecto Mantener, mejorar, rehabilitar y/o atender emergencias en las  vías, en cumplimiento del Plan Vial del Departamento del Quindío</t>
  </si>
  <si>
    <t>18.3</t>
  </si>
  <si>
    <t xml:space="preserve">Estudios y diseños de infraestructura vial </t>
  </si>
  <si>
    <t>Estudios y diseños de infraestructura vial elaborado</t>
  </si>
  <si>
    <t>Estudios y diseños de infraestructura vial</t>
  </si>
  <si>
    <t>21.3</t>
  </si>
  <si>
    <t xml:space="preserve">Infraestructura ecoturística construida </t>
  </si>
  <si>
    <t>0308 - 5 - 1 3 13 21 9 - 88</t>
  </si>
  <si>
    <t>23.5</t>
  </si>
  <si>
    <t>Obras de infraestructura para mitigación y atención a desastres</t>
  </si>
  <si>
    <t xml:space="preserve">Obras de infraestructura para mitigación y atención a desastres realizadas </t>
  </si>
  <si>
    <t>309 - 5 - 1 3 9 23 19 - 23 0308 - 5 - 1 3 9 23 19 - 88</t>
  </si>
  <si>
    <t>33.3</t>
  </si>
  <si>
    <t>Viviendas de Interés Social urbanas mejoradas</t>
  </si>
  <si>
    <t>0308 - 5 - 1 3 7 33 21 - 04
0308 - 5 - 1 3 7 33 21 - 82</t>
  </si>
  <si>
    <t>Mejoramiento de vivienda urbana y/o rural priorizada en el Departamento del Quindio.</t>
  </si>
  <si>
    <t>Mano de obra calificada y/o no calificada necesaria para la ejecucion de obras fìsicas Mejoramiento de vivienda urbana y/o rural priorizada en el Departamento del Quindio.</t>
  </si>
  <si>
    <t>Acceso de la población a los servicios de agua potable y saneamiento básico. "Tú y yo con calidad del agua"</t>
  </si>
  <si>
    <t>34.6</t>
  </si>
  <si>
    <t xml:space="preserve">Adoptar e implementar la Política Publica de Producción Consumo Sostenible y Gestión Integral de Aseo  </t>
  </si>
  <si>
    <t>Política Pública de Producción Consumo Sostenible y Gestión Integral de Aseo  adoptada e implementada.</t>
  </si>
  <si>
    <t>0308 - 5 - 1 3 3 34 10 - 20
0308 - 5 - 1 3 3 34 10 - 27
0308 - 5 - 1 3 3 34 10 - 82
0308 - 5 - 1 3 3 34 10 - 88
0308 - 5 - 1 3 3 34 10 - 90</t>
  </si>
  <si>
    <t>202000363-0010</t>
  </si>
  <si>
    <t>Implementación del Plan departamental para el manejo empresarial de los servicios de agua y saneamiento basico en el departameno del Quindio.</t>
  </si>
  <si>
    <t>Implementar estrategias de planeacion y coordinacion interinstitucional para el manejo de los esquemas de abastecimiento y prestación de los servicos de agua y sanemiento urbanos y rurales</t>
  </si>
  <si>
    <t>*Articular recursos, planificación e inversión en agua y saneamiento básico.
*Implemetar modelos de sostenibilidad para los esquemas de prestación</t>
  </si>
  <si>
    <t>S.G.P. Agua Potable y Saneamiento Básico</t>
  </si>
  <si>
    <t>Maria Monica Camacho Valladares, Gestor PDA</t>
  </si>
  <si>
    <t>Jhon Jaber Castro Mancera Secretario de Aguas e Infraestructura</t>
  </si>
  <si>
    <t>4003018</t>
  </si>
  <si>
    <t xml:space="preserve"> 34.1 </t>
  </si>
  <si>
    <t>Alcantarillados construidos</t>
  </si>
  <si>
    <t>Plantas de tratamiento de aguas residuales  construidas</t>
  </si>
  <si>
    <t xml:space="preserve">
S.G.P. Agua Potable y Saneamiento Básico</t>
  </si>
  <si>
    <t>4003025</t>
  </si>
  <si>
    <t>34.2</t>
  </si>
  <si>
    <t>Servicios de apoyo financiero para la ejecución de proyectos de acueductos y alcantarillado</t>
  </si>
  <si>
    <t>Proyectos de acueducto y alcantarillado en área urbana financiados</t>
  </si>
  <si>
    <t>Superávit  S.G.P. Agua Potable Y Saneamiento Básico</t>
  </si>
  <si>
    <t>4003028</t>
  </si>
  <si>
    <t xml:space="preserve"> 34.4 </t>
  </si>
  <si>
    <t>Servicios de educación informal en agua potable y saneamiento básico</t>
  </si>
  <si>
    <t>Eventos de educación informal en agua y saneamiento básico realizados</t>
  </si>
  <si>
    <t xml:space="preserve"> 34.5 </t>
  </si>
  <si>
    <t>45.10</t>
  </si>
  <si>
    <t>Infraestructura Institucional o  de Edificios Públicos de atención  de servicios ciudadanos con procesos   constructivos   y/o mejorados y/o ampliados, y/o mantenidos, y/o  reforzados</t>
  </si>
  <si>
    <t>0308 - 5 - 1 4 17 45 21 - 165
0308 - 5 - 1 4 17 45 21 - 20</t>
  </si>
  <si>
    <t>Construir, mantener, mejorar y/o rehabilitar la infraestructura institucional o de edificios pùblicos del Departamento del Quindìo.</t>
  </si>
  <si>
    <t>42.7</t>
  </si>
  <si>
    <t>Salones comunales adecuados</t>
  </si>
  <si>
    <t>0308 - 5 - 1 4 16 42 21 - 20
0308 - 5 - 1 4 16 42 21 - 88</t>
  </si>
  <si>
    <t>Mano de obra calificada y/o no calificada necesaria para la ejecucion de obras fìsicas de  mantenimiento y/o mejoramiento de salones comunales del  Departamento del Quindio.</t>
  </si>
  <si>
    <t>JHON FABER CASTRO MANCERA</t>
  </si>
  <si>
    <t>Secretario de Aguas e Infraestructura</t>
  </si>
  <si>
    <t>0304 - 5 - 1 4 17 45 4 - 88</t>
  </si>
  <si>
    <t>0304 - 5 - 1 4 16 42 5 - 88</t>
  </si>
  <si>
    <t>0304 - 5 - 1 4 17 45 3 - 88</t>
  </si>
  <si>
    <t>SEGUIMIENTO PLAN DE ACCIÓN
SECRETARIA DE HACIENDA
DICIEMBRE 31 DE 2020</t>
  </si>
  <si>
    <t>CODIGO INTERNO 
META</t>
  </si>
  <si>
    <t>45.2</t>
  </si>
  <si>
    <t>Estrategia para el mejoramiento del Índice de Desempeño Fiscal en la Administración Departamental.</t>
  </si>
  <si>
    <t>Estrategia  de fortalecimiento  del Índice de Desempeño  Fiscal implementadas.</t>
  </si>
  <si>
    <t>0307 - 5 - 1 4 17 45 16 - 20
0307 - 5 - 1 4 17 45 16 - 56
0307 - 5 - 1 4 17 45 16 - 88
0307 - 5 - 3 1 5 28 88 17 16 - 20</t>
  </si>
  <si>
    <t>201663000-0016</t>
  </si>
  <si>
    <t>Mejoramiento de la sostenibilidad de los procesos de fiscalización liquidación control y cobranza de los tributos en el Departamento del Quindío</t>
  </si>
  <si>
    <t xml:space="preserve">Aumentar los  porcentajes de crecimiento de los ingresos en el Departamento del Quindío, a través de procesos de fiscalización, procedimientos administrativos de cobro coactivo de la cartera morosa y cumplimiento del  Programa Anti contrabando </t>
  </si>
  <si>
    <t>Realizar procesos de fiscalización de las rentas Departamentales, a través de la realización de controles en la liquidación y cobranza  en los tributos con el fin de aumentar los ingresos consolidar la cultura tributaria y aumentar la inversión. 
Llevar a cabo la implementación de los diferentes Procesos Administrativos de Cobro Coactivo sobre aquellos contribuyentes que se encuentran en mora de cancelar sus obligaciones tributarias
Ejecutar el Programa Anti contrabando en el Departamento del Quindío con ocasión de la suscripción del Convenio entre el Departamento del Quindío y la Federación Nacional de Departamentos</t>
  </si>
  <si>
    <t>Ejecutar el proceso de fiscalización tendiente a contribuir al mejoramiento del índice  fiscal</t>
  </si>
  <si>
    <t>Recurso Ordinario.
Superávit Recurso Ordinario.
Nación Cofinanciación- Convenio Federación Nacional de Departamentos</t>
  </si>
  <si>
    <t xml:space="preserve">Mónica Andrea Salgado Castro Directora Tributaria Secretaria de Hacienda </t>
  </si>
  <si>
    <t>Aleyda Marin Betancourt
Secretaría de Hacienda</t>
  </si>
  <si>
    <t>Procesos de Fiscalización sobre  LAS RENTAS DEPARTAMENTALES</t>
  </si>
  <si>
    <t>Ejecutar la estrategia de cobro coactivo acorde al ET Nacional de las diferentes rentas departamentales con el fin de incrementar el índice fiscal.</t>
  </si>
  <si>
    <t>Procedimiento Administrativo de Cobro Coactivo frente a la cartera de las diferentes Rentas del Departamento del Quindío</t>
  </si>
  <si>
    <t>Ejecutar el programa anticontrabando suscrito con la federación Nacional de Departamentos</t>
  </si>
  <si>
    <t>Nación Cofinanciación- Convenio Federación Nacional de Departamentos</t>
  </si>
  <si>
    <t>45.11</t>
  </si>
  <si>
    <t xml:space="preserve">Programa para el cumplimiento de las políticas y prácticas contables para la administración departamental         </t>
  </si>
  <si>
    <t>Programa para el cumplimiento de las políticas y prácticas contables implementado</t>
  </si>
  <si>
    <t>0307 - 5 - 1 4 17 45 17 - 20
0307 - 5 - 1 4 17 45 17 - 88
0307 - 5 - 3 1 5 28 88 17 17 - 20</t>
  </si>
  <si>
    <t>201663000-0017</t>
  </si>
  <si>
    <t xml:space="preserve">Implementación de un programa de gestión financiera para la optimización de los procesos en el área de tesorería, presupuesto y contabilidad en el Departamento del Quindío </t>
  </si>
  <si>
    <t>Fortalecer la Gestión Financiera mediante la consolidación de los Sistemas de Información, implementación de Normas Internacionales de Información Financiera NIIF,  crecimiento real de ingresos, sostenibilidad de la deuda y el manejo de pasivos, a fin de garantizar la confiabilidad de la Información Financiera y aplicación de Normas en las Finanzas Públicas</t>
  </si>
  <si>
    <t>Adoptar el nuevo modelo de información Financiera determinado por las Normas Internacionales de Contabilidad de información financiera NIIF, a fin de garantizar la confiabilidad de la información financiera.</t>
  </si>
  <si>
    <t>Ejecución de Normas Internacionales de Información Financiera (NIIF) y fortalecimiento institucional para el cumplimiento de las políticas y practicas contables en el área de tesorería, Presupuesto y Contabilidad</t>
  </si>
  <si>
    <t xml:space="preserve">Recurso Ordinario.
Superávit Recurso Ordinario.
Nación </t>
  </si>
  <si>
    <t>Magnolia Gonzales Quintero   Directora Financiera Secretaria  de Hacienda</t>
  </si>
  <si>
    <t>ALEYDA MARIN BETANCOURT</t>
  </si>
  <si>
    <t>Secretario de Hacienda</t>
  </si>
  <si>
    <t>SEGUIMIENTO PLAN DE ACCIÓN
SECRETARIA DEL INTERIOR
DICIEMBRE 31 DE   2020</t>
  </si>
  <si>
    <t xml:space="preserve">F-PLA-07   </t>
  </si>
  <si>
    <t xml:space="preserve">INCLUSIÓN SOCIAL Y EQUIDAD </t>
  </si>
  <si>
    <t>1.1</t>
  </si>
  <si>
    <t>Servicio de asistencia técnica para la articulación de los operadores de los Servicios de justicia</t>
  </si>
  <si>
    <t xml:space="preserve">0309 - 5 - 1 1 18 1 29 - 20
0309 - 5 - 1 1 18 1 29 - 88
0309 - 5 - 3 1 4 23 76 18 29 - 20
</t>
  </si>
  <si>
    <t>201663000-0029</t>
  </si>
  <si>
    <t>Apoyo a la convivencia, justicia y cultura de paz en el Departamento del  Quindio.</t>
  </si>
  <si>
    <t>Reducir la tasa de homicidios en el Quindío.</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</si>
  <si>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</si>
  <si>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Generación y/o apoyo a programas de intervención social y/o de seguridad </t>
  </si>
  <si>
    <t>FABER RIVEROS NICHOLLS, Director Desarrollo Comunitario, Seguridad,Convivencia y PC</t>
  </si>
  <si>
    <t xml:space="preserve">Secretaría del Interior </t>
  </si>
  <si>
    <t xml:space="preserve">Intervenciones Psicosociales y/o de formación productiva integrales en los cinco municipios focalizados </t>
  </si>
  <si>
    <t>Apoyo juridico  para intervenciones focalizadas en poblacion vulnerable</t>
  </si>
  <si>
    <t>Implementación de programas ludicos,culturales y/o deportivos  para población vulnerable en areas focalizadas</t>
  </si>
  <si>
    <t>Seguimiento a la  ejecución de los objetivos del PISCC</t>
  </si>
  <si>
    <t>Formulacion de PISCC para la vigencia 2020-2023</t>
  </si>
  <si>
    <t>Promoción de los métodos de resolución de conflictos. "Tú y yo resolvemos los conflictos"</t>
  </si>
  <si>
    <t>2.1</t>
  </si>
  <si>
    <t>Servicio de asistencia técnica para la implementación de los métodos de resolución de conflictos</t>
  </si>
  <si>
    <t>Instituciones públicas y privadas asistidas técnicamente en métodos de resolución de conflictos</t>
  </si>
  <si>
    <t>0309 - 5 - 1 1 18 2 28 - 20
0309 - 5 - 1 1 18 2 28 - 88
0309 - 5 - 3 1 4 23 75 18 28 - 20</t>
  </si>
  <si>
    <t>201663000-0028</t>
  </si>
  <si>
    <t xml:space="preserve">Construcción integral de la seguridad humana en el Departamento de Quindio.  </t>
  </si>
  <si>
    <t xml:space="preserve">Reducir la tasa de homicidios en el Quindío
Reducir casos de hurto a residencias, comercio y personas.
</t>
  </si>
  <si>
    <t xml:space="preserve">1. Obtención de resultados en las estrategias implementadas en la prevención y mitigación del delito
2. Garantías para el ejercicio  de la libertad en todos sus ámbitos
3. Incremento de  cobertura en instrumentos operativos y logísticos para la atención y prevención del de delito que afectan a la comunidad.
</t>
  </si>
  <si>
    <t>Apoyo para iniciativas,actividades y/o proyectos productivos dirigidos a población de infancia y adolescencia</t>
  </si>
  <si>
    <t>FABER RIVEROS NICHOLLS, Director Desarrollo Comunitario, Seguridad, Convivencia y PC</t>
  </si>
  <si>
    <t>Servicios de apoyo psicosocial para resolucion de conflictos</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</si>
  <si>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</si>
  <si>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</si>
  <si>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</si>
  <si>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 xml:space="preserve">
0309 - 5 - 1 1 18 3 28 - 20
0309 - 5 - 1 1 18 3 28 - 88
0309 - 5 - 3 1 4 23 75 18 28 - 20
 </t>
  </si>
  <si>
    <t>Reducir la tasa de homicidios en el Quindío
Reducir casos de hurto a residencias, comercio y personas.</t>
  </si>
  <si>
    <t>Apoyo para iniciativas,actividades y/o proyectos productivos</t>
  </si>
  <si>
    <t>Servicios de apoyo psicosocial para personas privadas de la libertad</t>
  </si>
  <si>
    <t>Programas de fortalecimiento del Sistema de Responsabilidad Penal para adolescentes</t>
  </si>
  <si>
    <t>15.28</t>
  </si>
  <si>
    <t>Servicio de gestión de riesgos y desastres en establecimientos educativos</t>
  </si>
  <si>
    <t>Establecimientos educativos con acciones de gestión del riesgo implementadas</t>
  </si>
  <si>
    <t xml:space="preserve">
0309 - 5 - 1 1 1 15 36 - 88
</t>
  </si>
  <si>
    <t>201663000-0036</t>
  </si>
  <si>
    <t xml:space="preserve">Administración del  riesgo mediante el conocimiento, la reducción y el manejo del desastre  en el Departamento del Quindio. </t>
  </si>
  <si>
    <t>Lograr que las ciudades y los asentamientos humanos sean inclusivos,resilientes y sostenibles (ODS-objetivo 11)</t>
  </si>
  <si>
    <t xml:space="preserve">1. Conocimiento de los riesgos en el departamento.
2. Diseñar modelos de reducción del riesgo en el departamento.
3. Fortalecer las instituciones  para el adecuado manejo de los desastres.  
</t>
  </si>
  <si>
    <t>Formulacion de los planes escolares de gestion del riesgo</t>
  </si>
  <si>
    <t>MARIA CAMILA DIEZ MARTINEZ,
 Directora UDEGERD</t>
  </si>
  <si>
    <t>Actualizacion de los planes escolares de gestion del riesgo</t>
  </si>
  <si>
    <t>Apoyo en la Implementacion de los planes escolares de gestion del riesgo</t>
  </si>
  <si>
    <t>Atención, asistencia y reparación integral a las víctimas. "Tú y yo con reparación integral"</t>
  </si>
  <si>
    <t>35.2</t>
  </si>
  <si>
    <t>Servicio de orientación y comunicación a las víctimas</t>
  </si>
  <si>
    <t>Solicitudes tramitadas</t>
  </si>
  <si>
    <t>0309 - 5 - 1 1 14 35 30 - 20
0309 - 5 - 1 1 14 35 30 - 88
0309 - 5 - 3 1 4 24 78 14 30 - 20</t>
  </si>
  <si>
    <t>201663000-0030</t>
  </si>
  <si>
    <t>Implementación del Plan de Acción Territorial para la prevención, protección, asistencia, atención, reparación integral en el Departamento del Quindio.</t>
  </si>
  <si>
    <t>Incremento del porcentaje de cumplimiento de ley  1448 de 2011 atención a víctimas, que garantice  el goce efectivo de derechos</t>
  </si>
  <si>
    <t xml:space="preserve">1. Entidades territoriales con asignación presupuestal por necesidad identificada 
2.Procesos de paz en ejecución  para el fin del conflicto 
3.Articulación institucional.
</t>
  </si>
  <si>
    <t>Socialización de rutas de protección a las victimas de los 12 municipios del Departamento.</t>
  </si>
  <si>
    <t>Superávit Recurso Ordinario R.O.</t>
  </si>
  <si>
    <t>JUANA CAMILA GOMEZ ZAMORANO, Directora Derechos Humanos</t>
  </si>
  <si>
    <t>Apoyo a la educacion  de las victimas del conflicto</t>
  </si>
  <si>
    <t>Brindar informacion y orientación a las victimas del conflicto de los 12 municipios del departamento.</t>
  </si>
  <si>
    <t>Brindar asistencia y capacitacion a las victimas de  los 12 municipios del Departamento en la ley de victimas y restitución de tierras y sus enfoques reglamentarios</t>
  </si>
  <si>
    <t>Realizar jornadas de prevencion a vulneraciones de DDHH y DIH a victimas en los 12 municipios del Departamento</t>
  </si>
  <si>
    <t>Equipos tecnologicos para el fortalecimeinto y seguimiento a los procesos con las victimas del conflicto armado en el depto del quindio y los diferentes espcios en los que intervienen</t>
  </si>
  <si>
    <t>Diligenciamiento de  RUSICST y Tablero PAT Departamental</t>
  </si>
  <si>
    <t xml:space="preserve">Brindar asistencia a los 12 municipios del Departamento para las aprobaciones y actualizaciones de los PAT municipales de manera armonica con el PAT departamental. </t>
  </si>
  <si>
    <t>Manejo de administracion de plataformas para la gestion de los procesos para polbacion victima del depto del Quindio</t>
  </si>
  <si>
    <t>Apoyo a productividad de la población víctima</t>
  </si>
  <si>
    <t>Apoyo a procesos de caracterización de los municipios, cuando sea requerido por èstos</t>
  </si>
  <si>
    <t>35.3</t>
  </si>
  <si>
    <t>Servicio de ayuda y atención humanitaria</t>
  </si>
  <si>
    <t>Personas víctimas con ayuda humanitaria</t>
  </si>
  <si>
    <t>Concurrir, complementar y subsidiar los kits de ayuda  humanitaria inmediata en los 12 municipios del Quindio</t>
  </si>
  <si>
    <t xml:space="preserve">Apoyar los procesos de retorno y reubicación de las victimas del conflicto armado, en caso de ser requerido </t>
  </si>
  <si>
    <t>Logística y/o refrigerios</t>
  </si>
  <si>
    <t>Seguimiento a implementación  de la Herramienta de Gestión Local en los 12 municipios del Departamento</t>
  </si>
  <si>
    <t>35.4</t>
  </si>
  <si>
    <t>Servicio de asistencia técnica para la participación de las víctimas</t>
  </si>
  <si>
    <t>Eventos de participación realizados</t>
  </si>
  <si>
    <t>Garantias para Sesiones comité ejecutivo y ética mesa de victimas.</t>
  </si>
  <si>
    <t>Garantias para Sesiones plenario mesa departamental de  victimas</t>
  </si>
  <si>
    <t xml:space="preserve">Apoyo al Plan de Trabajo de la mesa Departamental de Victimas </t>
  </si>
  <si>
    <t>Procesos de articulación asistencia y atención a los municipios y su población víctima Sesiones de Comites y Subcomites</t>
  </si>
  <si>
    <t>Garantias para representates de la mesa departamental de victimas para asistir a las Sesiones del  Comité Departamental de Justicia Transicional y sus respectivos subcomites</t>
  </si>
  <si>
    <t>35.5</t>
  </si>
  <si>
    <t>Servicio de apoyo para la generación de ingresos</t>
  </si>
  <si>
    <t>Hogares con asistencia técnica para la generación de ingresos</t>
  </si>
  <si>
    <t>35.1</t>
  </si>
  <si>
    <t>Servicio de asistencia técnica para la realización de iniciativas de memoria histórica</t>
  </si>
  <si>
    <t>Iniciativas de memoria histórica asistidas técnicamente</t>
  </si>
  <si>
    <t xml:space="preserve">Apoyo a iniciativas que aportan a la Memoria Historica en el Departamento 
</t>
  </si>
  <si>
    <t>Conmemoracion de fechas de memoria Historica dentro del ambito de la Ley de victimas y restitucion de tierras</t>
  </si>
  <si>
    <t>Apoyo a municipios priorizados para reparacion colectiva.</t>
  </si>
  <si>
    <t>37.8</t>
  </si>
  <si>
    <t>Servicio de atención y asistencia para la población excombatiente del Departamento del Quindío</t>
  </si>
  <si>
    <t>Población excombatiente beneficiada</t>
  </si>
  <si>
    <t>0309 - 5 - 1 1 18 37 32 - 88</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</si>
  <si>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</si>
  <si>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</si>
  <si>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 facilitar el acceso a la justicia para todos y crear instituciones eficaces, responsables e inclusivas a todos los niveles (ODS 16). </t>
  </si>
  <si>
    <t xml:space="preserve">1. Empleo y control social en las zonas de influencia del comercio de estupefacientes 
2.Control de las organizaciones y  grupos delincuenciales por la influencia de organizaciones de otras regiones  al margen de la ley
3.Complementar las acciones municipales de manera integral
</t>
  </si>
  <si>
    <t>Atención y asistencia a la poblacion excombatiente del depto</t>
  </si>
  <si>
    <t>Apoyo a la productividad de la población excombatiente</t>
  </si>
  <si>
    <t>Jornadas de reconciliacion de la poblacion excombatiente de la sociedad del depto</t>
  </si>
  <si>
    <t>41.3</t>
  </si>
  <si>
    <t>Fortalecimiento institucional a organismos de seguridad</t>
  </si>
  <si>
    <t>Organismos de seguridad fortalecidos</t>
  </si>
  <si>
    <t xml:space="preserve"> 
0309 - 5 - 1 1 18 41 28 - 42
0309 - 5 - 1 1 18 41 28 - 92
0309 - 5 - 3 1 4 23 75 18 28 - 42
</t>
  </si>
  <si>
    <t>Financiación del proyecto de tecnología en seguridad</t>
  </si>
  <si>
    <t>Fondo de Seguridad 5%</t>
  </si>
  <si>
    <t>42
92</t>
  </si>
  <si>
    <t>FABER RIVEROS NICHOLLS,
Director Desarrollo Comunitario, seguridad, convivencia y PC</t>
  </si>
  <si>
    <t xml:space="preserve">Financiación y/o coofinaciación de proyectos de móvilidad </t>
  </si>
  <si>
    <t>Superávit Fondo de Seguridad 5%</t>
  </si>
  <si>
    <t>Suministro de combustible</t>
  </si>
  <si>
    <t>Servicios de apoyo en procesos tecnológicos de seguridad en el departamento</t>
  </si>
  <si>
    <t>Servicios de apoyo para los procesos de adquisición de bienes y servicios con cargo a los organismos de seguridad del departamento</t>
  </si>
  <si>
    <t>Servicios de orden social,  Control y Fiscalización de Sustancias Químicas y Estupefacientes en el departamento</t>
  </si>
  <si>
    <t>Pago fuentes humanas</t>
  </si>
  <si>
    <t>Mantenimiento, adecuación y/o construcción de Instalaciones de Policía, Militares y/o Carcelarias del Departamento</t>
  </si>
  <si>
    <t>Adquisición de bienes y suministro, para material de intendencia y logística</t>
  </si>
  <si>
    <t>Servicios de apoyo en estudios financieros y ecónomicos de los diferentes procesos para los organismos de seguridad</t>
  </si>
  <si>
    <t xml:space="preserve">Prestación de Servicios y/o suministro de logística, material de intendencia o demás programas y/o estrategias relacionados con los organismos de seguridad </t>
  </si>
  <si>
    <t>41.2</t>
  </si>
  <si>
    <t>Medidas implementadas en cumplimiento de las obligaciones internacionales en materia de Derechos Humanos y Derecho Internacional Humanitario</t>
  </si>
  <si>
    <t xml:space="preserve">0309 - 5 - 1 1 18 41 32 - 20
0309 - 5 - 1 1 18 41 32 - 88
0309 - 5 - 3 1 4 24 79 14 32 - 20
</t>
  </si>
  <si>
    <t>Papeleria impresa</t>
  </si>
  <si>
    <t>logistica y refrigerios</t>
  </si>
  <si>
    <t xml:space="preserve">Actualización e implementación del plan integral de prevención de vulneración de DDHH  </t>
  </si>
  <si>
    <t>Realizar jornadas de socialización en rutas de protección en los 12 municipios del Departamento</t>
  </si>
  <si>
    <t>Foros, Actos Culturales, Actos Simbólicos Y Espacios Que Promuevan La Paz</t>
  </si>
  <si>
    <t>Realizar jornadas de  la  prevencion y sensibilizacion de los Derechos Humanos en los 12 municipios del Departamento</t>
  </si>
  <si>
    <t xml:space="preserve">Jornadas de prevención del delito de trata de personas  en los 12 municipios del Departamento </t>
  </si>
  <si>
    <t>Ayuda Humanitaria para victimas de trata de personas</t>
  </si>
  <si>
    <t>41.1</t>
  </si>
  <si>
    <t>Servicio de asistencia tecnica</t>
  </si>
  <si>
    <t>Instancias territoriales de coordinación institucional asistidas y apoyadas</t>
  </si>
  <si>
    <t xml:space="preserve">0309 - 5 - 1 1 16 41 39 - 20
0309 - 5 - 1 1 16 41 39 - 88
</t>
  </si>
  <si>
    <t>201663000-0039</t>
  </si>
  <si>
    <t>Construcción de la participación ciudadana y control social en el Departamento del Quindio</t>
  </si>
  <si>
    <t>Elevar el promedio de la participación de la ciudadanía en los procesos de elección popular del cuatrenio.</t>
  </si>
  <si>
    <t xml:space="preserve">1.  Implementación y difusión  en las entidades territoriales de los canales  y medios para la participación de los ciudadanos.
2. Convicción de la comunidad  en los programas encaminados a brindar el acercamiento a las instituciones públicas
3.  Fortalecimiento en la estructuración de políticas, programas, legislación, proyectos sociales y desarrollo comunitario.
</t>
  </si>
  <si>
    <t>Servicios de apoyo a la operatividad del consejo de participación ciudadana</t>
  </si>
  <si>
    <t>Servicios promocionales y publicitarios de promocion de la participacion, convivencia y seguridad ciudadana</t>
  </si>
  <si>
    <t>Servicios de apoyo en actividades de promocion de la participacion, convivencia y seguridad ciudadana</t>
  </si>
  <si>
    <t>Apoyo en la realización de eventos para el  fortalecimiento a la participación, convivencia y seguridad ciudadana</t>
  </si>
  <si>
    <t>23.1</t>
  </si>
  <si>
    <t>Documentos de estudios técnicos para el ordenamiento ambiental territorial</t>
  </si>
  <si>
    <t>Documentos de estudios técnicos para el conocimiento y reducción del riesgo de desastres elaborados</t>
  </si>
  <si>
    <t>0309 - 5 - 1 3 12 23 36 - 88</t>
  </si>
  <si>
    <t xml:space="preserve">Realizar estudios de riesgo y análisis de vulnerabilidad en  los municipios del departamento </t>
  </si>
  <si>
    <t>Intervenciones, obras de ingeniería y/o análisis vulnerabilidad</t>
  </si>
  <si>
    <t>Prevención y atención de desastres y emergencias. "Tú y yo preparados en gestión del riesgo"</t>
  </si>
  <si>
    <t>43.1</t>
  </si>
  <si>
    <t>Servicio de educación informal</t>
  </si>
  <si>
    <t>0309 - 5 - 1 3 12 43 36 - 88   
0309 - 5 - 3 1 4 25 81 12 36 - 20</t>
  </si>
  <si>
    <t xml:space="preserve">Administración del  riesgo mediante el conocimiento, la reducción y el manejo del desastres  en el Departamento del Quindio. </t>
  </si>
  <si>
    <t>Apoyo en formacion y capacitación de gestión del riesgo de desastres</t>
  </si>
  <si>
    <t>Fortalecimiento instituciones de socorro</t>
  </si>
  <si>
    <t>Impresos y material didactico</t>
  </si>
  <si>
    <t>Logistica para la organización de foros, talleres, eventos y/o actividades</t>
  </si>
  <si>
    <t>43.2</t>
  </si>
  <si>
    <t>Servicio de asistencia técnica</t>
  </si>
  <si>
    <t>Instancias territoriales asistidas</t>
  </si>
  <si>
    <t>Mantenimiento red de comunicaciones</t>
  </si>
  <si>
    <t>Fortalecimiento de la red de comunicaciones de emergencias del departamento</t>
  </si>
  <si>
    <t>Procesos de atención a PQRS y servicios demandados por la de la comunidad</t>
  </si>
  <si>
    <t>Adquisición, actualización y desarrollo de tecnologias en gestion del riesgo de desastres</t>
  </si>
  <si>
    <t>Formacion y capacitacion en Gestión del Riesgo de Desastres</t>
  </si>
  <si>
    <t>Apoyo a los Consejos Municipales de Gestión del Riesgo</t>
  </si>
  <si>
    <t>Fortalecimiento  a las instituciones del Consejo Departamental de Gestión del Riesgo de Desastres</t>
  </si>
  <si>
    <t>Prestación de servicio de transporte</t>
  </si>
  <si>
    <t>Apoyar y fortalecer el sistema de alertas tempranas en el departamento del QUindio</t>
  </si>
  <si>
    <t>Fortalecer el funcionamiento operativo de la sala de crisi del departamento</t>
  </si>
  <si>
    <t>43.3</t>
  </si>
  <si>
    <t>Servicio de atención a emergencias y desastres</t>
  </si>
  <si>
    <t>Centro de reserva  para la atención a emergencias y desastres dotado</t>
  </si>
  <si>
    <t>0309 - 5 - 1 3 12 43 38 - 88
0309 - 5 - 3 1 4 25 82 12 38 - 20</t>
  </si>
  <si>
    <t>201663000-0038</t>
  </si>
  <si>
    <t>Apoyo institucional en la gestión del riesgo  en el Departamento del Quindio</t>
  </si>
  <si>
    <t>Lograr que las ciudades y los asentamientos humanos sean inclusivos, resilientes y sostenibles (ODS-objetivo 11)</t>
  </si>
  <si>
    <t xml:space="preserve">1. Cumplimiento de los protocolos para la preparación y manejo de la emergencia.
2. Destinación de recursos en el ámbito local para la atención de las emergencias.
</t>
  </si>
  <si>
    <t xml:space="preserve">Apoyo para la entrega de ayuda humanitaria </t>
  </si>
  <si>
    <t>Suministro de Ayuda  Humanitaria</t>
  </si>
  <si>
    <t>42.8</t>
  </si>
  <si>
    <t>Iniciativas para la promoción de la participación ciudadana implementada.</t>
  </si>
  <si>
    <t xml:space="preserve">0309 - 5 - 1 4 16 42 39 - 20
0309 - 5 - 1 4 16 42 39 - 88
0309 - 5 - 3 1 5 27 85 16 39 - 20  
                                                                                                                                                                                                                                                                                       </t>
  </si>
  <si>
    <t>Servicios como apoyo a estrategías de participación</t>
  </si>
  <si>
    <t xml:space="preserve">Celebración de la semana de participación </t>
  </si>
  <si>
    <t>Realización de eventos para el  fortalecimiento a la participación ciudadana y control social</t>
  </si>
  <si>
    <t>Apoyar las Iniciativas para la promoción de la participación femenina en escenarios sociales y políticos implementada.</t>
  </si>
  <si>
    <t xml:space="preserve">Logística, transporte y/o refrigerios </t>
  </si>
  <si>
    <t>Material y piezas promocionales como estrategías de participación</t>
  </si>
  <si>
    <t>Servicios de Apoyo para eventos de formación,capacitación</t>
  </si>
  <si>
    <t xml:space="preserve">Apoyo a estrategías y/o programas de promoción y fortalecimiento de la participación ciudadana </t>
  </si>
  <si>
    <t xml:space="preserve">Adquisición de equipos tecnológicos y/o muebles logísticos para el mejoramiento de la atención al ciudadano
</t>
  </si>
  <si>
    <t>42.9</t>
  </si>
  <si>
    <t>Implementar la Política de Libertad Religiosa</t>
  </si>
  <si>
    <t>Política de Libertad Religiosa Implementado</t>
  </si>
  <si>
    <t>Servicios de apoyo para la operatividad  del comité de libertad religiosa</t>
  </si>
  <si>
    <t>Desarrollar las actividades propias  de la implementación de la Política Pública de Libertad Religiosa, cultos y conciencia.</t>
  </si>
  <si>
    <t>Materíal pedagógico y/o promocional relacionado</t>
  </si>
  <si>
    <t>Adquisición de Equipos tecnológicos</t>
  </si>
  <si>
    <t>Logistica, transporte, regrigerios e impresos</t>
  </si>
  <si>
    <t>42.5</t>
  </si>
  <si>
    <t>Fortalecimiento de los organismos  de acción comunal (OAC)  de los doce municipios del Departamento en lo relacionado a sus procesos formativos, participativos, de organización y  gestión.</t>
  </si>
  <si>
    <t>Municipos con organismos de acción comunal fortalecidos.</t>
  </si>
  <si>
    <t>0309 - 5 - 1 4 16 42 40 - 20
0309 - 5 - 1 4 16 42 40 - 88
0309 - 5 - 3 1 5 27 86 16 40 - 20</t>
  </si>
  <si>
    <t>201663000-0040</t>
  </si>
  <si>
    <t xml:space="preserve">Desarrollo de los Organismos Comunales en el Departamento del Quindio </t>
  </si>
  <si>
    <t xml:space="preserve">Consolidar mecanismos  de integración  regional y municipal </t>
  </si>
  <si>
    <t>1.  Fortalecer la estructuración de programas de capacitación en legislación, proyectos sociales y desarrollo comunitario.
 2. Mejoramiento en  los procesos de inspección, vigilancia y control realizados a los organismos comunales.</t>
  </si>
  <si>
    <t>Servicios como apoyo al fortalecimiento de los organismos  comunales</t>
  </si>
  <si>
    <t>Desarrollo de actividades de formación y capacitación</t>
  </si>
  <si>
    <t xml:space="preserve">Material pedagogíco y/o promocional </t>
  </si>
  <si>
    <t>Apoyo para la promoción,  fortalecimiento y desarrollo de proyectos de  los organismos comunales</t>
  </si>
  <si>
    <t>Actividades de promoción y participación de la Organización Comunal</t>
  </si>
  <si>
    <t>42.6</t>
  </si>
  <si>
    <t xml:space="preserve">Formulación de la  Política Pública Departamental para la  Acción Comunal </t>
  </si>
  <si>
    <t>Una Política Pública formulada.</t>
  </si>
  <si>
    <t>0309 - 5 - 1 4 16 42 42 - 20
0309 - 5 - 1 4 16 42 42 - 88
0309 - 5 - 3 1 5 26 84 16 42 - 20</t>
  </si>
  <si>
    <t>201663000-0042</t>
  </si>
  <si>
    <t xml:space="preserve">Fortalecimiento de las veedurias ciudadanas en el Departamento del Quindio </t>
  </si>
  <si>
    <t xml:space="preserve">1.  Conocimiento de la legislación que permite el ejercicio  del control social 
2.  Difusión masiva sobre  el ejercicio del control social 
</t>
  </si>
  <si>
    <t>Servicio como apoyo a las estrategías de fortalecimiento a las veedurias ciudadanas</t>
  </si>
  <si>
    <t>recurso ordinario</t>
  </si>
  <si>
    <t xml:space="preserve">Suministro de logística  y/o refrigerios </t>
  </si>
  <si>
    <t xml:space="preserve">Organización de eventos, foros, actividades entre otros  para la promoción y el fortalecimiento del control social y las veedurías ciudadanas. 
</t>
  </si>
  <si>
    <t xml:space="preserve">Difusión en medios masivos  de comunicación (radio impresos entre otros) para la promoción y el fortalecimiento del control social y las  veedurias ciudadanas  </t>
  </si>
  <si>
    <t>Prestación de servicios de transporte</t>
  </si>
  <si>
    <t>JAIME ANDRÉS PÉREZ COTRINO</t>
  </si>
  <si>
    <t>Secretarío del Interior</t>
  </si>
  <si>
    <t>Superavit Estampilla Prodesarrollo</t>
  </si>
  <si>
    <t>Estampilla Pro Desarrollo</t>
  </si>
  <si>
    <t>Sobretasa ACPM</t>
  </si>
  <si>
    <t xml:space="preserve">Superavit Sobretasa ACPM </t>
  </si>
  <si>
    <t>Recurso Póliza Incendio Predio La Rusia</t>
  </si>
  <si>
    <t>SEGUIMIENTO PLAN DE ACCIÓN
SECRETARIA DE EDUCACIÓN
DICIEMBRE 31 DE 2020</t>
  </si>
  <si>
    <t>Servicio de fomento para la permanencia en programas de educación formal</t>
  </si>
  <si>
    <t>Personas beneficiarias de estrategias de permanencia</t>
  </si>
  <si>
    <t>0314 - 5 - 1 1 1 15 84 - 134
 0314 - 5 - 1 1 1 15 84 - 20
0314 - 5 - 1 1 1 15 84 - 35
0314 - 5 - 1 1 1 15 84 - 88
 0314 - 5 - 1 1 1 15 84 - 91
 0314 - 5 - 3 1 3 5 16 1 84 - 20
  0314 - 5 - 3 1 3 5 16 1 84 - 35
 1404 - 5 - 1 1 1 15 84 - 137
 1404 - 5 - 1 1 1 15 84 - 25
 1404 - 5 - 1 1 1 15 84 - 81
 1404 - 5 - 3 1 3 5 16 1 84 - 137
 1404 - 5 - 3 1 3 5 16 1 84 - 81</t>
  </si>
  <si>
    <t>201663000-0084</t>
  </si>
  <si>
    <t xml:space="preserve">Fortalecimiento de las estrategias para el acceso,  permanencia y seguridad  de los niños, niñas y jóvenes en el  sistema educativo del Departamento del Quindío. </t>
  </si>
  <si>
    <t>Bajar  los índices de deserción escolar en el Departamento del Quindío</t>
  </si>
  <si>
    <t>Garantizar el adecuado mantenimiento en las Instituciones  y Sedes Educativas
Implementar un programa de alimentación escolar para las Instituciones educativas del departamento del Quindío, con el fin de  disminuir los índices de deserción escolar  durante la vigencia 2017
Garantizar el transporte escolar a los niños, niñas, jóvenes y adolescentes de la zona rural de los 11 municipios no certificados del Departamento del Quindío para disminuir las distancias de desplazamiento y garantizar el acceso al sistema educativo.</t>
  </si>
  <si>
    <t>Servicio de Aseo y Vigilancia para las IE Oficiales y sus Sedes Educativas del Departamento del Quindío.</t>
  </si>
  <si>
    <t>Monopolio</t>
  </si>
  <si>
    <t>Secretaría de Educación</t>
  </si>
  <si>
    <t>Superávit Monopolio</t>
  </si>
  <si>
    <t>Paula  Andrea Camacho</t>
  </si>
  <si>
    <t>Superavit ordinario</t>
  </si>
  <si>
    <t>Superavit Monopolio</t>
  </si>
  <si>
    <t xml:space="preserve">Willber Grajales </t>
  </si>
  <si>
    <t>Servicio de apoyo a la permanencia con alimentación escolar</t>
  </si>
  <si>
    <t>Beneficiarios de la alimentación escolar</t>
  </si>
  <si>
    <t xml:space="preserve">Suministro de alimientación escolar para la jornada regular y unica par los niños, niñas, adolescentes  y jóvenes escolarizados con matricula oficial en las Instituciones Educativas </t>
  </si>
  <si>
    <t>Transferencias de la Nación por alimentación PAE</t>
  </si>
  <si>
    <t>SGP Educación</t>
  </si>
  <si>
    <t>Arturo Andrés Londoño Velazquez</t>
  </si>
  <si>
    <t>Superavit transferencia de la Nación PAE</t>
  </si>
  <si>
    <t>Transferencias para alimentación escolar  ley 1450 de 2011 MEN vigencias anteriores</t>
  </si>
  <si>
    <t>Personal de apoyo , para el acompañamiento, seguimiento y verificación y supervision de la ejecucion del PAE</t>
  </si>
  <si>
    <t>Rendimientos Financieros PAE</t>
  </si>
  <si>
    <t xml:space="preserve">Implementación del Programa de Alimentación Escolar (PAE), para los niños, niñas, adolescentes y jóvenes matriculados  en las Instituciones Educativas Oficiales del Departamento del Quindío (ETC Quindío), dentro de las jornadas regular y única.  </t>
  </si>
  <si>
    <t>Extracción Material de Rio</t>
  </si>
  <si>
    <t>Transferencias de la nación alimentación PAE</t>
  </si>
  <si>
    <t>Cofinanciación Municipios PAE</t>
  </si>
  <si>
    <t>SGP</t>
  </si>
  <si>
    <t>Extracción material de río minas y otros</t>
  </si>
  <si>
    <t>15.22</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</si>
  <si>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</si>
  <si>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</si>
  <si>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1404 - 5 - 1 1 1 15 86 - 25
1404 - 5 - 3 1 3 5 17 1 86 - 25</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</si>
  <si>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</si>
  <si>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</si>
  <si>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</si>
  <si>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</si>
  <si>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Implementar un programa para brindarles una mejor atencion educativa a los menores y/o adultos con situaciones penales, iletrados, menores trabajadores.</t>
  </si>
  <si>
    <t>Gladys Giraldo</t>
  </si>
  <si>
    <t>15.11</t>
  </si>
  <si>
    <t>Servicio educación formal por modelos educativos flexibles</t>
  </si>
  <si>
    <t>Beneficiarios atendidos con modelos educativos flexibles</t>
  </si>
  <si>
    <t>Atencion de la poblacion con NNE y talentos Excepcionales.</t>
  </si>
  <si>
    <t>15.30</t>
  </si>
  <si>
    <t>Servicio educativo</t>
  </si>
  <si>
    <t>Establecimientos educativos en operación</t>
  </si>
  <si>
    <t xml:space="preserve">1401 - 5 - 1 1 1 15 87 1
1401 - 5 - 3 1 3 8 27 1
1402 - 5 - 1 1 1 15 87
1402 - 5 - 3 1 3 5 18 1
1403 - 5 - 1 1 1 15 87 1
1403 - 5 - 3 1 3 5 18 1
</t>
  </si>
  <si>
    <t>201663000-0087</t>
  </si>
  <si>
    <t>Aplicación funcionamiento y prestación del servicio educativo de las instituciones educativas.</t>
  </si>
  <si>
    <t xml:space="preserve">Mejorar los niveles de eficiencia y eficacia en los procesos administrativos para la 
presentación de los informes y/o reportes que garanticen la viabilidad ante el ministerio de educación nacional de la planta docente, directivos docentes y administrativos de las instituciones educativas oficiales del departamento del Quindío
</t>
  </si>
  <si>
    <t>Generar estrategias que garantice la sostenibilidad de la planta docente, directivos docentes y administrativos viabilizados por el ministerio de educación nacional vinculados a la secretaría de educación departamental</t>
  </si>
  <si>
    <t>Gastos de personal de la Planta Docente, Directivos Docentes y  personal administrativo de las Instituciones Educativas Oficiales del Departamento.</t>
  </si>
  <si>
    <t xml:space="preserve">SGP- Educación </t>
  </si>
  <si>
    <t>nomina</t>
  </si>
  <si>
    <t>Arturo  Andrés Londoño Velazquez</t>
  </si>
  <si>
    <t>Superávit SGP Educación</t>
  </si>
  <si>
    <t>Realizar el pago oportuno de los gastos de personal, transferencias de nómina, gastos generales  y todos aquellos afines a la operación de la prestación del servicio educativo dirigidos al personal administrativo de la planta central de la Secretaría de Educación Departamental, personal administrativo, docentes y directivos docentes de las instituciones educativas oficiales adscritas al departamento del Quindío.</t>
  </si>
  <si>
    <t>25-26</t>
  </si>
  <si>
    <t xml:space="preserve">SGP 
</t>
  </si>
  <si>
    <t>Realizar el pago oportuno de los gastos  generales, transferencias  y todos aquellos afines a la operación de la prestación del servicio educativo dirigidos al personal administrativo de la planta central de la Secretaría de Educación Departamental, personal administrativo, docentes y directivos docentes de las instituciones educativas oficiales adscritas al departamento del Quindío.</t>
  </si>
  <si>
    <t>25-09</t>
  </si>
  <si>
    <t xml:space="preserve">S.G.P
Superavit  S.G.P. Educacion
</t>
  </si>
  <si>
    <t>1400 - 5 - 1 1 1 15 98 - 25</t>
  </si>
  <si>
    <t>201663000-0098</t>
  </si>
  <si>
    <t>Funcionamiento y Prestación de Servicios del Sector Educativo del nivel Central en el Departamento del Quindío.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</si>
  <si>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</si>
  <si>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</si>
  <si>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Servicios personales asociados a la nomina</t>
  </si>
  <si>
    <t>25</t>
  </si>
  <si>
    <t xml:space="preserve">SGP </t>
  </si>
  <si>
    <t>Servicios personales indirectos</t>
  </si>
  <si>
    <t xml:space="preserve"> Contribuciones inherentes a la nomina</t>
  </si>
  <si>
    <t>Adquisición de bienes</t>
  </si>
  <si>
    <t>Adquisicion de servicios</t>
  </si>
  <si>
    <t>15.2</t>
  </si>
  <si>
    <t>Servicio de asistencia técnica en educación inicial, preescolar, básica y media</t>
  </si>
  <si>
    <t>Entidades y organizaciones asistidas técnicamente</t>
  </si>
  <si>
    <t>0314 - 5 - 1 1 1 15 90 - 20  
0314 - 5 - 1 1 1 15 90 - 88   
0314 - 5 - 1 1 1 15 90 - 91 25
1404 - 5 - 3 1 3 6 20 1 90 - 21
1404 - 5 - 3 1 3 6 20 1 90 - 25
0314 - 5 - 3 1 3 6 20 1 90 - 20
0314 - 5 - 3 1 3 6 20 1 90 - 91
1404 - 5 - 1 1 1 15 90 - 21
1404 - 5 - 1 1 1 15 90 -                                                                                                                                                                                                                                                                                                                                                                                                                                                               1404 - 5 - 1 1 1 15 90 - 173</t>
  </si>
  <si>
    <t>201663000-0090</t>
  </si>
  <si>
    <t>Mejoramiento de ambientes escolares y  fortalecimiento de modelos educativos articuladores de la ciencia, los lenguajes, las artes y el deporte en el Departamento del Quindío.</t>
  </si>
  <si>
    <t xml:space="preserve">Mejorar las condiciones de Infraestructura y de elementos  pedagógicos para la implementación de la jornada única y ambientes escolares </t>
  </si>
  <si>
    <t>Fortalecer los comités de convivencia escolar en las 54 IE
Conformar y dotar grupos culturales artísticos en instituciones educativas
Implementar el proyecto PRAE en instituciones educativas del departamento
Conformar y dotar grupos culturales artísticos en instituciones educativas
Mejorar las condiciones de infraestructura y de elementos pedagógicos para la implementación de la jornada única y ambientes escolares para la Paz
Dotar Instituciones Educativas de material didáctico, mobiliario escolar y/o infraestructura tecnológica</t>
  </si>
  <si>
    <t>Apoyo para el fortalecimiento de los Comités de Convivencia Escolar</t>
  </si>
  <si>
    <t>Alvaro Betancourth</t>
  </si>
  <si>
    <t>Implementar un plan colectivo de asistencia técnica a los funcionarios docentes, directivos docentes y administrativos de la Secretaría de Educación Departamental, con el fin de fortalecer sus capacidades estratégicas, técnicas y personales.</t>
  </si>
  <si>
    <t>Rendimientos SGP Educación</t>
  </si>
  <si>
    <t>15.13</t>
  </si>
  <si>
    <t>Diseño e Implementación de estrategias de acceso y permanencia de los niños, niñas, adolescentes, jóvenes y adultos del Departamento del Quindío en el sector educativo.</t>
  </si>
  <si>
    <t xml:space="preserve">Rendimientos Fiancieros SGP Educación </t>
  </si>
  <si>
    <t>Fortalecimiento e implementación de acciones en el marco de la  prevención de riesgos  y proyectos ambientales escolares -PRAE- en las instituciones educativas adscritas a la Secretaría de Educación del departamento.</t>
  </si>
  <si>
    <t>15.18</t>
  </si>
  <si>
    <t>Servicios de asistencia técnica en innovación educativa en la educación inicial, preescolar, básica y media</t>
  </si>
  <si>
    <t>Instituciones educativas asistidas técnicamente en innovación educativa</t>
  </si>
  <si>
    <t>Fortalecimiento e implementación de estrategias  y practicas pedagógicas innovadoras  en las Instituciones Educativas adscritas a la Secretaría de Educación Departamental.</t>
  </si>
  <si>
    <t xml:space="preserve">Infraestructura  de Instituciones Educativas  con procesos   constructivos ,  y/o mejorados, y/o ampliados, y/o mantenidos, Y/o  reforzados </t>
  </si>
  <si>
    <t>Tranferencia de Recursos para Pequeñas Intervenciones en las Instituciones Educativas del Departamento.</t>
  </si>
  <si>
    <t>Convenio interadministrativo  con Promotora  de Vivienda (PROVIQUINDIO) para  aunar esfuerzos  en el mejoramiento , mantenimiento, adecuación, construcción  y/o reforzamiento  de la infraestructura  educativa en el Departamento del Quindío</t>
  </si>
  <si>
    <t>Transferencia Nación FOME</t>
  </si>
  <si>
    <t>Transferencia de recursos económicos a las Instituciones Educativas para pequeñas intervenciones en Infraestructura Educativa.</t>
  </si>
  <si>
    <t>15.8</t>
  </si>
  <si>
    <t>Servicio de acondicionamiento de ambientes de aprendizaje</t>
  </si>
  <si>
    <t>Ambientes de aprendizaje en funcionamiento</t>
  </si>
  <si>
    <t>Fortalecimiento de la gestión educativa mediante la dotación de material pedagógico para las instituciones  educativas oficiales adscritas a la Secretaría de educación departamental.</t>
  </si>
  <si>
    <t>Superavit  Monopolio</t>
  </si>
  <si>
    <t>0314 - 5 - 1 1 1 15 93 - 20
0314 - 5 - 3 1 3 6 22 1 93 - 20</t>
  </si>
  <si>
    <t>201663000-0093</t>
  </si>
  <si>
    <t>Mejoramiento de estrategias que permitan una mayor eficiencia en la gestion de procesos y proyectos de las instituciones educativas del Departamento del Quindío.</t>
  </si>
  <si>
    <t>Asistir técnicamente a las instituciones educativas del departamento para mejorar los procesos administrativos para el manejo de los fondos educativos.</t>
  </si>
  <si>
    <t>Debida ejecución de los recursos de los fondos educativos</t>
  </si>
  <si>
    <t>Acompañamiento y seguimiento en las acciones de mejora en aspectos contables financieros y presupuestales de las IE del departamento del Quindio</t>
  </si>
  <si>
    <t>Claudia Oviedo</t>
  </si>
  <si>
    <t xml:space="preserve">Ordinario
</t>
  </si>
  <si>
    <t>0314 - 5 - 3 1 3 7 24 1 95 - 20
0314 - 5 - 1 1 1 15 95 - 88</t>
  </si>
  <si>
    <t>201663000-0095</t>
  </si>
  <si>
    <t xml:space="preserve">Fortalecimiento de los niveles de educación  básica y media para la articulación con la educación terciaria en el Departamento del Quindío </t>
  </si>
  <si>
    <t>Mejorar los porcentajes de estudiantes con posibilidad de ingreso a la educación superior y etdh en el departamento del Quindío.</t>
  </si>
  <si>
    <t>Brindar a la población egresada de las instituciones educativas oficiales del departamento, mayores y mejores oportunidades para el ingreso a la educación terciaria</t>
  </si>
  <si>
    <t>Capacitación y Logistica, Talleres de Referentes, Planeación Curricular, Evaluación de los Aprendizajes</t>
  </si>
  <si>
    <t>15.16</t>
  </si>
  <si>
    <t>Servicio de atención integral para la primera infancia</t>
  </si>
  <si>
    <t>Instituciones educativas oficiales que implementan el nivel preescolar en el marco de la atención integral</t>
  </si>
  <si>
    <t>0314 - 5 - 1 1 1 15 101 - 20
0314 - 5 - 1 1 1 15 101 - 88
0314 - 5 - 3 1 3 16 57 1 101 - 20</t>
  </si>
  <si>
    <t>201663000-0101</t>
  </si>
  <si>
    <t xml:space="preserve">Implementación del modelo de atención integral de la educación inicial en el Departamento del  Quindío. </t>
  </si>
  <si>
    <t>Aumentar la tasa de cobertura  de  niños y niñas en edad de transición en las instituciones  educativas del  departamento</t>
  </si>
  <si>
    <t>Implementar  un (1)  programa de educación integral  a la primera infancia</t>
  </si>
  <si>
    <t>Apoyo para el programa de educación inicial en las instiuciones educativas oficiales del Departamento</t>
  </si>
  <si>
    <t xml:space="preserve">Martha Yulieth Marin </t>
  </si>
  <si>
    <t>Fortalecimiento e implementación de estrategias que permitan una atención integral en el nivel de preescolar de las instituciones educativas adscritas a la Secretaría de Educación Departamental</t>
  </si>
  <si>
    <t xml:space="preserve">Superavit ordinario </t>
  </si>
  <si>
    <t>15.20</t>
  </si>
  <si>
    <t>Servicio de accesibilidad a contenidos web para fines pedagógicos</t>
  </si>
  <si>
    <t>Establecimientos educativos conectados a internet</t>
  </si>
  <si>
    <t>1404 - 5 - 1 1 1 15 97 - 25</t>
  </si>
  <si>
    <t>201663000-0097</t>
  </si>
  <si>
    <t xml:space="preserve">Fortalecimiento de las herramientas tecnológicas en las Instituciones Educativas del Departamento del Quindío </t>
  </si>
  <si>
    <t>Ampliar la cobertura del servicio de conectividad en las sedes educativas oficiales del departamento del Quindío</t>
  </si>
  <si>
    <t>Optimizar los procesos administrativos y los recursos económicos con destinación al servicio de conectividad de las sedes educativas del departamento.</t>
  </si>
  <si>
    <t>Fortalecimiento de los servicios de conectividad de los establecimientos educativos oficiales adscritos a la Secretaría de Educación Departamental.</t>
  </si>
  <si>
    <t>S.G.P Educacion</t>
  </si>
  <si>
    <t>María Eugenia Rivera</t>
  </si>
  <si>
    <t>Estudiantes con acceso a contenidos web en el establecimiento educativo</t>
  </si>
  <si>
    <t>15.14</t>
  </si>
  <si>
    <t>Servicios educativos de promoción del bilingüismo</t>
  </si>
  <si>
    <t>Estudiantes beneficiados con estrategias de promoción del bilingüismo</t>
  </si>
  <si>
    <t>0314 - 5 - 1 1 1 15 23 - 88</t>
  </si>
  <si>
    <t>202000363-0023</t>
  </si>
  <si>
    <t>Fortalecer las competencias comunicativas en lengua extranjera en estudiantes y docentes de las instituciones educativas oficiales del Departamento del Quindío.</t>
  </si>
  <si>
    <t>Mejorar el nivel de inglés de los niños, niñas y jóvenes que asisten a las Instituciones Educativas oficiales del Departamento del Quindío.</t>
  </si>
  <si>
    <t>* Fortalecer la formación de los docentes y estudiantes de preescolar, básica primaria, básica
secundaria y media en el idioma inglés y metodología para la enseñanza y el aprendizaje del
mismo. 
* Crear ambientes apropiados para el uso del idioma ingles en contexto bilingüe y
bicultural, en las instituciones educativas oficiales del departamento del Quindío. 
* Fortalecer los procesos de, evaluación, seguimiento monitoreo y control</t>
  </si>
  <si>
    <t xml:space="preserve">Fortalecimiento e implementación de estrategias  que contribuyan al mejoramietno  de las competencias  comunicativas  en idioma  extranjero  de los estudiantes  de las Instituciones Educativas  a la Secretaria  de Educación Departamental </t>
  </si>
  <si>
    <t xml:space="preserve">Leonardo Morales </t>
  </si>
  <si>
    <t>Instituciones educativas fortalecidas en competencias comunicativas en un segundo idioma</t>
  </si>
  <si>
    <t>15.23</t>
  </si>
  <si>
    <t>Servicio educativo de promoción del bilingüismo para docentes</t>
  </si>
  <si>
    <t>Docentes beneficiados con estrategias de promoción del bilingüismo</t>
  </si>
  <si>
    <t>Fortalecimiento de estrategias que permitan la promción del bilinguismo en las Instituciones Educativas adscristas  a la Secretaría de Educación Departamental</t>
  </si>
  <si>
    <t>15.6</t>
  </si>
  <si>
    <t>Servicio de monitoreo y seguimiento a la gestión del sector educativo</t>
  </si>
  <si>
    <t>Entidades territoriales con seguimiento y evaluación a la gestión.</t>
  </si>
  <si>
    <t>0314 - 5 - 1 1 1 15 24 - 88</t>
  </si>
  <si>
    <t>202000363-0024</t>
  </si>
  <si>
    <t>Fortalecimiento territoral para una gestión educativa integral en la Secretaría de Educación Departamental del Quindío.</t>
  </si>
  <si>
    <t>Fortalecer y propiciar capacidades estratégicas, técnicas y personales en el personal docente, directivo docente y administrativo de la secretaría de educación departamental, con el fin de prestar un servicio educativo de calidad con inclusión y equidad a los niños, niñas, adolescentes, jóvenes y adultos del Departamento Quindío.</t>
  </si>
  <si>
    <t xml:space="preserve">* Articular acciones de apoyo, asesoría y acompañamiento técnico dirigido a docentes, directivos docentes y personal administrativo de las Instituciones Educativas y el Nivel central de la SED. 
* Mejorar las prácticas administrativas al interior de las Instituciones Educativas y el nivel central. 
*Contribuir al mejoramiento de la calidad de vida de los docentes, directivos docentes y administrativos, atendiendo las necesidades relacionadas con mejoramiento de ambientes laborales, desempeño laboral y calidad de vida. 
* Desarrollar las actividades, operaciones y procesos administrativos y financieros que garantice el pago oportuno de salarios, prestaciones sociales, seguridad social, transferencias de nómina, gastos generales y todos aquellos afines a la operación de la prestación del servicio educativo.
</t>
  </si>
  <si>
    <t>44.1</t>
  </si>
  <si>
    <t>Servicio de apoyo para el acceso y la permanencia a la educación superior o terciaria</t>
  </si>
  <si>
    <t>Estrategias o programas de  fomento para  acceso y  permanencia a la educación superior o terciaria implementados</t>
  </si>
  <si>
    <t>0314 - 5 - 1 1 1 44 95 -91 
0314 - 5 - 1 1 1 44 95 - 20</t>
  </si>
  <si>
    <t>Fortalecimiento de los niveles de educación  básica y media para la articulación con la educación terciaria en el Departamento del Quindío.</t>
  </si>
  <si>
    <t>Fortalecimiento e implementacion de estrategias que permitan el acceso y permanencia a la educación técnica, tecnológica o profesional de los estudiantes de las Instituciones Educativas adscritas a la Secretaría de Educación Departamental.</t>
  </si>
  <si>
    <t xml:space="preserve">Superavit monopolio </t>
  </si>
  <si>
    <t>0314 - 5 - 1 1 1 44 122 - 35
0314 - 5 - 1 1 1 44 122 - 88
0314 - 5 - 3 1 3 7 24 1 122 - 20
0314 - 5 - 3 1 3 7 24 1 122 - 35</t>
  </si>
  <si>
    <t>2017003630-122</t>
  </si>
  <si>
    <t>Implementación de un fondo de apoyo departamental para el acceso y la permanencia de la educacion técnica, tecnológica y superior en el Departamento del Quindío.</t>
  </si>
  <si>
    <t>Pago cuota compraventa bien inmueble Institucion Educativa San Jose de Circasia ordenanzas 035 de 2010,047 de 2010 y 020 de 2011</t>
  </si>
  <si>
    <t>Asignación Becas a Estudiantes Egresados de las Instituciones Educativas Oficiales del Departamento</t>
  </si>
  <si>
    <t xml:space="preserve">LILIANA MARÍA SÁNCHEZ VILLADA </t>
  </si>
  <si>
    <t>Secretaria de Educación</t>
  </si>
  <si>
    <t>Estampilla Pro Adulto Mayor</t>
  </si>
  <si>
    <t>Superávit Estampilla Pro Adulto Mayor</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</si>
</sst>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 #,##0.00_);_(&quot;$&quot;\ * \(#,##0.00\);_(&quot;$&quot;\ * &quot;-&quot;??_);_(@_)"/>
    <numFmt numFmtId="43" formatCode="_(* #,##0.00_);_(* \(#,##0.00\);_(* &quot;-&quot;??_);_(@_)"/>
    <numFmt numFmtId="164" formatCode="_(&quot;$&quot;* #,##0.00_);_(&quot;$&quot;* \(#,##0.00\);_(&quot;$&quot;* &quot;-&quot;??_);_(@_)"/>
    <numFmt numFmtId="165" formatCode="0.0"/>
    <numFmt numFmtId="166" formatCode="&quot;$&quot;\ #,##0"/>
    <numFmt numFmtId="167" formatCode="_ [$€-2]\ * #,##0.00_ ;_ [$€-2]\ * \-#,##0.00_ ;_ [$€-2]\ * &quot;-&quot;??_ "/>
    <numFmt numFmtId="168" formatCode="dd/mm/yyyy;@"/>
    <numFmt numFmtId="169" formatCode="d/mm/yyyy;@"/>
    <numFmt numFmtId="170" formatCode="_([$$-240A]\ * #,##0.00_);_([$$-240A]\ * \(#,##0.00\);_([$$-240A]\ * &quot;-&quot;??_);_(@_)"/>
    <numFmt numFmtId="171" formatCode="_-* #,##0_-;\-* #,##0_-;_-* &quot;-&quot;_-;_-@_-"/>
    <numFmt numFmtId="172" formatCode="_-* #,##0.00_-;\-* #,##0.00_-;_-* &quot;-&quot;??_-;_-@_-"/>
    <numFmt numFmtId="173" formatCode="_-* #,##0_-;\-* #,##0_-;_-* &quot;-&quot;??_-;_-@_-"/>
    <numFmt numFmtId="174" formatCode="00"/>
    <numFmt numFmtId="175" formatCode="_(* #,##0_);_(* \(#,##0\);_(* &quot;-&quot;??_);_(@_)"/>
    <numFmt numFmtId="176" formatCode="_-&quot;$&quot;\ * #,##0.00_-;\-&quot;$&quot;\ * #,##0.00_-;_-&quot;$&quot;\ * &quot;-&quot;??_-;_-@_-"/>
    <numFmt numFmtId="177" formatCode="&quot;$&quot;#,##0.00_);[Red]\(&quot;$&quot;#,##0.00\)"/>
    <numFmt numFmtId="178" formatCode="&quot;$&quot;\ #,##0.00"/>
    <numFmt numFmtId="179" formatCode="_-&quot;$&quot;* #,##0_-;\-&quot;$&quot;* #,##0_-;_-&quot;$&quot;* &quot;-&quot;_-;_-@_-"/>
    <numFmt numFmtId="180" formatCode="_-* #,##0.00_-;\-* #,##0.00_-;_-* &quot;-&quot;_-;_-@_-"/>
    <numFmt numFmtId="181" formatCode="_-[$$-240A]\ * #,##0_-;\-[$$-240A]\ * #,##0_-;_-[$$-240A]\ * &quot;-&quot;_-;_-@_-"/>
    <numFmt numFmtId="182" formatCode="#,##0;[Red]#,##0"/>
    <numFmt numFmtId="183" formatCode="_-&quot;$&quot;* #,##0.00_-;\-&quot;$&quot;* #,##0.00_-;_-&quot;$&quot;* &quot;-&quot;??_-;_-@_-"/>
    <numFmt numFmtId="184" formatCode="_(* #,##0.000_);_(* \(#,##0.000\);_(* &quot;-&quot;??_);_(@_)"/>
    <numFmt numFmtId="185" formatCode="&quot;$&quot;\ #,##0.0000"/>
  </numFmts>
  <fonts count="48"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b/>
      <sz val="12"/>
      <color indexed="8"/>
      <name val="Arial"/>
      <family val="2"/>
    </font>
    <font>
      <b/>
      <sz val="10"/>
      <color theme="1"/>
      <name val="Arial"/>
      <family val="2"/>
    </font>
    <font>
      <b/>
      <sz val="12"/>
      <name val="Arial"/>
      <family val="2"/>
    </font>
    <font>
      <b/>
      <sz val="10"/>
      <color indexed="8"/>
      <name val="Arial"/>
      <family val="2"/>
    </font>
    <font>
      <sz val="11"/>
      <color indexed="8"/>
      <name val="Calibri"/>
      <family val="2"/>
    </font>
    <font>
      <sz val="12"/>
      <name val="Arial"/>
      <family val="2"/>
    </font>
    <font>
      <sz val="10"/>
      <name val="Arial"/>
      <family val="2"/>
    </font>
    <font>
      <sz val="10"/>
      <color theme="1"/>
      <name val="Arial"/>
      <family val="2"/>
    </font>
    <font>
      <sz val="12"/>
      <color rgb="FF000000"/>
      <name val="Calibri"/>
      <family val="2"/>
    </font>
    <font>
      <b/>
      <sz val="11"/>
      <color rgb="FF6F6F6E"/>
      <name val="Calibri"/>
      <family val="2"/>
      <scheme val="minor"/>
    </font>
    <font>
      <sz val="10"/>
      <color rgb="FF000000"/>
      <name val="Calibri"/>
      <family val="2"/>
    </font>
    <font>
      <sz val="11"/>
      <color rgb="FF000000"/>
      <name val="Calibri"/>
      <family val="2"/>
    </font>
    <font>
      <b/>
      <sz val="14"/>
      <color theme="1"/>
      <name val="Arial"/>
      <family val="2"/>
    </font>
    <font>
      <b/>
      <sz val="11"/>
      <color theme="1"/>
      <name val="Arial"/>
      <family val="2"/>
    </font>
    <font>
      <sz val="11"/>
      <color theme="1"/>
      <name val="Arial"/>
      <family val="2"/>
    </font>
    <font>
      <b/>
      <sz val="11"/>
      <color indexed="8"/>
      <name val="Arial"/>
      <family val="2"/>
    </font>
    <font>
      <sz val="12"/>
      <color rgb="FF000000"/>
      <name val="Arial"/>
      <family val="2"/>
    </font>
    <font>
      <sz val="12"/>
      <color indexed="8"/>
      <name val="Arial"/>
      <family val="2"/>
    </font>
    <font>
      <sz val="11"/>
      <name val="Calibri"/>
      <family val="2"/>
      <scheme val="minor"/>
    </font>
    <font>
      <b/>
      <sz val="11"/>
      <name val="Arial"/>
      <family val="2"/>
    </font>
    <font>
      <vertAlign val="superscript"/>
      <sz val="12"/>
      <color theme="1"/>
      <name val="Arial"/>
      <family val="2"/>
    </font>
    <font>
      <b/>
      <sz val="10"/>
      <name val="Arial"/>
      <family val="2"/>
    </font>
    <font>
      <sz val="10"/>
      <color theme="1"/>
      <name val="Calibri"/>
      <family val="2"/>
      <scheme val="minor"/>
    </font>
    <font>
      <b/>
      <sz val="10"/>
      <name val="Calibri"/>
      <family val="2"/>
      <scheme val="minor"/>
    </font>
    <font>
      <sz val="12"/>
      <color theme="1"/>
      <name val="Calibri"/>
      <family val="2"/>
      <scheme val="minor"/>
    </font>
    <font>
      <b/>
      <sz val="10"/>
      <color rgb="FFFFFFFF"/>
      <name val="Arial"/>
      <family val="2"/>
    </font>
    <font>
      <sz val="11"/>
      <name val="Arial"/>
      <family val="2"/>
    </font>
    <font>
      <b/>
      <sz val="12"/>
      <name val="Calibri"/>
      <family val="2"/>
      <scheme val="minor"/>
    </font>
    <font>
      <b/>
      <sz val="9"/>
      <name val="Calibri"/>
      <family val="2"/>
      <scheme val="minor"/>
    </font>
    <font>
      <sz val="12"/>
      <name val="Calibri"/>
      <family val="2"/>
      <scheme val="minor"/>
    </font>
    <font>
      <b/>
      <sz val="12"/>
      <color rgb="FFFF0000"/>
      <name val="Arial"/>
      <family val="2"/>
    </font>
    <font>
      <sz val="14"/>
      <name val="Arial"/>
      <family val="2"/>
    </font>
    <font>
      <sz val="12"/>
      <color rgb="FF222222"/>
      <name val="Calibri"/>
      <family val="2"/>
    </font>
    <font>
      <b/>
      <sz val="16"/>
      <color theme="1"/>
      <name val="Arial"/>
      <family val="2"/>
    </font>
    <font>
      <sz val="14"/>
      <color theme="1"/>
      <name val="Arial"/>
      <family val="2"/>
    </font>
    <font>
      <b/>
      <sz val="12"/>
      <color rgb="FF000000"/>
      <name val="Arial"/>
      <family val="2"/>
    </font>
    <font>
      <sz val="11"/>
      <color rgb="FF000000"/>
      <name val="Arial"/>
      <family val="2"/>
    </font>
    <font>
      <b/>
      <sz val="9"/>
      <color indexed="81"/>
      <name val="Tahoma"/>
      <family val="2"/>
    </font>
    <font>
      <sz val="9"/>
      <color indexed="81"/>
      <name val="Tahoma"/>
      <family val="2"/>
    </font>
    <font>
      <b/>
      <sz val="14"/>
      <color rgb="FFFF0000"/>
      <name val="Arial"/>
      <family val="2"/>
    </font>
    <font>
      <sz val="11"/>
      <color rgb="FF000000"/>
      <name val="Arial Narrow"/>
      <family val="2"/>
    </font>
    <font>
      <sz val="14"/>
      <color rgb="FF000000"/>
      <name val="Arial"/>
      <family val="2"/>
    </font>
    <font>
      <b/>
      <sz val="12"/>
      <color rgb="FFFFFFFF"/>
      <name val="Arial"/>
      <family val="2"/>
    </font>
    <font>
      <b/>
      <sz val="14"/>
      <name val="Arial"/>
      <family val="2"/>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rgb="FFECECEC"/>
        <bgColor indexed="64"/>
      </patternFill>
    </fill>
    <fill>
      <patternFill patternType="solid">
        <fgColor rgb="FFFFFFFF"/>
        <bgColor rgb="FF000000"/>
      </patternFill>
    </fill>
    <fill>
      <patternFill patternType="solid">
        <fgColor rgb="FFFF0000"/>
        <bgColor indexed="64"/>
      </patternFill>
    </fill>
    <fill>
      <patternFill patternType="solid">
        <fgColor indexed="9"/>
        <bgColor indexed="64"/>
      </patternFill>
    </fill>
    <fill>
      <patternFill patternType="solid">
        <fgColor theme="2" tint="-9.9978637043366805E-2"/>
        <bgColor indexed="64"/>
      </patternFill>
    </fill>
    <fill>
      <patternFill patternType="solid">
        <fgColor theme="7"/>
        <bgColor indexed="64"/>
      </patternFill>
    </fill>
    <fill>
      <patternFill patternType="solid">
        <fgColor theme="0"/>
        <bgColor theme="4" tint="0.79998168889431442"/>
      </patternFill>
    </fill>
    <fill>
      <patternFill patternType="solid">
        <fgColor theme="0"/>
        <bgColor rgb="FF000000"/>
      </patternFill>
    </fill>
    <fill>
      <patternFill patternType="solid">
        <fgColor rgb="FF92D050"/>
        <bgColor indexed="64"/>
      </patternFill>
    </fill>
    <fill>
      <patternFill patternType="solid">
        <fgColor rgb="FFFFFF00"/>
        <bgColor indexed="64"/>
      </patternFill>
    </fill>
  </fills>
  <borders count="9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right/>
      <top style="thin">
        <color indexed="64"/>
      </top>
      <bottom/>
      <diagonal/>
    </border>
    <border>
      <left style="thin">
        <color indexed="64"/>
      </left>
      <right/>
      <top/>
      <bottom style="thin">
        <color auto="1"/>
      </bottom>
      <diagonal/>
    </border>
    <border>
      <left/>
      <right style="thin">
        <color auto="1"/>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auto="1"/>
      </right>
      <top/>
      <bottom/>
      <diagonal/>
    </border>
    <border>
      <left style="thin">
        <color indexed="64"/>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auto="1"/>
      </right>
      <top/>
      <bottom style="thin">
        <color rgb="FF000000"/>
      </bottom>
      <diagonal/>
    </border>
    <border>
      <left style="thin">
        <color indexed="64"/>
      </left>
      <right style="thin">
        <color indexed="64"/>
      </right>
      <top/>
      <bottom style="thin">
        <color rgb="FF000000"/>
      </bottom>
      <diagonal/>
    </border>
    <border>
      <left style="thin">
        <color rgb="FF000000"/>
      </left>
      <right/>
      <top style="thin">
        <color indexed="64"/>
      </top>
      <bottom/>
      <diagonal/>
    </border>
    <border>
      <left style="thin">
        <color rgb="FF000000"/>
      </left>
      <right/>
      <top/>
      <bottom style="thin">
        <color indexed="64"/>
      </bottom>
      <diagonal/>
    </border>
    <border>
      <left style="thin">
        <color rgb="FF000000"/>
      </left>
      <right style="thin">
        <color auto="1"/>
      </right>
      <top style="thin">
        <color indexed="64"/>
      </top>
      <bottom/>
      <diagonal/>
    </border>
    <border>
      <left style="thin">
        <color rgb="FF000000"/>
      </left>
      <right style="thin">
        <color auto="1"/>
      </right>
      <top/>
      <bottom style="thin">
        <color indexed="64"/>
      </bottom>
      <diagonal/>
    </border>
    <border>
      <left style="thin">
        <color rgb="FF000000"/>
      </left>
      <right/>
      <top style="thin">
        <color rgb="FF000000"/>
      </top>
      <bottom/>
      <diagonal/>
    </border>
    <border>
      <left style="thin">
        <color indexed="64"/>
      </left>
      <right style="thin">
        <color rgb="FF000000"/>
      </right>
      <top style="thin">
        <color rgb="FF000000"/>
      </top>
      <bottom style="thin">
        <color indexed="64"/>
      </bottom>
      <diagonal/>
    </border>
    <border>
      <left style="thin">
        <color rgb="FF000000"/>
      </left>
      <right/>
      <top/>
      <bottom/>
      <diagonal/>
    </border>
    <border>
      <left/>
      <right style="thin">
        <color rgb="FF000000"/>
      </right>
      <top style="thin">
        <color rgb="FF000000"/>
      </top>
      <bottom/>
      <diagonal/>
    </border>
    <border>
      <left style="thin">
        <color rgb="FF522B57"/>
      </left>
      <right style="thin">
        <color rgb="FF522B57"/>
      </right>
      <top style="thin">
        <color rgb="FF522B57"/>
      </top>
      <bottom style="thin">
        <color rgb="FF522B57"/>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auto="1"/>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rgb="FF000000"/>
      </top>
      <bottom style="thin">
        <color rgb="FF000000"/>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rgb="FF000000"/>
      </bottom>
      <diagonal/>
    </border>
    <border>
      <left/>
      <right/>
      <top style="thin">
        <color rgb="FF000000"/>
      </top>
      <bottom/>
      <diagonal/>
    </border>
    <border>
      <left/>
      <right style="thin">
        <color auto="1"/>
      </right>
      <top style="thin">
        <color rgb="FF000000"/>
      </top>
      <bottom/>
      <diagonal/>
    </border>
    <border>
      <left style="thin">
        <color indexed="64"/>
      </left>
      <right style="thin">
        <color auto="1"/>
      </right>
      <top style="thin">
        <color rgb="FF000000"/>
      </top>
      <bottom/>
      <diagonal/>
    </border>
    <border>
      <left style="thin">
        <color auto="1"/>
      </left>
      <right/>
      <top style="thin">
        <color rgb="FF000000"/>
      </top>
      <bottom/>
      <diagonal/>
    </border>
    <border>
      <left style="thin">
        <color rgb="FF000000"/>
      </left>
      <right style="thin">
        <color indexed="64"/>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right style="thin">
        <color auto="1"/>
      </right>
      <top/>
      <bottom style="thin">
        <color rgb="FF000000"/>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right/>
      <top style="thin">
        <color indexed="64"/>
      </top>
      <bottom style="thin">
        <color rgb="FF000000"/>
      </bottom>
      <diagonal/>
    </border>
    <border>
      <left style="thin">
        <color indexed="64"/>
      </left>
      <right/>
      <top/>
      <bottom style="thin">
        <color rgb="FF000000"/>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style="thin">
        <color rgb="FF000000"/>
      </left>
      <right/>
      <top style="thin">
        <color auto="1"/>
      </top>
      <bottom style="thin">
        <color auto="1"/>
      </bottom>
      <diagonal/>
    </border>
    <border>
      <left style="thin">
        <color rgb="FF000000"/>
      </left>
      <right style="thin">
        <color rgb="FF000000"/>
      </right>
      <top style="thin">
        <color auto="1"/>
      </top>
      <bottom style="thin">
        <color rgb="FF000000"/>
      </bottom>
      <diagonal/>
    </border>
    <border>
      <left style="thin">
        <color rgb="FF000000"/>
      </left>
      <right/>
      <top style="thin">
        <color rgb="FF000000"/>
      </top>
      <bottom style="thin">
        <color auto="1"/>
      </bottom>
      <diagonal/>
    </border>
    <border>
      <left/>
      <right/>
      <top style="thin">
        <color rgb="FF000000"/>
      </top>
      <bottom style="thin">
        <color auto="1"/>
      </bottom>
      <diagonal/>
    </border>
  </borders>
  <cellStyleXfs count="20">
    <xf numFmtId="0" fontId="0" fillId="0" borderId="0"/>
    <xf numFmtId="44" fontId="1" fillId="0" borderId="0" applyFont="0" applyFill="0" applyBorder="0" applyAlignment="0" applyProtection="0"/>
    <xf numFmtId="9" fontId="1" fillId="0" borderId="0" applyFont="0" applyFill="0" applyBorder="0" applyAlignment="0" applyProtection="0"/>
    <xf numFmtId="167" fontId="1" fillId="0" borderId="0"/>
    <xf numFmtId="9" fontId="8" fillId="0" borderId="0" applyFont="0" applyFill="0" applyBorder="0" applyAlignment="0" applyProtection="0"/>
    <xf numFmtId="170" fontId="13" fillId="8" borderId="46">
      <alignment horizontal="center" vertical="center" wrapText="1"/>
    </xf>
    <xf numFmtId="171" fontId="1" fillId="0" borderId="0" applyFont="0" applyFill="0" applyBorder="0" applyAlignment="0" applyProtection="0"/>
    <xf numFmtId="172"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2" fontId="8"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4" fontId="1" fillId="0" borderId="0" applyFont="0" applyFill="0" applyBorder="0" applyAlignment="0" applyProtection="0"/>
    <xf numFmtId="172" fontId="8" fillId="0" borderId="0" applyFont="0" applyFill="0" applyBorder="0" applyAlignment="0" applyProtection="0"/>
    <xf numFmtId="172" fontId="1" fillId="0" borderId="0" applyFont="0" applyFill="0" applyBorder="0" applyAlignment="0" applyProtection="0"/>
    <xf numFmtId="0" fontId="11" fillId="0" borderId="0"/>
    <xf numFmtId="183" fontId="1" fillId="0" borderId="0" applyFont="0" applyFill="0" applyBorder="0" applyAlignment="0" applyProtection="0"/>
    <xf numFmtId="0" fontId="1" fillId="0" borderId="0"/>
  </cellStyleXfs>
  <cellXfs count="4685">
    <xf numFmtId="0" fontId="0" fillId="0" borderId="0" xfId="0"/>
    <xf numFmtId="0" fontId="2" fillId="0" borderId="2" xfId="0" applyFont="1" applyBorder="1" applyAlignment="1">
      <alignment horizontal="center" vertical="center"/>
    </xf>
    <xf numFmtId="0" fontId="2" fillId="0" borderId="2" xfId="0" applyFont="1" applyBorder="1" applyAlignment="1">
      <alignment horizontal="right" vertical="center"/>
    </xf>
    <xf numFmtId="0" fontId="3" fillId="2" borderId="0" xfId="0" applyFont="1" applyFill="1"/>
    <xf numFmtId="0" fontId="3" fillId="0" borderId="0" xfId="0" applyFont="1"/>
    <xf numFmtId="0" fontId="2" fillId="0" borderId="2" xfId="0" applyFont="1" applyBorder="1" applyAlignment="1">
      <alignment horizontal="right" vertical="center" wrapText="1"/>
    </xf>
    <xf numFmtId="3" fontId="4" fillId="0" borderId="2" xfId="0" applyNumberFormat="1" applyFont="1" applyBorder="1" applyAlignment="1">
      <alignment horizontal="right"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justify" vertical="center" wrapText="1"/>
    </xf>
    <xf numFmtId="0" fontId="2" fillId="0" borderId="3" xfId="0" applyFont="1" applyBorder="1" applyAlignment="1">
      <alignment vertical="center"/>
    </xf>
    <xf numFmtId="0" fontId="2" fillId="0" borderId="3" xfId="0" applyFont="1" applyBorder="1" applyAlignment="1">
      <alignment horizontal="justify" vertical="center" wrapText="1"/>
    </xf>
    <xf numFmtId="0" fontId="5" fillId="0" borderId="3" xfId="0" applyFont="1" applyBorder="1" applyAlignment="1">
      <alignment horizontal="left" vertical="center" wrapText="1"/>
    </xf>
    <xf numFmtId="164" fontId="2" fillId="0" borderId="3" xfId="0" applyNumberFormat="1" applyFont="1" applyBorder="1" applyAlignment="1">
      <alignment vertical="center"/>
    </xf>
    <xf numFmtId="0" fontId="2" fillId="0" borderId="4" xfId="0" applyFont="1" applyBorder="1" applyAlignment="1">
      <alignment vertical="center"/>
    </xf>
    <xf numFmtId="0" fontId="2" fillId="3" borderId="5" xfId="0"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1" fontId="2" fillId="3" borderId="9"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164" fontId="2" fillId="3" borderId="17" xfId="0" applyNumberFormat="1" applyFont="1" applyFill="1" applyBorder="1" applyAlignment="1">
      <alignment horizontal="center" vertical="center" wrapText="1"/>
    </xf>
    <xf numFmtId="1" fontId="2" fillId="3" borderId="17"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7" xfId="0" applyFont="1" applyFill="1" applyBorder="1" applyAlignment="1">
      <alignment horizontal="justify" vertical="center" wrapText="1"/>
    </xf>
    <xf numFmtId="165" fontId="2" fillId="3" borderId="16" xfId="0" applyNumberFormat="1" applyFont="1" applyFill="1" applyBorder="1" applyAlignment="1">
      <alignment horizontal="center" vertical="center" wrapText="1"/>
    </xf>
    <xf numFmtId="166" fontId="2" fillId="3" borderId="16"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0" fontId="6" fillId="4" borderId="18" xfId="0"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6" fillId="6" borderId="2" xfId="0" applyFont="1" applyFill="1" applyBorder="1" applyAlignment="1">
      <alignment horizontal="left" vertical="center" wrapText="1"/>
    </xf>
    <xf numFmtId="0" fontId="6" fillId="6" borderId="2" xfId="0" applyFont="1" applyFill="1" applyBorder="1" applyAlignment="1">
      <alignment horizontal="left" vertical="center"/>
    </xf>
    <xf numFmtId="0" fontId="3" fillId="6" borderId="2" xfId="0" applyFont="1" applyFill="1" applyBorder="1"/>
    <xf numFmtId="0" fontId="2" fillId="6" borderId="2" xfId="0" applyFont="1" applyFill="1" applyBorder="1" applyAlignment="1">
      <alignment vertical="center"/>
    </xf>
    <xf numFmtId="0" fontId="2" fillId="6" borderId="2" xfId="0" applyFont="1" applyFill="1" applyBorder="1" applyAlignment="1">
      <alignment horizontal="justify" vertical="center"/>
    </xf>
    <xf numFmtId="0" fontId="2" fillId="6" borderId="2" xfId="0" applyFont="1" applyFill="1" applyBorder="1" applyAlignment="1">
      <alignment horizontal="justify" vertical="center" wrapText="1"/>
    </xf>
    <xf numFmtId="0" fontId="2" fillId="6" borderId="2" xfId="0" applyFont="1" applyFill="1" applyBorder="1" applyAlignment="1">
      <alignment horizontal="center" vertical="center"/>
    </xf>
    <xf numFmtId="165" fontId="2" fillId="6" borderId="2" xfId="0" applyNumberFormat="1" applyFont="1" applyFill="1" applyBorder="1" applyAlignment="1">
      <alignment horizontal="center" vertical="center"/>
    </xf>
    <xf numFmtId="166" fontId="2" fillId="6" borderId="2" xfId="0" applyNumberFormat="1" applyFont="1" applyFill="1" applyBorder="1" applyAlignment="1">
      <alignment vertical="center"/>
    </xf>
    <xf numFmtId="0" fontId="5" fillId="6" borderId="2" xfId="0" applyFont="1" applyFill="1" applyBorder="1" applyAlignment="1">
      <alignment horizontal="left" vertical="center" wrapText="1"/>
    </xf>
    <xf numFmtId="164" fontId="2" fillId="6" borderId="2" xfId="0" applyNumberFormat="1" applyFont="1" applyFill="1" applyBorder="1" applyAlignment="1">
      <alignment horizontal="center" vertical="center"/>
    </xf>
    <xf numFmtId="1" fontId="2" fillId="6" borderId="2" xfId="0" applyNumberFormat="1" applyFont="1" applyFill="1" applyBorder="1" applyAlignment="1">
      <alignment horizontal="center" vertical="center"/>
    </xf>
    <xf numFmtId="168" fontId="2" fillId="6" borderId="2" xfId="0" applyNumberFormat="1" applyFont="1" applyFill="1" applyBorder="1" applyAlignment="1">
      <alignment horizontal="center" vertical="center"/>
    </xf>
    <xf numFmtId="0" fontId="2" fillId="6" borderId="12" xfId="0" applyFont="1" applyFill="1" applyBorder="1" applyAlignment="1">
      <alignment horizontal="justify" vertical="center"/>
    </xf>
    <xf numFmtId="1" fontId="2" fillId="2" borderId="16"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6" fillId="7" borderId="2" xfId="0" applyFont="1" applyFill="1" applyBorder="1" applyAlignment="1">
      <alignment horizontal="left" vertical="center"/>
    </xf>
    <xf numFmtId="0" fontId="6" fillId="7" borderId="2" xfId="0" applyFont="1" applyFill="1" applyBorder="1" applyAlignment="1">
      <alignment vertical="center"/>
    </xf>
    <xf numFmtId="0" fontId="2" fillId="7" borderId="3" xfId="0" applyFont="1" applyFill="1" applyBorder="1" applyAlignment="1">
      <alignment vertical="center"/>
    </xf>
    <xf numFmtId="0" fontId="2" fillId="7" borderId="0" xfId="0" applyFont="1" applyFill="1" applyBorder="1" applyAlignment="1">
      <alignment vertical="center"/>
    </xf>
    <xf numFmtId="0" fontId="2" fillId="7" borderId="0" xfId="0" applyFont="1" applyFill="1" applyBorder="1" applyAlignment="1">
      <alignment horizontal="justify" vertical="center"/>
    </xf>
    <xf numFmtId="0" fontId="2" fillId="7" borderId="0" xfId="0" applyFont="1" applyFill="1" applyBorder="1" applyAlignment="1">
      <alignment horizontal="justify" vertical="center" wrapText="1"/>
    </xf>
    <xf numFmtId="0" fontId="2" fillId="7" borderId="0" xfId="0" applyFont="1" applyFill="1" applyBorder="1" applyAlignment="1">
      <alignment horizontal="center" vertical="center"/>
    </xf>
    <xf numFmtId="165" fontId="2" fillId="7" borderId="0" xfId="0" applyNumberFormat="1" applyFont="1" applyFill="1" applyBorder="1" applyAlignment="1">
      <alignment horizontal="center" vertical="center"/>
    </xf>
    <xf numFmtId="166" fontId="2" fillId="7" borderId="0" xfId="0" applyNumberFormat="1" applyFont="1" applyFill="1" applyBorder="1" applyAlignment="1">
      <alignment vertical="center"/>
    </xf>
    <xf numFmtId="0" fontId="5" fillId="7" borderId="0" xfId="0" applyFont="1" applyFill="1" applyBorder="1" applyAlignment="1">
      <alignment horizontal="left" vertical="center" wrapText="1"/>
    </xf>
    <xf numFmtId="164" fontId="2" fillId="7" borderId="0" xfId="0" applyNumberFormat="1" applyFont="1" applyFill="1" applyBorder="1" applyAlignment="1">
      <alignment horizontal="center" vertical="center"/>
    </xf>
    <xf numFmtId="1" fontId="2" fillId="7" borderId="0" xfId="0" applyNumberFormat="1" applyFont="1" applyFill="1" applyBorder="1" applyAlignment="1">
      <alignment horizontal="center" vertical="center"/>
    </xf>
    <xf numFmtId="168" fontId="2" fillId="7" borderId="0" xfId="0" applyNumberFormat="1" applyFont="1" applyFill="1" applyBorder="1" applyAlignment="1">
      <alignment horizontal="center" vertical="center"/>
    </xf>
    <xf numFmtId="0" fontId="2" fillId="7" borderId="1" xfId="0" applyFont="1" applyFill="1" applyBorder="1" applyAlignment="1">
      <alignment horizontal="justify" vertical="center"/>
    </xf>
    <xf numFmtId="1" fontId="2" fillId="0" borderId="16" xfId="0"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0" xfId="0" applyFont="1" applyFill="1" applyBorder="1" applyAlignment="1">
      <alignment vertical="center"/>
    </xf>
    <xf numFmtId="0" fontId="2" fillId="0" borderId="7" xfId="0" applyFont="1" applyFill="1" applyBorder="1" applyAlignment="1">
      <alignment vertical="center"/>
    </xf>
    <xf numFmtId="0" fontId="10" fillId="0" borderId="2" xfId="0" applyFont="1" applyBorder="1" applyAlignment="1">
      <alignment horizontal="justify" vertical="center" wrapText="1"/>
    </xf>
    <xf numFmtId="1" fontId="3" fillId="0" borderId="20" xfId="0" applyNumberFormat="1" applyFont="1" applyFill="1" applyBorder="1" applyAlignment="1">
      <alignment horizontal="center" vertical="center"/>
    </xf>
    <xf numFmtId="0" fontId="3" fillId="0" borderId="20" xfId="0" applyFont="1" applyBorder="1" applyAlignment="1">
      <alignment horizontal="justify" vertical="center" wrapText="1"/>
    </xf>
    <xf numFmtId="0" fontId="3" fillId="0" borderId="0" xfId="0" applyFont="1" applyFill="1"/>
    <xf numFmtId="0" fontId="6" fillId="0" borderId="17" xfId="0" applyFont="1" applyFill="1" applyBorder="1" applyAlignment="1">
      <alignment horizontal="left" vertical="center"/>
    </xf>
    <xf numFmtId="0" fontId="2" fillId="0" borderId="1" xfId="0" applyFont="1" applyFill="1" applyBorder="1" applyAlignment="1">
      <alignment vertical="center"/>
    </xf>
    <xf numFmtId="1" fontId="3" fillId="0" borderId="20" xfId="0" applyNumberFormat="1" applyFont="1" applyBorder="1" applyAlignment="1">
      <alignment horizontal="center" vertical="center"/>
    </xf>
    <xf numFmtId="1" fontId="3" fillId="2" borderId="16" xfId="0" applyNumberFormat="1"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4" xfId="0" applyFont="1" applyFill="1" applyBorder="1" applyAlignment="1">
      <alignment horizontal="center" vertical="center" wrapText="1"/>
    </xf>
    <xf numFmtId="0" fontId="6" fillId="7" borderId="2" xfId="0" applyFont="1" applyFill="1" applyBorder="1" applyAlignment="1">
      <alignment horizontal="center" vertical="center"/>
    </xf>
    <xf numFmtId="0" fontId="3" fillId="7"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3" fillId="7" borderId="18" xfId="0" applyFont="1" applyFill="1" applyBorder="1" applyAlignment="1">
      <alignment horizontal="justify" vertical="center" wrapText="1"/>
    </xf>
    <xf numFmtId="0" fontId="3" fillId="7" borderId="18" xfId="0" applyFont="1" applyFill="1" applyBorder="1" applyAlignment="1">
      <alignment vertical="center" wrapText="1"/>
    </xf>
    <xf numFmtId="165" fontId="3" fillId="7" borderId="18" xfId="0" applyNumberFormat="1" applyFont="1" applyFill="1" applyBorder="1" applyAlignment="1">
      <alignment horizontal="center" vertical="center" wrapText="1"/>
    </xf>
    <xf numFmtId="0" fontId="11" fillId="7" borderId="18" xfId="0" applyFont="1" applyFill="1" applyBorder="1" applyAlignment="1">
      <alignment horizontal="left" vertical="center" wrapText="1"/>
    </xf>
    <xf numFmtId="1" fontId="3" fillId="7" borderId="18" xfId="0" applyNumberFormat="1" applyFont="1" applyFill="1" applyBorder="1" applyAlignment="1">
      <alignment horizontal="center" vertical="center" wrapText="1"/>
    </xf>
    <xf numFmtId="1" fontId="2" fillId="7" borderId="18" xfId="0" applyNumberFormat="1" applyFont="1" applyFill="1" applyBorder="1" applyAlignment="1">
      <alignment horizontal="center" vertical="center" textRotation="180" wrapText="1"/>
    </xf>
    <xf numFmtId="1" fontId="2" fillId="7" borderId="18" xfId="0" applyNumberFormat="1" applyFont="1" applyFill="1" applyBorder="1" applyAlignment="1">
      <alignment horizontal="justify" vertical="center" textRotation="180" wrapText="1"/>
    </xf>
    <xf numFmtId="1" fontId="2" fillId="7" borderId="18" xfId="0" applyNumberFormat="1" applyFont="1" applyFill="1" applyBorder="1" applyAlignment="1">
      <alignment vertical="center" textRotation="180"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justify" vertical="center" wrapText="1"/>
    </xf>
    <xf numFmtId="1" fontId="3" fillId="2" borderId="18" xfId="0" applyNumberFormat="1" applyFont="1" applyFill="1" applyBorder="1" applyAlignment="1">
      <alignment horizontal="center" vertical="center" wrapText="1"/>
    </xf>
    <xf numFmtId="169" fontId="3" fillId="2" borderId="9"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9" xfId="0" applyFont="1" applyBorder="1" applyAlignment="1">
      <alignment horizontal="justify" vertical="center" wrapText="1"/>
    </xf>
    <xf numFmtId="0" fontId="10" fillId="2" borderId="10"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3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9" fillId="0" borderId="29" xfId="0" applyFont="1" applyBorder="1" applyAlignment="1">
      <alignment horizontal="justify" vertical="center" wrapText="1"/>
    </xf>
    <xf numFmtId="1" fontId="3" fillId="2" borderId="34" xfId="0" applyNumberFormat="1" applyFont="1" applyFill="1" applyBorder="1" applyAlignment="1">
      <alignment horizontal="center" vertical="center" wrapText="1"/>
    </xf>
    <xf numFmtId="0" fontId="9" fillId="0" borderId="42" xfId="0" applyFont="1" applyBorder="1" applyAlignment="1">
      <alignment horizontal="justify" vertical="center" wrapText="1"/>
    </xf>
    <xf numFmtId="0" fontId="9" fillId="0" borderId="8" xfId="0" applyFont="1" applyBorder="1" applyAlignment="1">
      <alignment horizontal="center" vertical="center" wrapText="1"/>
    </xf>
    <xf numFmtId="0" fontId="9" fillId="0" borderId="20" xfId="0" applyFont="1" applyBorder="1" applyAlignment="1">
      <alignment horizontal="justify" vertical="center" wrapText="1"/>
    </xf>
    <xf numFmtId="0" fontId="3" fillId="2" borderId="21" xfId="0" applyFont="1" applyFill="1" applyBorder="1" applyAlignment="1">
      <alignment horizontal="center" vertical="center"/>
    </xf>
    <xf numFmtId="9" fontId="3" fillId="2" borderId="18" xfId="2" applyFont="1" applyFill="1" applyBorder="1" applyAlignment="1">
      <alignment horizontal="center" vertical="center" wrapText="1"/>
    </xf>
    <xf numFmtId="0" fontId="9" fillId="0" borderId="33" xfId="0" applyFont="1" applyBorder="1" applyAlignment="1">
      <alignment horizontal="justify" vertical="center" wrapText="1"/>
    </xf>
    <xf numFmtId="0" fontId="9" fillId="0" borderId="9" xfId="0" applyFont="1" applyBorder="1" applyAlignment="1">
      <alignment horizontal="center" vertical="center" wrapText="1"/>
    </xf>
    <xf numFmtId="0" fontId="9" fillId="0" borderId="17" xfId="0" applyFont="1" applyBorder="1" applyAlignment="1">
      <alignment horizontal="justify" vertical="center" wrapText="1"/>
    </xf>
    <xf numFmtId="0" fontId="3" fillId="2" borderId="43" xfId="0" applyFont="1" applyFill="1" applyBorder="1" applyAlignment="1">
      <alignment horizontal="justify" vertical="center" wrapText="1"/>
    </xf>
    <xf numFmtId="9" fontId="3" fillId="2" borderId="2" xfId="2"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1" fontId="3" fillId="0" borderId="0" xfId="0" applyNumberFormat="1" applyFont="1"/>
    <xf numFmtId="0" fontId="3" fillId="0" borderId="16" xfId="0" applyFont="1" applyBorder="1"/>
    <xf numFmtId="0" fontId="3" fillId="0" borderId="1" xfId="0" applyFont="1" applyBorder="1"/>
    <xf numFmtId="0" fontId="3" fillId="0" borderId="17" xfId="0" applyFont="1" applyBorder="1"/>
    <xf numFmtId="0" fontId="3" fillId="0" borderId="0" xfId="0" applyFont="1" applyBorder="1"/>
    <xf numFmtId="0" fontId="3" fillId="0" borderId="2" xfId="0" applyFont="1" applyBorder="1" applyAlignment="1">
      <alignment horizontal="center" vertical="center"/>
    </xf>
    <xf numFmtId="0" fontId="9" fillId="0" borderId="2" xfId="0" applyFont="1" applyBorder="1" applyAlignment="1">
      <alignment horizontal="justify" vertical="center" wrapText="1"/>
    </xf>
    <xf numFmtId="0" fontId="3" fillId="0" borderId="10" xfId="0" applyFont="1" applyBorder="1" applyAlignment="1">
      <alignment horizontal="justify" vertical="center" wrapText="1"/>
    </xf>
    <xf numFmtId="0" fontId="6" fillId="0" borderId="0" xfId="0" applyFont="1" applyBorder="1" applyAlignment="1">
      <alignment horizontal="left" vertical="center"/>
    </xf>
    <xf numFmtId="0" fontId="3" fillId="0" borderId="9" xfId="0" applyFont="1" applyBorder="1" applyAlignment="1">
      <alignment horizontal="center" vertical="center"/>
    </xf>
    <xf numFmtId="0" fontId="3" fillId="2" borderId="9" xfId="0" applyFont="1" applyFill="1" applyBorder="1" applyAlignment="1">
      <alignment horizontal="justify" vertical="center" wrapText="1"/>
    </xf>
    <xf numFmtId="0" fontId="3" fillId="0" borderId="8" xfId="0" applyFont="1" applyBorder="1" applyAlignment="1">
      <alignment horizontal="justify" vertical="center" wrapText="1"/>
    </xf>
    <xf numFmtId="9" fontId="3" fillId="2" borderId="9" xfId="2" applyFont="1" applyFill="1" applyBorder="1" applyAlignment="1">
      <alignment horizontal="center" vertical="center" wrapText="1"/>
    </xf>
    <xf numFmtId="0" fontId="9" fillId="0" borderId="44" xfId="0" applyFont="1" applyBorder="1" applyAlignment="1">
      <alignment horizontal="justify" vertical="center" wrapText="1"/>
    </xf>
    <xf numFmtId="0" fontId="14" fillId="9" borderId="10" xfId="0" applyFont="1" applyFill="1" applyBorder="1" applyAlignment="1">
      <alignment horizontal="justify" vertical="center" wrapText="1"/>
    </xf>
    <xf numFmtId="0" fontId="15" fillId="9" borderId="6" xfId="0" applyFont="1" applyFill="1" applyBorder="1" applyAlignment="1">
      <alignment horizontal="justify" vertical="center" wrapText="1"/>
    </xf>
    <xf numFmtId="0" fontId="10" fillId="0" borderId="20" xfId="0" applyFont="1" applyBorder="1" applyAlignment="1">
      <alignment horizontal="justify" vertical="center" wrapText="1"/>
    </xf>
    <xf numFmtId="0" fontId="10" fillId="0" borderId="21" xfId="0" applyFont="1" applyBorder="1" applyAlignment="1">
      <alignment horizontal="justify" vertical="center" wrapText="1"/>
    </xf>
    <xf numFmtId="0" fontId="10" fillId="0" borderId="27" xfId="0" applyFont="1" applyBorder="1" applyAlignment="1">
      <alignment horizontal="justify" vertical="center" wrapText="1"/>
    </xf>
    <xf numFmtId="1" fontId="3" fillId="0" borderId="3" xfId="0" applyNumberFormat="1" applyFont="1" applyFill="1" applyBorder="1"/>
    <xf numFmtId="0" fontId="3" fillId="0" borderId="6" xfId="0" applyFont="1" applyFill="1" applyBorder="1"/>
    <xf numFmtId="0" fontId="3" fillId="0" borderId="4" xfId="0" applyFont="1" applyFill="1" applyBorder="1"/>
    <xf numFmtId="0" fontId="3" fillId="0" borderId="18" xfId="0" applyFont="1" applyFill="1" applyBorder="1"/>
    <xf numFmtId="0" fontId="3" fillId="0" borderId="3" xfId="0" applyFont="1" applyFill="1" applyBorder="1"/>
    <xf numFmtId="0" fontId="3" fillId="0" borderId="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8" xfId="0" applyFont="1" applyFill="1" applyBorder="1" applyAlignment="1">
      <alignment horizontal="justify" vertical="center"/>
    </xf>
    <xf numFmtId="0" fontId="3" fillId="0" borderId="18" xfId="0" applyFont="1" applyFill="1" applyBorder="1" applyAlignment="1">
      <alignment horizontal="justify" vertical="center" wrapText="1"/>
    </xf>
    <xf numFmtId="0" fontId="3" fillId="0" borderId="18" xfId="0" applyFont="1" applyFill="1" applyBorder="1" applyAlignment="1">
      <alignment horizontal="center"/>
    </xf>
    <xf numFmtId="165" fontId="3" fillId="0" borderId="18" xfId="0" applyNumberFormat="1" applyFont="1" applyFill="1" applyBorder="1" applyAlignment="1">
      <alignment horizontal="center" vertical="center"/>
    </xf>
    <xf numFmtId="0" fontId="11" fillId="0" borderId="18" xfId="0" applyFont="1" applyFill="1" applyBorder="1" applyAlignment="1">
      <alignment horizontal="left" vertical="center" wrapText="1"/>
    </xf>
    <xf numFmtId="1" fontId="3" fillId="0" borderId="18" xfId="0" applyNumberFormat="1" applyFont="1" applyFill="1" applyBorder="1" applyAlignment="1">
      <alignment horizontal="center" vertical="center"/>
    </xf>
    <xf numFmtId="168" fontId="3" fillId="0" borderId="18" xfId="0" applyNumberFormat="1" applyFont="1" applyFill="1" applyBorder="1" applyAlignment="1">
      <alignment horizontal="center" vertical="center"/>
    </xf>
    <xf numFmtId="168" fontId="3" fillId="0" borderId="18" xfId="0" applyNumberFormat="1" applyFont="1" applyFill="1" applyBorder="1" applyAlignment="1">
      <alignment horizontal="center"/>
    </xf>
    <xf numFmtId="1" fontId="3"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vertical="center"/>
    </xf>
    <xf numFmtId="0" fontId="3" fillId="0" borderId="0" xfId="0" applyFont="1" applyFill="1" applyBorder="1" applyAlignment="1">
      <alignment horizontal="justify" vertical="center"/>
    </xf>
    <xf numFmtId="0" fontId="3" fillId="0" borderId="0" xfId="0" applyFont="1" applyFill="1" applyBorder="1" applyAlignment="1">
      <alignment horizontal="justify" vertical="center" wrapText="1"/>
    </xf>
    <xf numFmtId="0" fontId="3" fillId="0" borderId="0" xfId="0" applyFont="1" applyFill="1" applyBorder="1" applyAlignment="1">
      <alignment horizontal="center"/>
    </xf>
    <xf numFmtId="165" fontId="3" fillId="0" borderId="0" xfId="0" applyNumberFormat="1" applyFont="1" applyFill="1" applyBorder="1" applyAlignment="1">
      <alignment horizontal="center" vertical="center"/>
    </xf>
    <xf numFmtId="43" fontId="6" fillId="0" borderId="0" xfId="0" applyNumberFormat="1" applyFont="1" applyFill="1" applyBorder="1" applyAlignment="1">
      <alignment vertical="center"/>
    </xf>
    <xf numFmtId="0" fontId="11" fillId="0" borderId="0" xfId="0" applyFont="1" applyFill="1" applyBorder="1" applyAlignment="1">
      <alignment horizontal="left" vertical="center" wrapText="1"/>
    </xf>
    <xf numFmtId="44" fontId="6" fillId="0" borderId="0" xfId="1" applyFont="1" applyFill="1" applyBorder="1" applyAlignment="1">
      <alignment vertical="center"/>
    </xf>
    <xf numFmtId="1" fontId="3" fillId="0" borderId="0" xfId="0" applyNumberFormat="1" applyFont="1" applyFill="1" applyBorder="1" applyAlignment="1">
      <alignment horizontal="center" vertical="center"/>
    </xf>
    <xf numFmtId="168" fontId="3" fillId="0" borderId="0" xfId="0" applyNumberFormat="1" applyFont="1" applyFill="1" applyBorder="1" applyAlignment="1">
      <alignment horizontal="center" vertical="center"/>
    </xf>
    <xf numFmtId="168" fontId="3" fillId="0" borderId="0" xfId="0" applyNumberFormat="1" applyFont="1" applyFill="1" applyBorder="1" applyAlignment="1">
      <alignment horizontal="center"/>
    </xf>
    <xf numFmtId="0" fontId="3" fillId="0" borderId="3" xfId="0" applyFont="1" applyFill="1" applyBorder="1" applyAlignment="1">
      <alignment horizontal="center" vertical="center"/>
    </xf>
    <xf numFmtId="0" fontId="2" fillId="0" borderId="0" xfId="0" applyFont="1"/>
    <xf numFmtId="0" fontId="3" fillId="2" borderId="0" xfId="0" applyFont="1" applyFill="1" applyAlignment="1">
      <alignment horizontal="justify" vertical="center"/>
    </xf>
    <xf numFmtId="0" fontId="3" fillId="2" borderId="0" xfId="0" applyFont="1" applyFill="1" applyAlignment="1">
      <alignment horizontal="justify" vertical="center" wrapText="1"/>
    </xf>
    <xf numFmtId="0" fontId="3" fillId="2" borderId="0" xfId="0" applyFont="1" applyFill="1" applyAlignment="1">
      <alignment horizontal="center"/>
    </xf>
    <xf numFmtId="165" fontId="3" fillId="2" borderId="0" xfId="0" applyNumberFormat="1" applyFont="1" applyFill="1" applyAlignment="1">
      <alignment horizontal="center" vertical="center"/>
    </xf>
    <xf numFmtId="166" fontId="3" fillId="2" borderId="0" xfId="0" applyNumberFormat="1" applyFont="1" applyFill="1" applyAlignment="1">
      <alignment vertical="center"/>
    </xf>
    <xf numFmtId="0" fontId="11" fillId="2" borderId="0" xfId="0" applyFont="1" applyFill="1" applyAlignment="1">
      <alignment horizontal="left" vertical="center" wrapText="1"/>
    </xf>
    <xf numFmtId="164" fontId="3" fillId="2" borderId="0" xfId="0" applyNumberFormat="1" applyFont="1" applyFill="1" applyAlignment="1">
      <alignment horizontal="center" vertical="center"/>
    </xf>
    <xf numFmtId="1" fontId="3" fillId="2" borderId="0" xfId="0" applyNumberFormat="1" applyFont="1" applyFill="1" applyAlignment="1">
      <alignment horizontal="center" vertical="center"/>
    </xf>
    <xf numFmtId="0" fontId="3" fillId="0" borderId="0" xfId="0" applyFont="1" applyAlignment="1">
      <alignment horizontal="center"/>
    </xf>
    <xf numFmtId="0" fontId="3" fillId="0" borderId="0" xfId="0" applyFont="1" applyAlignment="1">
      <alignment horizontal="justify" vertical="center" wrapText="1"/>
    </xf>
    <xf numFmtId="168" fontId="3" fillId="0" borderId="0" xfId="0" applyNumberFormat="1" applyFont="1" applyAlignment="1">
      <alignment horizontal="center" vertical="center"/>
    </xf>
    <xf numFmtId="168" fontId="3" fillId="0" borderId="0" xfId="0" applyNumberFormat="1" applyFont="1" applyAlignment="1">
      <alignment horizontal="center"/>
    </xf>
    <xf numFmtId="0" fontId="3" fillId="0" borderId="0" xfId="0" applyFont="1" applyAlignment="1">
      <alignment horizontal="justify" vertical="center"/>
    </xf>
    <xf numFmtId="2" fontId="3" fillId="2" borderId="0" xfId="0" applyNumberFormat="1" applyFont="1" applyFill="1" applyAlignment="1">
      <alignment horizontal="center" vertical="center"/>
    </xf>
    <xf numFmtId="0" fontId="3" fillId="2" borderId="0" xfId="0" applyFont="1" applyFill="1" applyAlignment="1">
      <alignment horizontal="center" vertical="center"/>
    </xf>
    <xf numFmtId="169" fontId="3" fillId="2" borderId="9"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3" fillId="2" borderId="2"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17" fillId="0" borderId="2" xfId="0" applyFont="1" applyBorder="1" applyAlignment="1">
      <alignment vertical="center"/>
    </xf>
    <xf numFmtId="0" fontId="17" fillId="0" borderId="2" xfId="0" applyFont="1" applyBorder="1" applyAlignment="1">
      <alignment horizontal="right" vertical="center"/>
    </xf>
    <xf numFmtId="0" fontId="18" fillId="2" borderId="0" xfId="0" applyFont="1" applyFill="1"/>
    <xf numFmtId="0" fontId="17" fillId="0" borderId="2" xfId="0" applyFont="1" applyBorder="1" applyAlignment="1">
      <alignment horizontal="left" vertical="center"/>
    </xf>
    <xf numFmtId="0" fontId="17" fillId="0" borderId="2" xfId="0" applyFont="1" applyBorder="1" applyAlignment="1">
      <alignment horizontal="right" vertical="center" wrapText="1"/>
    </xf>
    <xf numFmtId="3" fontId="19" fillId="0" borderId="2" xfId="0" applyNumberFormat="1" applyFont="1" applyBorder="1" applyAlignment="1">
      <alignment horizontal="right" vertical="center" wrapText="1"/>
    </xf>
    <xf numFmtId="0" fontId="2" fillId="0" borderId="6" xfId="0" applyFont="1" applyBorder="1" applyAlignment="1">
      <alignment vertical="center"/>
    </xf>
    <xf numFmtId="0" fontId="6" fillId="0" borderId="3" xfId="0" applyFont="1" applyBorder="1" applyAlignment="1">
      <alignment horizontal="center" vertical="center"/>
    </xf>
    <xf numFmtId="0" fontId="6" fillId="3" borderId="8" xfId="0" applyFont="1" applyFill="1" applyBorder="1" applyAlignment="1">
      <alignment horizontal="center" vertical="center" textRotation="90" wrapText="1"/>
    </xf>
    <xf numFmtId="0" fontId="2"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168" fontId="2" fillId="3" borderId="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0" fontId="6" fillId="6" borderId="9" xfId="0" applyFont="1" applyFill="1" applyBorder="1" applyAlignment="1">
      <alignment horizontal="left" vertical="center" wrapText="1"/>
    </xf>
    <xf numFmtId="0" fontId="6" fillId="6" borderId="5" xfId="0" applyFont="1" applyFill="1" applyBorder="1" applyAlignment="1">
      <alignment horizontal="left" vertical="center"/>
    </xf>
    <xf numFmtId="0" fontId="6" fillId="6" borderId="5" xfId="0" applyFont="1" applyFill="1" applyBorder="1" applyAlignment="1">
      <alignment vertical="center"/>
    </xf>
    <xf numFmtId="0" fontId="6" fillId="6" borderId="11" xfId="0" applyFont="1" applyFill="1" applyBorder="1" applyAlignment="1">
      <alignment horizontal="justify" vertical="center" wrapText="1"/>
    </xf>
    <xf numFmtId="0" fontId="6" fillId="6" borderId="11" xfId="0" applyFont="1" applyFill="1" applyBorder="1" applyAlignment="1">
      <alignment vertical="center"/>
    </xf>
    <xf numFmtId="0" fontId="2" fillId="6" borderId="11" xfId="0" applyFont="1" applyFill="1" applyBorder="1" applyAlignment="1">
      <alignment vertical="center"/>
    </xf>
    <xf numFmtId="0" fontId="2" fillId="6" borderId="11" xfId="0" applyFont="1" applyFill="1" applyBorder="1" applyAlignment="1">
      <alignment horizontal="center" vertical="center"/>
    </xf>
    <xf numFmtId="0" fontId="2" fillId="6" borderId="11" xfId="0" applyFont="1" applyFill="1" applyBorder="1" applyAlignment="1">
      <alignment horizontal="justify" vertical="center"/>
    </xf>
    <xf numFmtId="165" fontId="2" fillId="6" borderId="11" xfId="0" applyNumberFormat="1" applyFont="1" applyFill="1" applyBorder="1" applyAlignment="1">
      <alignment horizontal="center" vertical="center"/>
    </xf>
    <xf numFmtId="166" fontId="2" fillId="6" borderId="11" xfId="0" applyNumberFormat="1" applyFont="1" applyFill="1" applyBorder="1" applyAlignment="1">
      <alignment vertical="center"/>
    </xf>
    <xf numFmtId="166" fontId="2" fillId="6" borderId="11" xfId="0" applyNumberFormat="1" applyFont="1" applyFill="1" applyBorder="1" applyAlignment="1">
      <alignment horizontal="center" vertical="center"/>
    </xf>
    <xf numFmtId="1" fontId="2" fillId="6" borderId="11" xfId="0" applyNumberFormat="1" applyFont="1" applyFill="1" applyBorder="1" applyAlignment="1">
      <alignment horizontal="center" vertical="center"/>
    </xf>
    <xf numFmtId="168" fontId="2" fillId="6" borderId="11" xfId="0" applyNumberFormat="1" applyFont="1" applyFill="1" applyBorder="1" applyAlignment="1">
      <alignment vertical="center"/>
    </xf>
    <xf numFmtId="1" fontId="2" fillId="2" borderId="8"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7" borderId="7" xfId="0" applyFont="1" applyFill="1" applyBorder="1" applyAlignment="1">
      <alignment horizontal="left" vertical="center"/>
    </xf>
    <xf numFmtId="0" fontId="6" fillId="7" borderId="5" xfId="0" applyFont="1" applyFill="1" applyBorder="1" applyAlignment="1">
      <alignment horizontal="left" vertical="center"/>
    </xf>
    <xf numFmtId="0" fontId="6" fillId="7" borderId="5" xfId="0" applyFont="1" applyFill="1" applyBorder="1" applyAlignment="1">
      <alignment horizontal="justify" vertical="center" wrapText="1"/>
    </xf>
    <xf numFmtId="0" fontId="9" fillId="7" borderId="11" xfId="0" applyFont="1" applyFill="1" applyBorder="1" applyAlignment="1">
      <alignment horizontal="center" vertical="center"/>
    </xf>
    <xf numFmtId="0" fontId="6" fillId="7" borderId="11" xfId="0" applyFont="1" applyFill="1" applyBorder="1" applyAlignment="1">
      <alignment horizontal="justify" vertical="center" wrapText="1"/>
    </xf>
    <xf numFmtId="0" fontId="6" fillId="7" borderId="11" xfId="0" applyFont="1" applyFill="1" applyBorder="1" applyAlignment="1">
      <alignment horizontal="center" vertical="center"/>
    </xf>
    <xf numFmtId="0" fontId="6" fillId="7" borderId="0" xfId="0" applyFont="1" applyFill="1" applyBorder="1" applyAlignment="1">
      <alignment horizontal="center" vertical="center"/>
    </xf>
    <xf numFmtId="0" fontId="2" fillId="7" borderId="0" xfId="0" applyFont="1" applyFill="1" applyAlignment="1">
      <alignment vertical="center"/>
    </xf>
    <xf numFmtId="0" fontId="2" fillId="7" borderId="0" xfId="0" applyFont="1" applyFill="1" applyAlignment="1">
      <alignment horizontal="center" vertical="center"/>
    </xf>
    <xf numFmtId="0" fontId="2" fillId="7" borderId="11" xfId="0" applyFont="1" applyFill="1" applyBorder="1" applyAlignment="1">
      <alignment horizontal="justify" vertical="center"/>
    </xf>
    <xf numFmtId="165" fontId="2" fillId="7" borderId="5" xfId="0" applyNumberFormat="1" applyFont="1" applyFill="1" applyBorder="1" applyAlignment="1">
      <alignment horizontal="center" vertical="center"/>
    </xf>
    <xf numFmtId="166" fontId="2" fillId="7" borderId="0" xfId="0" applyNumberFormat="1" applyFont="1" applyFill="1" applyAlignment="1">
      <alignment vertical="center"/>
    </xf>
    <xf numFmtId="0" fontId="2" fillId="7" borderId="0" xfId="0" applyFont="1" applyFill="1" applyAlignment="1">
      <alignment horizontal="justify" vertical="center"/>
    </xf>
    <xf numFmtId="166" fontId="2" fillId="7" borderId="0" xfId="0" applyNumberFormat="1" applyFont="1" applyFill="1" applyAlignment="1">
      <alignment horizontal="center" vertical="center"/>
    </xf>
    <xf numFmtId="1" fontId="2" fillId="7" borderId="0" xfId="0" applyNumberFormat="1" applyFont="1" applyFill="1" applyAlignment="1">
      <alignment horizontal="center" vertical="center"/>
    </xf>
    <xf numFmtId="0" fontId="6" fillId="7" borderId="0" xfId="0" applyFont="1" applyFill="1" applyAlignment="1">
      <alignment vertical="center"/>
    </xf>
    <xf numFmtId="0" fontId="6" fillId="7" borderId="11" xfId="0" applyFont="1" applyFill="1" applyBorder="1" applyAlignment="1">
      <alignment vertical="center"/>
    </xf>
    <xf numFmtId="168" fontId="2" fillId="7" borderId="0" xfId="0" applyNumberFormat="1" applyFont="1" applyFill="1" applyAlignment="1">
      <alignment vertical="center"/>
    </xf>
    <xf numFmtId="1" fontId="3" fillId="0" borderId="16"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9" fillId="0" borderId="2" xfId="0" applyFont="1" applyFill="1" applyBorder="1" applyAlignment="1">
      <alignment horizontal="justify" vertical="center" wrapText="1"/>
    </xf>
    <xf numFmtId="171" fontId="9" fillId="0" borderId="10" xfId="6" applyFont="1" applyFill="1" applyBorder="1" applyAlignment="1">
      <alignment vertical="center"/>
    </xf>
    <xf numFmtId="171" fontId="9" fillId="0" borderId="2" xfId="6" applyFont="1" applyFill="1" applyBorder="1" applyAlignment="1">
      <alignment vertical="center"/>
    </xf>
    <xf numFmtId="1" fontId="3" fillId="0" borderId="34" xfId="0" applyNumberFormat="1" applyFont="1" applyFill="1" applyBorder="1" applyAlignment="1">
      <alignment horizontal="center" vertical="center" wrapText="1"/>
    </xf>
    <xf numFmtId="0" fontId="3" fillId="0" borderId="20" xfId="0" applyFont="1" applyFill="1" applyBorder="1" applyAlignment="1">
      <alignment horizontal="justify" vertical="center" wrapText="1"/>
    </xf>
    <xf numFmtId="1" fontId="3" fillId="2" borderId="2" xfId="0" applyNumberFormat="1" applyFont="1" applyFill="1" applyBorder="1" applyAlignment="1">
      <alignment horizontal="justify" vertical="center" wrapText="1"/>
    </xf>
    <xf numFmtId="169" fontId="3" fillId="0" borderId="0" xfId="0" applyNumberFormat="1" applyFont="1" applyFill="1" applyAlignment="1">
      <alignment vertical="center" wrapText="1"/>
    </xf>
    <xf numFmtId="0" fontId="3" fillId="10" borderId="0" xfId="0" applyFont="1" applyFill="1"/>
    <xf numFmtId="0" fontId="3" fillId="2" borderId="16" xfId="0" applyFont="1" applyFill="1" applyBorder="1" applyAlignment="1">
      <alignment vertical="center" wrapText="1"/>
    </xf>
    <xf numFmtId="0" fontId="3" fillId="2" borderId="1" xfId="0" applyFont="1" applyFill="1" applyBorder="1" applyAlignment="1">
      <alignment vertical="center" wrapText="1"/>
    </xf>
    <xf numFmtId="171" fontId="9" fillId="0" borderId="6" xfId="6" applyFont="1" applyFill="1" applyBorder="1" applyAlignment="1">
      <alignment vertical="center"/>
    </xf>
    <xf numFmtId="169" fontId="3" fillId="2" borderId="0" xfId="0" applyNumberFormat="1" applyFont="1" applyFill="1" applyAlignment="1">
      <alignment vertical="center" wrapText="1"/>
    </xf>
    <xf numFmtId="1" fontId="3" fillId="2" borderId="16" xfId="0" applyNumberFormat="1" applyFont="1" applyFill="1" applyBorder="1" applyAlignment="1">
      <alignment horizontal="center" vertical="top" wrapText="1"/>
    </xf>
    <xf numFmtId="0" fontId="3" fillId="2" borderId="0" xfId="0" applyFont="1" applyFill="1" applyAlignment="1">
      <alignment horizontal="center" vertical="top" wrapText="1"/>
    </xf>
    <xf numFmtId="0" fontId="3" fillId="2" borderId="1" xfId="0" applyFont="1" applyFill="1" applyBorder="1" applyAlignment="1">
      <alignment horizontal="center" vertical="top" wrapText="1"/>
    </xf>
    <xf numFmtId="0" fontId="3" fillId="2" borderId="0" xfId="0" applyFont="1" applyFill="1" applyAlignment="1">
      <alignment vertical="top"/>
    </xf>
    <xf numFmtId="0" fontId="3" fillId="2" borderId="16" xfId="0" applyFont="1" applyFill="1" applyBorder="1" applyAlignment="1">
      <alignment vertical="top" wrapText="1"/>
    </xf>
    <xf numFmtId="0" fontId="3" fillId="2" borderId="1" xfId="0" applyFont="1" applyFill="1" applyBorder="1" applyAlignment="1">
      <alignment vertical="top" wrapText="1"/>
    </xf>
    <xf numFmtId="169" fontId="3" fillId="2" borderId="0" xfId="0" applyNumberFormat="1" applyFont="1" applyFill="1" applyAlignment="1">
      <alignment vertical="top" wrapText="1"/>
    </xf>
    <xf numFmtId="0" fontId="9" fillId="0" borderId="18" xfId="0" applyFont="1" applyFill="1" applyBorder="1" applyAlignment="1">
      <alignment horizontal="justify" vertical="center" wrapText="1"/>
    </xf>
    <xf numFmtId="1" fontId="3" fillId="0" borderId="16" xfId="0" applyNumberFormat="1" applyFont="1" applyBorder="1"/>
    <xf numFmtId="0" fontId="3" fillId="0" borderId="3" xfId="0" applyFont="1" applyBorder="1"/>
    <xf numFmtId="0" fontId="3" fillId="0" borderId="6" xfId="0" applyFont="1" applyBorder="1"/>
    <xf numFmtId="0" fontId="3" fillId="0" borderId="4" xfId="0" applyFont="1" applyBorder="1"/>
    <xf numFmtId="0" fontId="9" fillId="0" borderId="12" xfId="0" applyFont="1" applyBorder="1" applyAlignment="1">
      <alignment horizontal="center" vertical="center" wrapText="1"/>
    </xf>
    <xf numFmtId="0" fontId="9" fillId="0" borderId="6" xfId="0" applyFont="1" applyBorder="1" applyAlignment="1">
      <alignment horizontal="justify" vertical="center" wrapText="1"/>
    </xf>
    <xf numFmtId="0" fontId="3" fillId="2" borderId="27" xfId="0" applyFont="1" applyFill="1" applyBorder="1" applyAlignment="1">
      <alignment horizontal="justify" vertical="center" wrapText="1"/>
    </xf>
    <xf numFmtId="0" fontId="3" fillId="2" borderId="49" xfId="0" applyFont="1" applyFill="1" applyBorder="1" applyAlignment="1">
      <alignment horizontal="center" vertical="center" wrapText="1"/>
    </xf>
    <xf numFmtId="0" fontId="3" fillId="0" borderId="4" xfId="0" applyFont="1" applyFill="1" applyBorder="1" applyAlignment="1">
      <alignment horizontal="center" vertical="center" wrapText="1"/>
    </xf>
    <xf numFmtId="9" fontId="3" fillId="2" borderId="20" xfId="2" applyFont="1" applyFill="1" applyBorder="1" applyAlignment="1">
      <alignment horizontal="center" vertical="center"/>
    </xf>
    <xf numFmtId="3" fontId="3" fillId="0" borderId="10" xfId="0" applyNumberFormat="1" applyFont="1" applyBorder="1" applyAlignment="1">
      <alignment horizontal="justify" vertical="center" wrapText="1"/>
    </xf>
    <xf numFmtId="0" fontId="20" fillId="0" borderId="9" xfId="0" applyFont="1" applyFill="1" applyBorder="1" applyAlignment="1">
      <alignment horizontal="justify" vertical="center" wrapText="1"/>
    </xf>
    <xf numFmtId="0" fontId="3" fillId="0" borderId="18" xfId="0" applyFont="1" applyBorder="1" applyAlignment="1">
      <alignment horizontal="center" vertical="center"/>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6" fillId="7" borderId="12" xfId="0" applyFont="1" applyFill="1" applyBorder="1" applyAlignment="1">
      <alignment horizontal="left" vertical="center"/>
    </xf>
    <xf numFmtId="0" fontId="6" fillId="7" borderId="3" xfId="0" applyFont="1" applyFill="1" applyBorder="1" applyAlignment="1">
      <alignment horizontal="justify" vertical="center" wrapText="1"/>
    </xf>
    <xf numFmtId="0" fontId="2" fillId="7" borderId="11" xfId="0" applyFont="1" applyFill="1" applyBorder="1" applyAlignment="1">
      <alignment horizontal="justify" vertical="center" wrapText="1"/>
    </xf>
    <xf numFmtId="0" fontId="2" fillId="7" borderId="11" xfId="0" applyFont="1" applyFill="1" applyBorder="1" applyAlignment="1">
      <alignment horizontal="center" vertical="center"/>
    </xf>
    <xf numFmtId="165" fontId="2" fillId="7" borderId="3" xfId="0" applyNumberFormat="1" applyFont="1" applyFill="1" applyBorder="1" applyAlignment="1">
      <alignment horizontal="center" vertical="center"/>
    </xf>
    <xf numFmtId="171" fontId="2" fillId="7" borderId="11" xfId="6" applyFont="1" applyFill="1" applyBorder="1" applyAlignment="1">
      <alignment vertical="center"/>
    </xf>
    <xf numFmtId="171" fontId="2" fillId="7" borderId="3" xfId="6" applyFont="1" applyFill="1" applyBorder="1" applyAlignment="1">
      <alignment horizontal="center" vertical="center"/>
    </xf>
    <xf numFmtId="171" fontId="2" fillId="7" borderId="2" xfId="6" applyFont="1" applyFill="1" applyBorder="1" applyAlignment="1">
      <alignment horizontal="center" vertical="center"/>
    </xf>
    <xf numFmtId="1" fontId="2" fillId="7" borderId="3" xfId="0" applyNumberFormat="1" applyFont="1" applyFill="1" applyBorder="1" applyAlignment="1">
      <alignment horizontal="center" vertical="center" wrapText="1"/>
    </xf>
    <xf numFmtId="0" fontId="2" fillId="7" borderId="3" xfId="0" applyFont="1" applyFill="1" applyBorder="1" applyAlignment="1">
      <alignment horizontal="justify" vertical="center" wrapText="1"/>
    </xf>
    <xf numFmtId="0" fontId="6" fillId="7" borderId="3" xfId="0" applyFont="1" applyFill="1" applyBorder="1" applyAlignment="1">
      <alignment horizontal="center" vertical="center"/>
    </xf>
    <xf numFmtId="168" fontId="2" fillId="7" borderId="11" xfId="0" applyNumberFormat="1" applyFont="1" applyFill="1" applyBorder="1" applyAlignment="1">
      <alignment horizontal="center" vertical="center"/>
    </xf>
    <xf numFmtId="0" fontId="2" fillId="7" borderId="12" xfId="0" applyFont="1" applyFill="1" applyBorder="1" applyAlignment="1">
      <alignment horizontal="justify" vertical="center" wrapText="1"/>
    </xf>
    <xf numFmtId="1" fontId="3" fillId="2" borderId="6"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11" xfId="0" applyFont="1" applyBorder="1"/>
    <xf numFmtId="0" fontId="3" fillId="0" borderId="11" xfId="0" applyFont="1" applyBorder="1" applyAlignment="1">
      <alignment vertical="center" wrapText="1"/>
    </xf>
    <xf numFmtId="0" fontId="3" fillId="0" borderId="12" xfId="0" applyFont="1" applyBorder="1" applyAlignment="1">
      <alignment vertical="center" wrapText="1"/>
    </xf>
    <xf numFmtId="0" fontId="9" fillId="0" borderId="2" xfId="0" applyFont="1" applyFill="1" applyBorder="1" applyAlignment="1">
      <alignment horizontal="center" vertical="center" wrapText="1"/>
    </xf>
    <xf numFmtId="0" fontId="3" fillId="0" borderId="2" xfId="0" applyFont="1" applyBorder="1" applyAlignment="1">
      <alignment horizontal="justify" vertical="center" wrapText="1"/>
    </xf>
    <xf numFmtId="0" fontId="3" fillId="0" borderId="2" xfId="0" applyFont="1" applyFill="1" applyBorder="1" applyAlignment="1">
      <alignment horizontal="center" vertical="center" wrapText="1"/>
    </xf>
    <xf numFmtId="0" fontId="9" fillId="0" borderId="2" xfId="0" applyFont="1" applyBorder="1" applyAlignment="1">
      <alignment horizontal="center" vertical="center"/>
    </xf>
    <xf numFmtId="9" fontId="3" fillId="0" borderId="2" xfId="2" applyFont="1" applyFill="1" applyBorder="1" applyAlignment="1">
      <alignment horizontal="center" vertical="center" wrapText="1"/>
    </xf>
    <xf numFmtId="1" fontId="3" fillId="0" borderId="12" xfId="0" applyNumberFormat="1" applyFont="1" applyFill="1" applyBorder="1" applyAlignment="1">
      <alignment horizontal="center" vertical="center" wrapText="1"/>
    </xf>
    <xf numFmtId="0" fontId="3" fillId="0" borderId="2" xfId="0" applyFont="1" applyFill="1" applyBorder="1" applyAlignment="1">
      <alignment horizontal="justify" vertical="center" wrapText="1"/>
    </xf>
    <xf numFmtId="0" fontId="9" fillId="0" borderId="2" xfId="0" applyFont="1" applyFill="1" applyBorder="1" applyAlignment="1">
      <alignment horizontal="center" vertical="center"/>
    </xf>
    <xf numFmtId="0" fontId="9" fillId="2" borderId="2" xfId="0" applyFont="1" applyFill="1" applyBorder="1" applyAlignment="1">
      <alignment horizontal="center" vertical="center"/>
    </xf>
    <xf numFmtId="171" fontId="3" fillId="0" borderId="9" xfId="0" applyNumberFormat="1" applyFont="1" applyBorder="1" applyAlignment="1">
      <alignment horizontal="center" vertical="center"/>
    </xf>
    <xf numFmtId="9" fontId="3" fillId="0" borderId="9" xfId="2" applyFont="1" applyBorder="1" applyAlignment="1">
      <alignment horizontal="center" vertical="center"/>
    </xf>
    <xf numFmtId="0" fontId="3" fillId="0" borderId="9" xfId="0" applyFont="1" applyBorder="1" applyAlignment="1">
      <alignment horizontal="center" vertical="center" wrapText="1"/>
    </xf>
    <xf numFmtId="1" fontId="3" fillId="0" borderId="2" xfId="0" applyNumberFormat="1" applyFont="1" applyBorder="1" applyAlignment="1">
      <alignment horizontal="justify" vertical="center" wrapText="1"/>
    </xf>
    <xf numFmtId="0" fontId="6" fillId="6" borderId="17" xfId="0" applyFont="1" applyFill="1" applyBorder="1" applyAlignment="1">
      <alignment horizontal="left" vertical="center" wrapText="1"/>
    </xf>
    <xf numFmtId="0" fontId="6" fillId="6" borderId="0" xfId="0" applyFont="1" applyFill="1" applyAlignment="1">
      <alignment horizontal="left" vertical="center"/>
    </xf>
    <xf numFmtId="0" fontId="6" fillId="6" borderId="0" xfId="0" applyFont="1" applyFill="1" applyAlignment="1">
      <alignment horizontal="center" vertical="center"/>
    </xf>
    <xf numFmtId="0" fontId="2" fillId="6" borderId="11" xfId="0" applyFont="1" applyFill="1" applyBorder="1" applyAlignment="1">
      <alignment horizontal="justify" vertical="center" wrapText="1"/>
    </xf>
    <xf numFmtId="171" fontId="2" fillId="6" borderId="11" xfId="6" applyFont="1" applyFill="1" applyBorder="1" applyAlignment="1">
      <alignment vertical="center"/>
    </xf>
    <xf numFmtId="171" fontId="2" fillId="6" borderId="11" xfId="6" applyFont="1" applyFill="1" applyBorder="1" applyAlignment="1">
      <alignment horizontal="center" vertical="center"/>
    </xf>
    <xf numFmtId="171" fontId="2" fillId="6" borderId="2" xfId="6" applyFont="1" applyFill="1" applyBorder="1" applyAlignment="1">
      <alignment horizontal="center" vertical="center"/>
    </xf>
    <xf numFmtId="1" fontId="2" fillId="6" borderId="11" xfId="0" applyNumberFormat="1" applyFont="1" applyFill="1" applyBorder="1" applyAlignment="1">
      <alignment horizontal="center" vertical="center" wrapText="1"/>
    </xf>
    <xf numFmtId="0" fontId="6" fillId="6" borderId="11" xfId="0" applyFont="1" applyFill="1" applyBorder="1" applyAlignment="1">
      <alignment horizontal="center" vertical="center"/>
    </xf>
    <xf numFmtId="168" fontId="2" fillId="6" borderId="11" xfId="0" applyNumberFormat="1" applyFont="1" applyFill="1" applyBorder="1" applyAlignment="1">
      <alignment horizontal="center" vertical="center"/>
    </xf>
    <xf numFmtId="0" fontId="2" fillId="6" borderId="12" xfId="0" applyFont="1" applyFill="1" applyBorder="1" applyAlignment="1">
      <alignment horizontal="justify" vertical="center" wrapText="1"/>
    </xf>
    <xf numFmtId="0" fontId="6" fillId="7" borderId="11" xfId="0" applyFont="1" applyFill="1" applyBorder="1" applyAlignment="1">
      <alignment horizontal="left" vertical="center"/>
    </xf>
    <xf numFmtId="165" fontId="2" fillId="7" borderId="11" xfId="0" applyNumberFormat="1" applyFont="1" applyFill="1" applyBorder="1" applyAlignment="1">
      <alignment horizontal="center" vertical="center"/>
    </xf>
    <xf numFmtId="171" fontId="2" fillId="7" borderId="11" xfId="6" applyFont="1" applyFill="1" applyBorder="1" applyAlignment="1">
      <alignment horizontal="center" vertical="center"/>
    </xf>
    <xf numFmtId="1" fontId="2" fillId="7" borderId="11" xfId="0" applyNumberFormat="1" applyFont="1" applyFill="1" applyBorder="1" applyAlignment="1">
      <alignment horizontal="center" vertical="center" wrapText="1"/>
    </xf>
    <xf numFmtId="0" fontId="3" fillId="0" borderId="2" xfId="0" applyFont="1" applyBorder="1"/>
    <xf numFmtId="3" fontId="21" fillId="0" borderId="2" xfId="0" applyNumberFormat="1" applyFont="1" applyBorder="1" applyAlignment="1">
      <alignment horizontal="justify" vertical="center" wrapText="1"/>
    </xf>
    <xf numFmtId="0" fontId="3" fillId="0" borderId="9" xfId="0" applyFont="1" applyFill="1" applyBorder="1" applyAlignment="1">
      <alignment horizontal="center" vertical="center"/>
    </xf>
    <xf numFmtId="171" fontId="6" fillId="0" borderId="2" xfId="6" applyFont="1" applyFill="1" applyBorder="1" applyAlignment="1">
      <alignment vertical="center"/>
    </xf>
    <xf numFmtId="0" fontId="9" fillId="0" borderId="9" xfId="0" applyFont="1" applyBorder="1" applyAlignment="1">
      <alignment horizontal="center" vertical="center"/>
    </xf>
    <xf numFmtId="0" fontId="2" fillId="7" borderId="5" xfId="0" applyFont="1" applyFill="1" applyBorder="1" applyAlignment="1">
      <alignment horizontal="justify" vertical="center" wrapText="1"/>
    </xf>
    <xf numFmtId="171" fontId="2" fillId="7" borderId="5" xfId="6" applyFont="1" applyFill="1" applyBorder="1" applyAlignment="1">
      <alignment horizontal="center" vertical="center"/>
    </xf>
    <xf numFmtId="1" fontId="2" fillId="7" borderId="5" xfId="0" applyNumberFormat="1" applyFont="1" applyFill="1" applyBorder="1" applyAlignment="1">
      <alignment horizontal="center" vertical="center" wrapText="1"/>
    </xf>
    <xf numFmtId="165" fontId="3" fillId="0" borderId="16" xfId="0" applyNumberFormat="1" applyFont="1" applyFill="1" applyBorder="1" applyAlignment="1">
      <alignment horizontal="center" vertical="center"/>
    </xf>
    <xf numFmtId="0" fontId="2" fillId="0" borderId="0" xfId="0" applyFont="1" applyFill="1"/>
    <xf numFmtId="0" fontId="3" fillId="0" borderId="1" xfId="0" applyFont="1" applyFill="1" applyBorder="1" applyAlignment="1">
      <alignment horizontal="justify" vertical="center"/>
    </xf>
    <xf numFmtId="0" fontId="3" fillId="0" borderId="8" xfId="0" applyFont="1" applyFill="1" applyBorder="1"/>
    <xf numFmtId="0" fontId="3" fillId="0" borderId="7" xfId="0" applyFont="1" applyFill="1" applyBorder="1"/>
    <xf numFmtId="169" fontId="3" fillId="2" borderId="2" xfId="0" applyNumberFormat="1" applyFont="1" applyFill="1" applyBorder="1" applyAlignment="1">
      <alignment horizontal="center" vertical="center" wrapText="1"/>
    </xf>
    <xf numFmtId="165" fontId="3" fillId="2" borderId="16" xfId="0" applyNumberFormat="1" applyFont="1" applyFill="1" applyBorder="1" applyAlignment="1">
      <alignment horizontal="center" vertical="center"/>
    </xf>
    <xf numFmtId="0" fontId="3" fillId="2" borderId="1" xfId="0" applyFont="1" applyFill="1" applyBorder="1" applyAlignment="1">
      <alignment horizontal="justify" vertical="center"/>
    </xf>
    <xf numFmtId="0" fontId="3" fillId="0" borderId="16" xfId="0" applyFont="1" applyFill="1" applyBorder="1"/>
    <xf numFmtId="0" fontId="3" fillId="0" borderId="1" xfId="0" applyFont="1" applyFill="1" applyBorder="1"/>
    <xf numFmtId="0" fontId="9" fillId="0" borderId="8" xfId="0" applyFont="1" applyFill="1" applyBorder="1" applyAlignment="1">
      <alignment horizontal="justify" vertical="center" wrapText="1"/>
    </xf>
    <xf numFmtId="171" fontId="9" fillId="0" borderId="42" xfId="6" applyFont="1" applyFill="1" applyBorder="1" applyAlignment="1">
      <alignment vertical="center"/>
    </xf>
    <xf numFmtId="172" fontId="9" fillId="0" borderId="2" xfId="7" applyFont="1" applyFill="1" applyBorder="1" applyAlignment="1" applyProtection="1">
      <alignment horizontal="right" vertical="center"/>
      <protection locked="0"/>
    </xf>
    <xf numFmtId="0" fontId="3" fillId="0" borderId="10" xfId="0" applyFont="1" applyFill="1" applyBorder="1" applyAlignment="1">
      <alignment horizontal="justify" vertical="center" wrapText="1"/>
    </xf>
    <xf numFmtId="0" fontId="3" fillId="0" borderId="10" xfId="0" applyFont="1" applyFill="1" applyBorder="1" applyAlignment="1">
      <alignment horizontal="center" vertical="center" wrapText="1"/>
    </xf>
    <xf numFmtId="9" fontId="3" fillId="0" borderId="20" xfId="2" applyFont="1" applyFill="1" applyBorder="1" applyAlignment="1">
      <alignment horizontal="center" vertical="center"/>
    </xf>
    <xf numFmtId="0" fontId="9" fillId="0" borderId="10" xfId="0" applyFont="1" applyFill="1" applyBorder="1" applyAlignment="1">
      <alignment horizontal="justify" vertical="center" wrapText="1"/>
    </xf>
    <xf numFmtId="171" fontId="9" fillId="0" borderId="33" xfId="6" applyFont="1" applyFill="1" applyBorder="1" applyAlignment="1">
      <alignment vertical="center"/>
    </xf>
    <xf numFmtId="1" fontId="3" fillId="0" borderId="6" xfId="0" applyNumberFormat="1" applyFont="1" applyBorder="1"/>
    <xf numFmtId="1" fontId="3" fillId="0" borderId="3" xfId="0" applyNumberFormat="1" applyFont="1" applyBorder="1"/>
    <xf numFmtId="1" fontId="3" fillId="0" borderId="4" xfId="0" applyNumberFormat="1" applyFont="1" applyBorder="1"/>
    <xf numFmtId="1" fontId="3" fillId="0" borderId="11" xfId="0" applyNumberFormat="1" applyFont="1" applyBorder="1"/>
    <xf numFmtId="1" fontId="3" fillId="0" borderId="12" xfId="0" applyNumberFormat="1" applyFont="1" applyBorder="1"/>
    <xf numFmtId="0" fontId="3" fillId="2" borderId="18" xfId="0" applyFont="1" applyFill="1" applyBorder="1"/>
    <xf numFmtId="0" fontId="3" fillId="2" borderId="2" xfId="0" applyFont="1" applyFill="1" applyBorder="1" applyAlignment="1">
      <alignment horizontal="center"/>
    </xf>
    <xf numFmtId="0" fontId="3" fillId="2" borderId="2" xfId="0" applyFont="1" applyFill="1" applyBorder="1" applyAlignment="1">
      <alignment horizontal="justify" vertical="center"/>
    </xf>
    <xf numFmtId="165" fontId="3" fillId="2" borderId="18" xfId="0" applyNumberFormat="1" applyFont="1" applyFill="1" applyBorder="1" applyAlignment="1">
      <alignment horizontal="center" vertical="center"/>
    </xf>
    <xf numFmtId="173" fontId="6" fillId="0" borderId="2" xfId="0" applyNumberFormat="1" applyFont="1" applyBorder="1" applyAlignment="1">
      <alignment vertical="center"/>
    </xf>
    <xf numFmtId="0" fontId="3" fillId="0" borderId="2" xfId="0" applyFont="1" applyBorder="1" applyAlignment="1">
      <alignment horizontal="justify" vertical="center"/>
    </xf>
    <xf numFmtId="173" fontId="6" fillId="0" borderId="18" xfId="0" applyNumberFormat="1" applyFont="1" applyBorder="1" applyAlignment="1">
      <alignment vertical="center"/>
    </xf>
    <xf numFmtId="1"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9" fillId="0" borderId="2" xfId="0" applyFont="1" applyBorder="1"/>
    <xf numFmtId="168" fontId="3" fillId="0" borderId="2" xfId="0" applyNumberFormat="1" applyFont="1" applyBorder="1" applyAlignment="1">
      <alignment horizontal="right" vertical="center"/>
    </xf>
    <xf numFmtId="168" fontId="3" fillId="0" borderId="2" xfId="0" applyNumberFormat="1" applyFont="1" applyBorder="1" applyAlignment="1">
      <alignment horizontal="center"/>
    </xf>
    <xf numFmtId="0" fontId="9" fillId="0" borderId="0" xfId="0" applyFont="1"/>
    <xf numFmtId="166" fontId="3" fillId="2" borderId="3" xfId="0" applyNumberFormat="1" applyFont="1" applyFill="1" applyBorder="1" applyAlignment="1">
      <alignment vertical="center"/>
    </xf>
    <xf numFmtId="0" fontId="3" fillId="2" borderId="3" xfId="0" applyFont="1" applyFill="1" applyBorder="1" applyAlignment="1">
      <alignment horizontal="justify" vertical="center"/>
    </xf>
    <xf numFmtId="0" fontId="9" fillId="0" borderId="0" xfId="0" applyFont="1" applyAlignment="1">
      <alignment horizontal="justify" vertical="center" wrapText="1"/>
    </xf>
    <xf numFmtId="0" fontId="0" fillId="0" borderId="0" xfId="0" applyAlignment="1">
      <alignment horizontal="justify" vertical="center" wrapText="1"/>
    </xf>
    <xf numFmtId="173" fontId="0" fillId="0" borderId="0" xfId="0" applyNumberFormat="1"/>
    <xf numFmtId="0" fontId="0" fillId="0" borderId="0" xfId="0" applyAlignment="1">
      <alignment horizontal="center"/>
    </xf>
    <xf numFmtId="0" fontId="22" fillId="0" borderId="0" xfId="0" applyFont="1"/>
    <xf numFmtId="0" fontId="5" fillId="3" borderId="9" xfId="0" applyFont="1" applyFill="1" applyBorder="1" applyAlignment="1">
      <alignment horizontal="center" vertical="center" wrapText="1"/>
    </xf>
    <xf numFmtId="0" fontId="3" fillId="2" borderId="9" xfId="0" applyFont="1" applyFill="1" applyBorder="1" applyAlignment="1">
      <alignment horizontal="justify" vertical="center" wrapText="1"/>
    </xf>
    <xf numFmtId="1" fontId="3" fillId="2" borderId="20" xfId="0" applyNumberFormat="1" applyFont="1" applyFill="1" applyBorder="1" applyAlignment="1">
      <alignment horizontal="center" vertical="center" wrapText="1"/>
    </xf>
    <xf numFmtId="0" fontId="3" fillId="2" borderId="20"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9" fillId="2" borderId="27" xfId="0" applyFont="1" applyFill="1" applyBorder="1" applyAlignment="1">
      <alignment horizontal="justify" vertical="center" wrapText="1"/>
    </xf>
    <xf numFmtId="0" fontId="9" fillId="2" borderId="20" xfId="0" applyFont="1" applyFill="1" applyBorder="1" applyAlignment="1">
      <alignment horizontal="justify" vertical="center" wrapText="1"/>
    </xf>
    <xf numFmtId="0" fontId="3" fillId="2" borderId="20" xfId="0" applyFont="1" applyFill="1" applyBorder="1" applyAlignment="1">
      <alignment horizontal="center" vertical="center" wrapText="1"/>
    </xf>
    <xf numFmtId="1" fontId="3" fillId="2" borderId="9" xfId="0" applyNumberFormat="1" applyFont="1" applyFill="1" applyBorder="1" applyAlignment="1">
      <alignment horizontal="center" vertical="center"/>
    </xf>
    <xf numFmtId="9" fontId="3" fillId="2" borderId="20" xfId="2" applyNumberFormat="1" applyFont="1" applyFill="1" applyBorder="1" applyAlignment="1">
      <alignment horizontal="center" vertical="center" wrapText="1"/>
    </xf>
    <xf numFmtId="0" fontId="3" fillId="0" borderId="2"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23" fillId="0" borderId="53" xfId="0" applyFont="1" applyBorder="1" applyAlignment="1">
      <alignment horizontal="center" vertical="center"/>
    </xf>
    <xf numFmtId="0" fontId="23" fillId="0" borderId="53" xfId="0" applyFont="1" applyBorder="1" applyAlignment="1">
      <alignment horizontal="right" vertical="center"/>
    </xf>
    <xf numFmtId="0" fontId="18" fillId="0" borderId="0" xfId="0" applyFont="1"/>
    <xf numFmtId="0" fontId="23" fillId="0" borderId="2" xfId="0" applyFont="1" applyBorder="1" applyAlignment="1">
      <alignment horizontal="center" vertical="center"/>
    </xf>
    <xf numFmtId="174" fontId="23" fillId="0" borderId="2" xfId="0" applyNumberFormat="1" applyFont="1" applyBorder="1" applyAlignment="1">
      <alignment horizontal="right" vertical="center"/>
    </xf>
    <xf numFmtId="17" fontId="23" fillId="0" borderId="2" xfId="0" applyNumberFormat="1" applyFont="1" applyBorder="1" applyAlignment="1">
      <alignment horizontal="right" vertical="center"/>
    </xf>
    <xf numFmtId="3" fontId="23" fillId="11" borderId="2" xfId="0" applyNumberFormat="1" applyFont="1" applyFill="1" applyBorder="1" applyAlignment="1">
      <alignment horizontal="right" vertical="center" wrapText="1"/>
    </xf>
    <xf numFmtId="0" fontId="6" fillId="0" borderId="5" xfId="0" applyFont="1" applyBorder="1" applyAlignment="1">
      <alignment horizontal="center" vertical="center"/>
    </xf>
    <xf numFmtId="0" fontId="6" fillId="0" borderId="0" xfId="0" applyFont="1" applyAlignment="1">
      <alignment vertical="center"/>
    </xf>
    <xf numFmtId="0" fontId="6" fillId="0" borderId="6" xfId="0" applyFont="1" applyBorder="1" applyAlignment="1">
      <alignment horizontal="center" vertical="center"/>
    </xf>
    <xf numFmtId="0" fontId="9" fillId="0" borderId="3" xfId="0" applyFont="1" applyBorder="1" applyAlignment="1">
      <alignment horizontal="justify" vertical="center" wrapText="1"/>
    </xf>
    <xf numFmtId="0" fontId="6" fillId="0" borderId="3" xfId="0" applyFont="1" applyBorder="1" applyAlignment="1">
      <alignment horizontal="justify" vertical="center"/>
    </xf>
    <xf numFmtId="172" fontId="9" fillId="0" borderId="3" xfId="7" applyFont="1" applyBorder="1" applyAlignment="1">
      <alignment horizontal="center" vertical="center"/>
    </xf>
    <xf numFmtId="175" fontId="6" fillId="0" borderId="3" xfId="7" applyNumberFormat="1" applyFont="1" applyBorder="1" applyAlignment="1">
      <alignment horizontal="center" vertical="center"/>
    </xf>
    <xf numFmtId="14" fontId="6" fillId="0" borderId="3" xfId="0" applyNumberFormat="1" applyFont="1" applyBorder="1" applyAlignment="1">
      <alignment horizontal="center" vertical="center"/>
    </xf>
    <xf numFmtId="14" fontId="6" fillId="0" borderId="4" xfId="0" applyNumberFormat="1" applyFont="1" applyBorder="1" applyAlignment="1">
      <alignment horizontal="center" vertical="center"/>
    </xf>
    <xf numFmtId="0" fontId="9" fillId="0" borderId="0" xfId="0" applyFont="1" applyAlignment="1">
      <alignment horizontal="center" vertical="center"/>
    </xf>
    <xf numFmtId="49" fontId="2" fillId="3" borderId="2" xfId="0" applyNumberFormat="1" applyFont="1" applyFill="1" applyBorder="1" applyAlignment="1">
      <alignment horizontal="center" vertical="center"/>
    </xf>
    <xf numFmtId="0" fontId="6" fillId="6" borderId="9" xfId="0" applyFont="1" applyFill="1" applyBorder="1" applyAlignment="1">
      <alignment horizontal="left" vertical="center"/>
    </xf>
    <xf numFmtId="0" fontId="3" fillId="6" borderId="9" xfId="0" applyFont="1" applyFill="1" applyBorder="1"/>
    <xf numFmtId="166" fontId="2" fillId="6" borderId="6" xfId="0" applyNumberFormat="1" applyFont="1" applyFill="1" applyBorder="1" applyAlignment="1">
      <alignment horizontal="center" vertical="center"/>
    </xf>
    <xf numFmtId="166" fontId="2" fillId="6" borderId="27" xfId="0" applyNumberFormat="1" applyFont="1" applyFill="1" applyBorder="1" applyAlignment="1">
      <alignment horizontal="center" vertical="center"/>
    </xf>
    <xf numFmtId="1" fontId="2" fillId="6" borderId="12" xfId="0" applyNumberFormat="1" applyFont="1" applyFill="1" applyBorder="1" applyAlignment="1">
      <alignment horizontal="center" vertical="center"/>
    </xf>
    <xf numFmtId="168" fontId="2" fillId="6" borderId="2" xfId="0" applyNumberFormat="1" applyFont="1" applyFill="1" applyBorder="1" applyAlignment="1">
      <alignment vertical="center"/>
    </xf>
    <xf numFmtId="0" fontId="6" fillId="7" borderId="9" xfId="0" applyFont="1" applyFill="1" applyBorder="1" applyAlignment="1">
      <alignment horizontal="left" vertical="center"/>
    </xf>
    <xf numFmtId="0" fontId="2" fillId="7" borderId="9" xfId="0" applyFont="1" applyFill="1" applyBorder="1" applyAlignment="1">
      <alignment vertical="center"/>
    </xf>
    <xf numFmtId="0" fontId="2" fillId="7" borderId="9" xfId="0" applyFont="1" applyFill="1" applyBorder="1" applyAlignment="1">
      <alignment horizontal="justify" vertical="center"/>
    </xf>
    <xf numFmtId="0" fontId="2" fillId="7" borderId="2" xfId="0" applyFont="1" applyFill="1" applyBorder="1" applyAlignment="1">
      <alignment vertical="center"/>
    </xf>
    <xf numFmtId="0" fontId="2" fillId="7" borderId="2" xfId="0" applyFont="1" applyFill="1" applyBorder="1" applyAlignment="1">
      <alignment horizontal="center" vertical="center"/>
    </xf>
    <xf numFmtId="0" fontId="2" fillId="7" borderId="2" xfId="0" applyFont="1" applyFill="1" applyBorder="1" applyAlignment="1">
      <alignment horizontal="justify" vertical="center" wrapText="1"/>
    </xf>
    <xf numFmtId="165" fontId="2" fillId="7" borderId="2" xfId="0" applyNumberFormat="1" applyFont="1" applyFill="1" applyBorder="1" applyAlignment="1">
      <alignment horizontal="center" vertical="center"/>
    </xf>
    <xf numFmtId="166" fontId="2" fillId="7" borderId="2" xfId="0" applyNumberFormat="1" applyFont="1" applyFill="1" applyBorder="1" applyAlignment="1">
      <alignment vertical="center"/>
    </xf>
    <xf numFmtId="0" fontId="2" fillId="7" borderId="2" xfId="0" applyFont="1" applyFill="1" applyBorder="1" applyAlignment="1">
      <alignment horizontal="justify" vertical="center"/>
    </xf>
    <xf numFmtId="166" fontId="2" fillId="7" borderId="10" xfId="0" applyNumberFormat="1" applyFont="1" applyFill="1" applyBorder="1" applyAlignment="1">
      <alignment horizontal="center" vertical="center"/>
    </xf>
    <xf numFmtId="166" fontId="2" fillId="7" borderId="20" xfId="0" applyNumberFormat="1" applyFont="1" applyFill="1" applyBorder="1" applyAlignment="1">
      <alignment horizontal="center" vertical="center"/>
    </xf>
    <xf numFmtId="1" fontId="2" fillId="7" borderId="12" xfId="0" applyNumberFormat="1" applyFont="1" applyFill="1" applyBorder="1" applyAlignment="1">
      <alignment horizontal="center" vertical="center"/>
    </xf>
    <xf numFmtId="0" fontId="2" fillId="7" borderId="9" xfId="0" applyFont="1" applyFill="1" applyBorder="1" applyAlignment="1">
      <alignment horizontal="center" vertical="center"/>
    </xf>
    <xf numFmtId="168" fontId="2" fillId="7" borderId="2" xfId="0" applyNumberFormat="1" applyFont="1" applyFill="1" applyBorder="1" applyAlignment="1">
      <alignment vertical="center"/>
    </xf>
    <xf numFmtId="1" fontId="3" fillId="2" borderId="16" xfId="0" applyNumberFormat="1" applyFont="1" applyFill="1" applyBorder="1" applyAlignment="1">
      <alignment vertical="center" wrapText="1"/>
    </xf>
    <xf numFmtId="1" fontId="3" fillId="2" borderId="0" xfId="0" applyNumberFormat="1" applyFont="1" applyFill="1" applyAlignment="1">
      <alignment vertical="center" wrapText="1"/>
    </xf>
    <xf numFmtId="1" fontId="3" fillId="2" borderId="8" xfId="0" applyNumberFormat="1" applyFont="1" applyFill="1" applyBorder="1" applyAlignment="1">
      <alignment vertical="center" wrapText="1"/>
    </xf>
    <xf numFmtId="1" fontId="3" fillId="2" borderId="5" xfId="0" applyNumberFormat="1" applyFont="1" applyFill="1" applyBorder="1" applyAlignment="1">
      <alignment vertical="center" wrapText="1"/>
    </xf>
    <xf numFmtId="1" fontId="3" fillId="2" borderId="7" xfId="0" applyNumberFormat="1" applyFont="1" applyFill="1" applyBorder="1" applyAlignment="1">
      <alignment vertical="center" wrapText="1"/>
    </xf>
    <xf numFmtId="0" fontId="20" fillId="0" borderId="2" xfId="0" applyFont="1" applyBorder="1" applyAlignment="1">
      <alignment horizontal="justify" vertical="center" wrapText="1"/>
    </xf>
    <xf numFmtId="4" fontId="3" fillId="2" borderId="10" xfId="0" applyNumberFormat="1" applyFont="1" applyFill="1" applyBorder="1" applyAlignment="1">
      <alignment horizontal="right" vertical="center" wrapText="1"/>
    </xf>
    <xf numFmtId="43" fontId="3" fillId="0" borderId="20" xfId="0" applyNumberFormat="1" applyFont="1" applyFill="1" applyBorder="1" applyAlignment="1">
      <alignment horizontal="center" vertical="center" wrapText="1"/>
    </xf>
    <xf numFmtId="1" fontId="3" fillId="2" borderId="11" xfId="0" applyNumberFormat="1" applyFont="1" applyFill="1" applyBorder="1" applyAlignment="1">
      <alignment horizontal="center" vertical="center" wrapText="1"/>
    </xf>
    <xf numFmtId="1" fontId="2" fillId="2" borderId="0" xfId="0" applyNumberFormat="1" applyFont="1" applyFill="1" applyAlignment="1">
      <alignment vertical="center" textRotation="180" wrapText="1"/>
    </xf>
    <xf numFmtId="1" fontId="3" fillId="2" borderId="1" xfId="0" applyNumberFormat="1" applyFont="1" applyFill="1" applyBorder="1" applyAlignment="1">
      <alignment vertical="center" wrapText="1"/>
    </xf>
    <xf numFmtId="0" fontId="20" fillId="0" borderId="18" xfId="0" applyFont="1" applyBorder="1" applyAlignment="1">
      <alignment horizontal="justify" vertical="center" wrapText="1"/>
    </xf>
    <xf numFmtId="0" fontId="20" fillId="0" borderId="17" xfId="0" applyFont="1" applyBorder="1" applyAlignment="1">
      <alignment horizontal="justify" vertical="center" wrapText="1"/>
    </xf>
    <xf numFmtId="4" fontId="3" fillId="2" borderId="8" xfId="0" applyNumberFormat="1" applyFont="1" applyFill="1" applyBorder="1" applyAlignment="1">
      <alignment horizontal="right" vertical="center" wrapText="1"/>
    </xf>
    <xf numFmtId="1" fontId="3" fillId="2" borderId="5" xfId="0" applyNumberFormat="1" applyFont="1" applyFill="1" applyBorder="1" applyAlignment="1">
      <alignment horizontal="center" vertical="center" wrapText="1"/>
    </xf>
    <xf numFmtId="4" fontId="9" fillId="0" borderId="10" xfId="0" applyNumberFormat="1" applyFont="1" applyBorder="1" applyAlignment="1">
      <alignment horizontal="right" vertical="center" wrapText="1"/>
    </xf>
    <xf numFmtId="177" fontId="9" fillId="0" borderId="20" xfId="0" applyNumberFormat="1" applyFont="1" applyFill="1" applyBorder="1" applyAlignment="1">
      <alignment vertical="center" wrapText="1"/>
    </xf>
    <xf numFmtId="1" fontId="3" fillId="2" borderId="57" xfId="0" applyNumberFormat="1" applyFont="1" applyFill="1" applyBorder="1" applyAlignment="1">
      <alignment horizontal="center" vertical="center" wrapText="1"/>
    </xf>
    <xf numFmtId="4" fontId="9" fillId="0" borderId="6" xfId="0" applyNumberFormat="1" applyFont="1" applyBorder="1" applyAlignment="1">
      <alignment horizontal="right" vertical="center" wrapText="1"/>
    </xf>
    <xf numFmtId="1" fontId="3" fillId="2" borderId="6" xfId="0" applyNumberFormat="1" applyFont="1" applyFill="1" applyBorder="1" applyAlignment="1">
      <alignment vertical="center" wrapText="1"/>
    </xf>
    <xf numFmtId="1" fontId="3" fillId="2" borderId="3" xfId="0" applyNumberFormat="1" applyFont="1" applyFill="1" applyBorder="1" applyAlignment="1">
      <alignment vertical="center" wrapText="1"/>
    </xf>
    <xf numFmtId="1" fontId="3" fillId="2" borderId="4" xfId="0" applyNumberFormat="1" applyFont="1" applyFill="1" applyBorder="1" applyAlignment="1">
      <alignment vertical="center" wrapText="1"/>
    </xf>
    <xf numFmtId="0" fontId="6" fillId="7" borderId="4" xfId="0" applyFont="1" applyFill="1" applyBorder="1" applyAlignment="1">
      <alignment horizontal="left" vertical="center"/>
    </xf>
    <xf numFmtId="0" fontId="6" fillId="7" borderId="18" xfId="0" applyFont="1" applyFill="1" applyBorder="1" applyAlignment="1">
      <alignment vertical="center"/>
    </xf>
    <xf numFmtId="0" fontId="3" fillId="7" borderId="18" xfId="0" applyFont="1" applyFill="1" applyBorder="1" applyAlignment="1">
      <alignment horizontal="center" vertical="center" wrapText="1"/>
    </xf>
    <xf numFmtId="9" fontId="3" fillId="7" borderId="18" xfId="2" applyFont="1" applyFill="1" applyBorder="1" applyAlignment="1">
      <alignment horizontal="center" vertical="center" wrapText="1"/>
    </xf>
    <xf numFmtId="4" fontId="3" fillId="7" borderId="18" xfId="0" applyNumberFormat="1" applyFont="1" applyFill="1" applyBorder="1" applyAlignment="1">
      <alignment horizontal="center" vertical="center" wrapText="1"/>
    </xf>
    <xf numFmtId="4" fontId="3" fillId="7" borderId="6" xfId="0" applyNumberFormat="1" applyFont="1" applyFill="1" applyBorder="1" applyAlignment="1">
      <alignment horizontal="right" vertical="center" wrapText="1"/>
    </xf>
    <xf numFmtId="4" fontId="3" fillId="7" borderId="20" xfId="0" applyNumberFormat="1" applyFont="1" applyFill="1" applyBorder="1" applyAlignment="1">
      <alignment horizontal="right" vertical="center" wrapText="1"/>
    </xf>
    <xf numFmtId="1" fontId="3" fillId="7" borderId="3" xfId="0" applyNumberFormat="1" applyFont="1" applyFill="1" applyBorder="1" applyAlignment="1">
      <alignment horizontal="center" vertical="center" wrapText="1"/>
    </xf>
    <xf numFmtId="0" fontId="3" fillId="7" borderId="20" xfId="0" applyFont="1" applyFill="1" applyBorder="1" applyAlignment="1">
      <alignment horizontal="justify" vertical="center" wrapText="1"/>
    </xf>
    <xf numFmtId="1" fontId="2" fillId="7" borderId="4" xfId="0" applyNumberFormat="1" applyFont="1" applyFill="1" applyBorder="1" applyAlignment="1">
      <alignment horizontal="center" vertical="center" textRotation="180" wrapText="1"/>
    </xf>
    <xf numFmtId="4" fontId="2" fillId="7" borderId="18" xfId="0" applyNumberFormat="1" applyFont="1" applyFill="1" applyBorder="1" applyAlignment="1">
      <alignment horizontal="center" vertical="center" textRotation="180" wrapText="1"/>
    </xf>
    <xf numFmtId="9" fontId="2" fillId="7" borderId="18" xfId="2" applyFont="1" applyFill="1" applyBorder="1" applyAlignment="1">
      <alignment horizontal="center" vertical="center" textRotation="180" wrapText="1"/>
    </xf>
    <xf numFmtId="1" fontId="3" fillId="2" borderId="11" xfId="0" applyNumberFormat="1" applyFont="1" applyFill="1" applyBorder="1" applyAlignment="1">
      <alignment vertical="center" wrapText="1"/>
    </xf>
    <xf numFmtId="1" fontId="3" fillId="2" borderId="12" xfId="0" applyNumberFormat="1" applyFont="1" applyFill="1" applyBorder="1" applyAlignment="1">
      <alignment vertical="center" wrapText="1"/>
    </xf>
    <xf numFmtId="4" fontId="3" fillId="0" borderId="2" xfId="8" applyNumberFormat="1" applyFont="1" applyBorder="1" applyAlignment="1">
      <alignment horizontal="center" vertical="center"/>
    </xf>
    <xf numFmtId="4" fontId="3" fillId="2" borderId="20" xfId="0" applyNumberFormat="1" applyFont="1" applyFill="1" applyBorder="1" applyAlignment="1">
      <alignment horizontal="right" vertical="center" wrapText="1"/>
    </xf>
    <xf numFmtId="0" fontId="3" fillId="0" borderId="12" xfId="0" applyFont="1" applyBorder="1" applyAlignment="1">
      <alignment horizontal="center" vertical="center"/>
    </xf>
    <xf numFmtId="3" fontId="3" fillId="2" borderId="2" xfId="0" applyNumberFormat="1" applyFont="1" applyFill="1" applyBorder="1" applyAlignment="1">
      <alignment horizontal="center" vertical="center"/>
    </xf>
    <xf numFmtId="4" fontId="3" fillId="0" borderId="2" xfId="0" applyNumberFormat="1" applyFont="1" applyBorder="1" applyAlignment="1">
      <alignment horizontal="center" vertical="center"/>
    </xf>
    <xf numFmtId="9" fontId="3" fillId="0" borderId="2" xfId="2" applyFont="1" applyBorder="1" applyAlignment="1">
      <alignment horizontal="center" vertical="center"/>
    </xf>
    <xf numFmtId="169" fontId="3" fillId="2" borderId="21" xfId="0" applyNumberFormat="1" applyFont="1" applyFill="1" applyBorder="1" applyAlignment="1">
      <alignment vertical="center" wrapText="1"/>
    </xf>
    <xf numFmtId="169" fontId="3" fillId="2" borderId="9" xfId="0" applyNumberFormat="1" applyFont="1" applyFill="1" applyBorder="1" applyAlignment="1">
      <alignment horizontal="center" vertical="center"/>
    </xf>
    <xf numFmtId="0" fontId="3" fillId="2" borderId="2" xfId="0" applyFont="1" applyFill="1" applyBorder="1"/>
    <xf numFmtId="165" fontId="3" fillId="2" borderId="2" xfId="0" applyNumberFormat="1" applyFont="1" applyFill="1" applyBorder="1" applyAlignment="1">
      <alignment horizontal="center" vertical="center"/>
    </xf>
    <xf numFmtId="43" fontId="2" fillId="0" borderId="2" xfId="0" applyNumberFormat="1" applyFont="1" applyBorder="1" applyAlignment="1">
      <alignment horizontal="center" vertical="center"/>
    </xf>
    <xf numFmtId="4" fontId="2" fillId="0" borderId="2" xfId="0" applyNumberFormat="1" applyFont="1" applyBorder="1" applyAlignment="1">
      <alignment horizontal="right" vertical="center"/>
    </xf>
    <xf numFmtId="1" fontId="3" fillId="0" borderId="2" xfId="0" applyNumberFormat="1" applyFont="1" applyBorder="1" applyAlignment="1">
      <alignment horizontal="center" vertical="center"/>
    </xf>
    <xf numFmtId="4" fontId="2" fillId="0" borderId="2" xfId="0" applyNumberFormat="1" applyFont="1" applyBorder="1" applyAlignment="1">
      <alignment horizontal="center" vertical="center"/>
    </xf>
    <xf numFmtId="168" fontId="3" fillId="0" borderId="10" xfId="0" applyNumberFormat="1" applyFont="1" applyBorder="1" applyAlignment="1">
      <alignment horizontal="right" vertical="center"/>
    </xf>
    <xf numFmtId="169" fontId="3" fillId="2" borderId="2" xfId="0" applyNumberFormat="1" applyFont="1" applyFill="1" applyBorder="1" applyAlignment="1">
      <alignment vertical="center" wrapText="1"/>
    </xf>
    <xf numFmtId="169" fontId="3" fillId="2" borderId="2" xfId="0" applyNumberFormat="1" applyFont="1" applyFill="1" applyBorder="1" applyAlignment="1">
      <alignment vertical="center"/>
    </xf>
    <xf numFmtId="1" fontId="18" fillId="0" borderId="0" xfId="0" applyNumberFormat="1" applyFont="1"/>
    <xf numFmtId="0" fontId="18" fillId="2" borderId="0" xfId="0" applyFont="1" applyFill="1" applyAlignment="1">
      <alignment horizontal="justify" vertical="center"/>
    </xf>
    <xf numFmtId="0" fontId="18" fillId="2" borderId="0" xfId="0" applyFont="1" applyFill="1" applyAlignment="1">
      <alignment horizontal="center"/>
    </xf>
    <xf numFmtId="0" fontId="18" fillId="2" borderId="0" xfId="0" applyFont="1" applyFill="1" applyAlignment="1">
      <alignment horizontal="justify" vertical="center" wrapText="1"/>
    </xf>
    <xf numFmtId="165" fontId="18" fillId="2" borderId="0" xfId="0" applyNumberFormat="1" applyFont="1" applyFill="1" applyAlignment="1">
      <alignment horizontal="center" vertical="center"/>
    </xf>
    <xf numFmtId="166" fontId="18" fillId="2" borderId="0" xfId="0" applyNumberFormat="1" applyFont="1" applyFill="1" applyAlignment="1">
      <alignment vertical="center"/>
    </xf>
    <xf numFmtId="178" fontId="18" fillId="2" borderId="0" xfId="0" applyNumberFormat="1" applyFont="1" applyFill="1" applyAlignment="1">
      <alignment horizontal="center" vertical="center"/>
    </xf>
    <xf numFmtId="1" fontId="18" fillId="2" borderId="0" xfId="0" applyNumberFormat="1" applyFont="1" applyFill="1" applyAlignment="1">
      <alignment horizontal="center" vertical="center"/>
    </xf>
    <xf numFmtId="0" fontId="18" fillId="2" borderId="0" xfId="0" applyFont="1" applyFill="1" applyAlignment="1">
      <alignment horizontal="center" vertical="center"/>
    </xf>
    <xf numFmtId="168" fontId="18" fillId="0" borderId="0" xfId="0" applyNumberFormat="1" applyFont="1" applyAlignment="1">
      <alignment horizontal="right" vertical="center"/>
    </xf>
    <xf numFmtId="169" fontId="3" fillId="2" borderId="0" xfId="0" applyNumberFormat="1" applyFont="1" applyFill="1" applyBorder="1" applyAlignment="1">
      <alignment vertical="center" wrapText="1"/>
    </xf>
    <xf numFmtId="169" fontId="3" fillId="2" borderId="0" xfId="0" applyNumberFormat="1" applyFont="1" applyFill="1" applyBorder="1" applyAlignment="1">
      <alignment vertical="center"/>
    </xf>
    <xf numFmtId="0" fontId="18" fillId="0" borderId="0" xfId="0" applyFont="1" applyAlignment="1">
      <alignment horizontal="justify" vertical="center"/>
    </xf>
    <xf numFmtId="168" fontId="18" fillId="0" borderId="0" xfId="0" applyNumberFormat="1" applyFont="1" applyBorder="1" applyAlignment="1">
      <alignment horizontal="right" vertical="center"/>
    </xf>
    <xf numFmtId="168" fontId="18" fillId="0" borderId="0" xfId="0" applyNumberFormat="1" applyFont="1" applyBorder="1" applyAlignment="1">
      <alignment horizontal="center"/>
    </xf>
    <xf numFmtId="0" fontId="18" fillId="0" borderId="3" xfId="0" applyFont="1" applyBorder="1"/>
    <xf numFmtId="166" fontId="18" fillId="2" borderId="0" xfId="0" applyNumberFormat="1" applyFont="1" applyFill="1" applyAlignment="1">
      <alignment horizontal="center" vertical="center"/>
    </xf>
    <xf numFmtId="168" fontId="18" fillId="0" borderId="0" xfId="0" applyNumberFormat="1" applyFont="1" applyAlignment="1">
      <alignment horizontal="center"/>
    </xf>
    <xf numFmtId="43" fontId="6" fillId="0" borderId="0" xfId="9" applyFont="1" applyFill="1" applyBorder="1" applyAlignment="1" applyProtection="1">
      <alignment horizontal="right" vertical="center"/>
      <protection locked="0"/>
    </xf>
    <xf numFmtId="0" fontId="25" fillId="0" borderId="53" xfId="0" applyFont="1" applyBorder="1" applyAlignment="1">
      <alignment horizontal="center" vertical="center"/>
    </xf>
    <xf numFmtId="0" fontId="25" fillId="0" borderId="60" xfId="0" applyFont="1" applyBorder="1" applyAlignment="1">
      <alignment horizontal="left" vertical="center"/>
    </xf>
    <xf numFmtId="0" fontId="26" fillId="0" borderId="0" xfId="0" applyFont="1" applyFill="1"/>
    <xf numFmtId="0" fontId="26" fillId="0" borderId="0" xfId="0" applyFont="1"/>
    <xf numFmtId="0" fontId="11" fillId="2" borderId="0" xfId="0" applyFont="1" applyFill="1"/>
    <xf numFmtId="0" fontId="25" fillId="0" borderId="54" xfId="0" applyFont="1" applyBorder="1" applyAlignment="1">
      <alignment vertical="center" wrapText="1"/>
    </xf>
    <xf numFmtId="0" fontId="25" fillId="0" borderId="0" xfId="0" applyFont="1" applyBorder="1" applyAlignment="1">
      <alignment vertical="center" wrapText="1"/>
    </xf>
    <xf numFmtId="0" fontId="25" fillId="0" borderId="2" xfId="0" applyFont="1" applyBorder="1" applyAlignment="1">
      <alignment horizontal="center" vertical="center"/>
    </xf>
    <xf numFmtId="174" fontId="25" fillId="0" borderId="61" xfId="0" applyNumberFormat="1" applyFont="1" applyBorder="1" applyAlignment="1">
      <alignment horizontal="left" vertical="center"/>
    </xf>
    <xf numFmtId="17" fontId="25" fillId="0" borderId="61" xfId="0" applyNumberFormat="1" applyFont="1" applyBorder="1" applyAlignment="1">
      <alignment horizontal="left" vertical="center"/>
    </xf>
    <xf numFmtId="0" fontId="25" fillId="0" borderId="55" xfId="0" applyFont="1" applyBorder="1" applyAlignment="1">
      <alignment vertical="center" wrapText="1"/>
    </xf>
    <xf numFmtId="0" fontId="25" fillId="0" borderId="3" xfId="0" applyFont="1" applyBorder="1" applyAlignment="1">
      <alignment vertical="center" wrapText="1"/>
    </xf>
    <xf numFmtId="3" fontId="25" fillId="11" borderId="61" xfId="0" applyNumberFormat="1" applyFont="1" applyFill="1" applyBorder="1" applyAlignment="1">
      <alignment horizontal="left" vertical="center" wrapText="1"/>
    </xf>
    <xf numFmtId="0" fontId="25" fillId="0" borderId="56" xfId="0" applyFont="1" applyBorder="1" applyAlignment="1">
      <alignment vertical="center"/>
    </xf>
    <xf numFmtId="0" fontId="25" fillId="0" borderId="5" xfId="0" applyFont="1" applyBorder="1" applyAlignment="1">
      <alignment vertical="center"/>
    </xf>
    <xf numFmtId="0" fontId="10" fillId="0" borderId="5" xfId="0" applyFont="1" applyBorder="1" applyAlignment="1">
      <alignment horizontal="center" vertical="center"/>
    </xf>
    <xf numFmtId="0" fontId="25" fillId="0" borderId="2" xfId="0" applyFont="1" applyBorder="1" applyAlignment="1">
      <alignment vertical="center"/>
    </xf>
    <xf numFmtId="0" fontId="25" fillId="0" borderId="10" xfId="0" applyFont="1" applyBorder="1" applyAlignment="1">
      <alignment vertical="center"/>
    </xf>
    <xf numFmtId="0" fontId="25" fillId="0" borderId="61" xfId="0" applyFont="1" applyBorder="1" applyAlignment="1">
      <alignment vertical="center"/>
    </xf>
    <xf numFmtId="0" fontId="25" fillId="0" borderId="55" xfId="0" applyFont="1" applyBorder="1" applyAlignment="1">
      <alignment vertical="center"/>
    </xf>
    <xf numFmtId="0" fontId="25" fillId="0" borderId="3" xfId="0" applyFont="1" applyBorder="1" applyAlignment="1">
      <alignment vertical="center"/>
    </xf>
    <xf numFmtId="0" fontId="10" fillId="0" borderId="3" xfId="0" applyFont="1" applyBorder="1" applyAlignment="1">
      <alignment horizontal="center" vertical="center"/>
    </xf>
    <xf numFmtId="0" fontId="25" fillId="0" borderId="6" xfId="0" applyFont="1" applyBorder="1" applyAlignment="1">
      <alignment horizontal="justify" vertical="center"/>
    </xf>
    <xf numFmtId="0" fontId="25" fillId="0" borderId="3" xfId="0" applyFont="1" applyBorder="1" applyAlignment="1">
      <alignment horizontal="justify" vertical="center"/>
    </xf>
    <xf numFmtId="0" fontId="25" fillId="0" borderId="3" xfId="0" applyFont="1" applyBorder="1" applyAlignment="1">
      <alignment horizontal="center" vertical="center"/>
    </xf>
    <xf numFmtId="172" fontId="10" fillId="0" borderId="3" xfId="7" applyFont="1" applyBorder="1" applyAlignment="1">
      <alignment horizontal="center" vertical="center"/>
    </xf>
    <xf numFmtId="0" fontId="25" fillId="0" borderId="6" xfId="0" applyFont="1" applyBorder="1" applyAlignment="1">
      <alignment vertical="center"/>
    </xf>
    <xf numFmtId="175" fontId="25" fillId="0" borderId="3" xfId="7" applyNumberFormat="1" applyFont="1" applyBorder="1" applyAlignment="1">
      <alignment horizontal="center" vertical="center"/>
    </xf>
    <xf numFmtId="14" fontId="25" fillId="0" borderId="3" xfId="0" applyNumberFormat="1" applyFont="1" applyBorder="1" applyAlignment="1">
      <alignment horizontal="center" vertical="center"/>
    </xf>
    <xf numFmtId="0" fontId="10" fillId="0" borderId="62" xfId="0" applyFont="1" applyBorder="1" applyAlignment="1">
      <alignment horizontal="center" vertical="center"/>
    </xf>
    <xf numFmtId="0" fontId="5" fillId="3" borderId="2" xfId="0"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0" fontId="25" fillId="5" borderId="2" xfId="0" applyFont="1" applyFill="1" applyBorder="1" applyAlignment="1">
      <alignment horizontal="center" vertical="center" wrapText="1"/>
    </xf>
    <xf numFmtId="3" fontId="25" fillId="5" borderId="2" xfId="0" applyNumberFormat="1" applyFont="1" applyFill="1" applyBorder="1" applyAlignment="1">
      <alignment horizontal="center" vertical="center" wrapText="1"/>
    </xf>
    <xf numFmtId="9" fontId="25" fillId="5" borderId="2" xfId="4"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2" xfId="0" applyFont="1" applyFill="1" applyBorder="1" applyAlignment="1">
      <alignment horizontal="justify" vertical="center" wrapText="1"/>
    </xf>
    <xf numFmtId="0" fontId="11" fillId="3" borderId="2" xfId="0" applyFont="1" applyFill="1" applyBorder="1" applyAlignment="1">
      <alignment horizontal="center" vertical="center" wrapText="1"/>
    </xf>
    <xf numFmtId="165" fontId="5" fillId="3" borderId="2" xfId="0" applyNumberFormat="1" applyFont="1" applyFill="1" applyBorder="1" applyAlignment="1">
      <alignment horizontal="center" vertical="center" wrapText="1"/>
    </xf>
    <xf numFmtId="166" fontId="5" fillId="3" borderId="2" xfId="0" applyNumberFormat="1" applyFont="1" applyFill="1" applyBorder="1" applyAlignment="1">
      <alignment vertical="center" wrapText="1"/>
    </xf>
    <xf numFmtId="166" fontId="5" fillId="3" borderId="18" xfId="0" applyNumberFormat="1" applyFont="1" applyFill="1" applyBorder="1" applyAlignment="1">
      <alignment horizontal="center" vertical="center" wrapText="1"/>
    </xf>
    <xf numFmtId="0" fontId="25" fillId="5" borderId="18" xfId="0" applyFont="1" applyFill="1" applyBorder="1" applyAlignment="1">
      <alignment horizontal="center" vertical="center" wrapText="1"/>
    </xf>
    <xf numFmtId="0" fontId="5" fillId="3" borderId="8" xfId="0"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0" fontId="26" fillId="0" borderId="0" xfId="0" applyFont="1" applyFill="1" applyBorder="1" applyAlignment="1"/>
    <xf numFmtId="0" fontId="26" fillId="2" borderId="0" xfId="0" applyFont="1" applyFill="1" applyBorder="1" applyAlignment="1"/>
    <xf numFmtId="0" fontId="11" fillId="2" borderId="0" xfId="0" applyFont="1" applyFill="1" applyBorder="1" applyAlignment="1"/>
    <xf numFmtId="0" fontId="11" fillId="2" borderId="0" xfId="0" applyFont="1" applyFill="1" applyAlignment="1"/>
    <xf numFmtId="0" fontId="26" fillId="0" borderId="0" xfId="0" applyFont="1" applyAlignment="1"/>
    <xf numFmtId="0" fontId="6" fillId="6" borderId="9" xfId="0" applyNumberFormat="1" applyFont="1" applyFill="1" applyBorder="1" applyAlignment="1">
      <alignment horizontal="left" vertical="center" wrapText="1"/>
    </xf>
    <xf numFmtId="0" fontId="6" fillId="6" borderId="9" xfId="0" applyNumberFormat="1" applyFont="1" applyFill="1" applyBorder="1" applyAlignment="1">
      <alignment horizontal="left" vertical="center"/>
    </xf>
    <xf numFmtId="0" fontId="3" fillId="6" borderId="2" xfId="0" applyFont="1" applyFill="1" applyBorder="1" applyAlignment="1">
      <alignment horizontal="center" vertical="center"/>
    </xf>
    <xf numFmtId="166" fontId="2" fillId="6" borderId="2" xfId="0" applyNumberFormat="1" applyFont="1" applyFill="1" applyBorder="1" applyAlignment="1">
      <alignment horizontal="center" vertical="center"/>
    </xf>
    <xf numFmtId="168" fontId="2" fillId="6" borderId="10" xfId="0" applyNumberFormat="1" applyFont="1" applyFill="1" applyBorder="1" applyAlignment="1">
      <alignment horizontal="center" vertical="center"/>
    </xf>
    <xf numFmtId="168" fontId="2" fillId="0" borderId="0" xfId="0" applyNumberFormat="1" applyFont="1" applyFill="1" applyBorder="1" applyAlignment="1">
      <alignment horizontal="center" vertical="center"/>
    </xf>
    <xf numFmtId="0" fontId="2" fillId="2" borderId="0" xfId="0" applyFont="1" applyFill="1" applyBorder="1" applyAlignment="1">
      <alignment horizontal="justify" vertical="center"/>
    </xf>
    <xf numFmtId="0" fontId="3" fillId="2" borderId="0" xfId="0" applyFont="1" applyFill="1" applyBorder="1"/>
    <xf numFmtId="0" fontId="28" fillId="0" borderId="0" xfId="0" applyFont="1"/>
    <xf numFmtId="0" fontId="6" fillId="7" borderId="7" xfId="0" applyNumberFormat="1" applyFont="1" applyFill="1" applyBorder="1" applyAlignment="1">
      <alignment horizontal="left" vertical="center"/>
    </xf>
    <xf numFmtId="166" fontId="2" fillId="7" borderId="9" xfId="0" applyNumberFormat="1" applyFont="1" applyFill="1" applyBorder="1" applyAlignment="1">
      <alignment horizontal="center" vertical="center"/>
    </xf>
    <xf numFmtId="1" fontId="2" fillId="7" borderId="9" xfId="0" applyNumberFormat="1" applyFont="1" applyFill="1" applyBorder="1" applyAlignment="1">
      <alignment horizontal="center" vertical="center"/>
    </xf>
    <xf numFmtId="168" fontId="2" fillId="7" borderId="9" xfId="0" applyNumberFormat="1" applyFont="1" applyFill="1" applyBorder="1" applyAlignment="1">
      <alignment horizontal="center" vertical="center"/>
    </xf>
    <xf numFmtId="168" fontId="2" fillId="7" borderId="8" xfId="0" applyNumberFormat="1" applyFont="1" applyFill="1" applyBorder="1" applyAlignment="1">
      <alignment horizontal="center" vertical="center"/>
    </xf>
    <xf numFmtId="168" fontId="2" fillId="7" borderId="2" xfId="0" applyNumberFormat="1" applyFont="1" applyFill="1" applyBorder="1" applyAlignment="1">
      <alignment horizontal="center" vertical="center"/>
    </xf>
    <xf numFmtId="1" fontId="2" fillId="0" borderId="0" xfId="0" applyNumberFormat="1" applyFont="1" applyFill="1" applyBorder="1" applyAlignment="1">
      <alignment horizontal="center" vertical="center" wrapText="1"/>
    </xf>
    <xf numFmtId="1" fontId="3" fillId="2" borderId="20" xfId="0" applyNumberFormat="1" applyFont="1" applyFill="1" applyBorder="1" applyAlignment="1">
      <alignment horizontal="center" vertical="center"/>
    </xf>
    <xf numFmtId="1" fontId="3" fillId="2" borderId="0" xfId="0" applyNumberFormat="1" applyFont="1" applyFill="1" applyBorder="1" applyAlignment="1">
      <alignment vertical="center" wrapText="1"/>
    </xf>
    <xf numFmtId="0" fontId="9" fillId="2" borderId="34" xfId="5" applyNumberFormat="1" applyFont="1" applyFill="1" applyBorder="1" applyAlignment="1">
      <alignment horizontal="center" vertical="center" wrapText="1"/>
    </xf>
    <xf numFmtId="0" fontId="9" fillId="2" borderId="27" xfId="5" applyNumberFormat="1" applyFont="1" applyFill="1" applyBorder="1" applyAlignment="1">
      <alignment horizontal="center" vertical="center" wrapText="1"/>
    </xf>
    <xf numFmtId="0" fontId="9" fillId="0" borderId="34" xfId="0" applyFont="1" applyFill="1" applyBorder="1" applyAlignment="1">
      <alignment horizontal="justify" vertical="center" wrapText="1"/>
    </xf>
    <xf numFmtId="0" fontId="3" fillId="2" borderId="42" xfId="0" applyFont="1" applyFill="1" applyBorder="1" applyAlignment="1">
      <alignment horizontal="center" vertical="center" wrapText="1"/>
    </xf>
    <xf numFmtId="0" fontId="9" fillId="2" borderId="21" xfId="0" applyFont="1" applyFill="1" applyBorder="1" applyAlignment="1">
      <alignment horizontal="justify" vertical="center" wrapText="1"/>
    </xf>
    <xf numFmtId="0" fontId="28" fillId="0" borderId="0" xfId="0" applyFont="1" applyFill="1"/>
    <xf numFmtId="1" fontId="3" fillId="2" borderId="21" xfId="0" applyNumberFormat="1" applyFont="1" applyFill="1" applyBorder="1" applyAlignment="1">
      <alignment horizontal="center" vertical="center"/>
    </xf>
    <xf numFmtId="0" fontId="9" fillId="2" borderId="3" xfId="5" applyNumberFormat="1" applyFont="1" applyFill="1" applyBorder="1" applyAlignment="1">
      <alignment horizontal="center" vertical="center" wrapText="1"/>
    </xf>
    <xf numFmtId="0" fontId="9" fillId="2" borderId="2" xfId="0" applyFont="1" applyFill="1" applyBorder="1" applyAlignment="1">
      <alignment horizontal="justify" vertical="center" wrapText="1"/>
    </xf>
    <xf numFmtId="9" fontId="3" fillId="2" borderId="2" xfId="2" applyFont="1" applyFill="1" applyBorder="1" applyAlignment="1">
      <alignment horizontal="center" vertical="center"/>
    </xf>
    <xf numFmtId="0" fontId="9" fillId="2" borderId="18" xfId="0" applyFont="1" applyFill="1" applyBorder="1" applyAlignment="1">
      <alignment horizontal="justify" vertical="center" wrapText="1"/>
    </xf>
    <xf numFmtId="0" fontId="9" fillId="2" borderId="11" xfId="5" applyNumberFormat="1" applyFont="1" applyFill="1" applyBorder="1" applyAlignment="1">
      <alignment horizontal="center" vertical="center" wrapText="1"/>
    </xf>
    <xf numFmtId="4" fontId="3" fillId="2" borderId="10" xfId="0" applyNumberFormat="1" applyFont="1" applyFill="1" applyBorder="1" applyAlignment="1">
      <alignment horizontal="center" vertical="center"/>
    </xf>
    <xf numFmtId="0" fontId="3" fillId="2" borderId="21" xfId="0" applyFont="1" applyFill="1" applyBorder="1" applyAlignment="1">
      <alignment horizontal="justify" vertical="center" wrapText="1"/>
    </xf>
    <xf numFmtId="0" fontId="9" fillId="2" borderId="12" xfId="5"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xf>
    <xf numFmtId="0" fontId="2" fillId="7" borderId="1" xfId="0" applyFont="1" applyFill="1" applyBorder="1" applyAlignment="1">
      <alignment horizontal="left" vertical="center"/>
    </xf>
    <xf numFmtId="0" fontId="6" fillId="7" borderId="17" xfId="0" applyFont="1" applyFill="1" applyBorder="1" applyAlignment="1">
      <alignment horizontal="left" vertical="center"/>
    </xf>
    <xf numFmtId="0" fontId="3" fillId="7" borderId="17" xfId="0" applyFont="1" applyFill="1" applyBorder="1"/>
    <xf numFmtId="0" fontId="3" fillId="7" borderId="2" xfId="0" applyFont="1" applyFill="1" applyBorder="1" applyAlignment="1">
      <alignment horizontal="center" vertical="center"/>
    </xf>
    <xf numFmtId="0" fontId="3" fillId="7" borderId="2" xfId="0" applyFont="1" applyFill="1" applyBorder="1" applyAlignment="1">
      <alignment horizontal="justify" vertical="center" wrapText="1"/>
    </xf>
    <xf numFmtId="9" fontId="3" fillId="7" borderId="2" xfId="2" applyFont="1" applyFill="1" applyBorder="1" applyAlignment="1">
      <alignment horizontal="center" vertical="center"/>
    </xf>
    <xf numFmtId="172" fontId="3" fillId="7" borderId="2" xfId="0" applyNumberFormat="1" applyFont="1" applyFill="1" applyBorder="1" applyAlignment="1">
      <alignment vertical="center"/>
    </xf>
    <xf numFmtId="4" fontId="3" fillId="7" borderId="2" xfId="0" applyNumberFormat="1" applyFont="1" applyFill="1" applyBorder="1" applyAlignment="1">
      <alignment horizontal="center" vertical="center"/>
    </xf>
    <xf numFmtId="1" fontId="3" fillId="7" borderId="2" xfId="0" applyNumberFormat="1" applyFont="1" applyFill="1" applyBorder="1" applyAlignment="1">
      <alignment horizontal="center" vertical="center"/>
    </xf>
    <xf numFmtId="1" fontId="3" fillId="7" borderId="2" xfId="0" applyNumberFormat="1" applyFont="1" applyFill="1" applyBorder="1" applyAlignment="1">
      <alignment horizontal="center" vertical="center" wrapText="1"/>
    </xf>
    <xf numFmtId="1" fontId="3" fillId="0" borderId="16" xfId="0" applyNumberFormat="1" applyFont="1" applyFill="1" applyBorder="1" applyAlignment="1">
      <alignment vertical="center" wrapText="1"/>
    </xf>
    <xf numFmtId="1" fontId="3" fillId="0" borderId="0" xfId="0" applyNumberFormat="1" applyFont="1" applyFill="1" applyBorder="1" applyAlignment="1">
      <alignment vertical="center" wrapText="1"/>
    </xf>
    <xf numFmtId="1" fontId="3" fillId="0" borderId="1" xfId="0" applyNumberFormat="1" applyFont="1" applyFill="1" applyBorder="1" applyAlignment="1">
      <alignment vertical="center" wrapText="1"/>
    </xf>
    <xf numFmtId="1" fontId="3" fillId="0" borderId="11" xfId="0" applyNumberFormat="1" applyFont="1" applyFill="1" applyBorder="1" applyAlignment="1">
      <alignment vertical="center" wrapText="1"/>
    </xf>
    <xf numFmtId="1" fontId="3" fillId="0" borderId="12" xfId="0" applyNumberFormat="1" applyFont="1" applyFill="1" applyBorder="1" applyAlignment="1">
      <alignment vertical="center" wrapText="1"/>
    </xf>
    <xf numFmtId="0" fontId="9" fillId="0" borderId="12" xfId="5" applyNumberFormat="1" applyFont="1" applyFill="1" applyBorder="1" applyAlignment="1">
      <alignment horizontal="center" vertical="center" wrapText="1"/>
    </xf>
    <xf numFmtId="172" fontId="3" fillId="0" borderId="2" xfId="0" applyNumberFormat="1" applyFont="1" applyFill="1" applyBorder="1" applyAlignment="1">
      <alignment vertical="center"/>
    </xf>
    <xf numFmtId="1" fontId="3" fillId="0" borderId="21"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xf>
    <xf numFmtId="14" fontId="3" fillId="0" borderId="2" xfId="0" applyNumberFormat="1" applyFont="1" applyFill="1" applyBorder="1" applyAlignment="1">
      <alignment horizontal="center" vertical="center"/>
    </xf>
    <xf numFmtId="1" fontId="3" fillId="7" borderId="9" xfId="0" applyNumberFormat="1" applyFont="1" applyFill="1" applyBorder="1" applyAlignment="1">
      <alignment horizontal="center" vertical="center"/>
    </xf>
    <xf numFmtId="0" fontId="3" fillId="7" borderId="9" xfId="0" applyFont="1" applyFill="1" applyBorder="1" applyAlignment="1">
      <alignment horizontal="justify" vertical="center" wrapText="1"/>
    </xf>
    <xf numFmtId="9" fontId="3" fillId="2" borderId="2" xfId="2" applyNumberFormat="1" applyFont="1" applyFill="1" applyBorder="1" applyAlignment="1">
      <alignment horizontal="center" vertical="center"/>
    </xf>
    <xf numFmtId="1" fontId="3" fillId="7" borderId="18" xfId="0" applyNumberFormat="1" applyFont="1" applyFill="1" applyBorder="1" applyAlignment="1">
      <alignment horizontal="center" vertical="center"/>
    </xf>
    <xf numFmtId="1" fontId="3" fillId="0" borderId="16" xfId="0" applyNumberFormat="1" applyFont="1" applyFill="1" applyBorder="1" applyAlignment="1">
      <alignment horizontal="center"/>
    </xf>
    <xf numFmtId="1" fontId="3" fillId="0" borderId="0" xfId="0" applyNumberFormat="1" applyFont="1" applyFill="1" applyBorder="1" applyAlignment="1">
      <alignment horizontal="center"/>
    </xf>
    <xf numFmtId="1" fontId="3" fillId="0" borderId="1" xfId="0" applyNumberFormat="1" applyFont="1" applyFill="1" applyBorder="1" applyAlignment="1">
      <alignment horizontal="center"/>
    </xf>
    <xf numFmtId="0" fontId="3" fillId="7" borderId="10" xfId="0" applyFont="1" applyFill="1" applyBorder="1" applyAlignment="1">
      <alignment horizontal="center" vertical="center"/>
    </xf>
    <xf numFmtId="0" fontId="3" fillId="7" borderId="20" xfId="0" applyFont="1" applyFill="1" applyBorder="1" applyAlignment="1">
      <alignment horizontal="center" vertical="center"/>
    </xf>
    <xf numFmtId="9" fontId="3" fillId="7" borderId="20" xfId="2" applyFont="1" applyFill="1" applyBorder="1" applyAlignment="1">
      <alignment horizontal="center" vertical="center"/>
    </xf>
    <xf numFmtId="172" fontId="3" fillId="7" borderId="20" xfId="0" applyNumberFormat="1" applyFont="1" applyFill="1" applyBorder="1" applyAlignment="1">
      <alignment vertical="center"/>
    </xf>
    <xf numFmtId="172" fontId="3" fillId="7" borderId="20" xfId="0" applyNumberFormat="1" applyFont="1" applyFill="1" applyBorder="1" applyAlignment="1">
      <alignment horizontal="justify" vertical="center" wrapText="1"/>
    </xf>
    <xf numFmtId="1" fontId="3" fillId="7" borderId="20" xfId="0" applyNumberFormat="1" applyFont="1" applyFill="1" applyBorder="1" applyAlignment="1">
      <alignment horizontal="center" vertical="center"/>
    </xf>
    <xf numFmtId="0" fontId="3" fillId="7" borderId="20" xfId="0" applyFont="1" applyFill="1" applyBorder="1" applyAlignment="1">
      <alignment horizontal="center" vertical="center" wrapText="1"/>
    </xf>
    <xf numFmtId="0" fontId="3" fillId="7" borderId="9" xfId="0" applyFont="1" applyFill="1" applyBorder="1" applyAlignment="1">
      <alignment horizontal="center" vertical="center"/>
    </xf>
    <xf numFmtId="0" fontId="3" fillId="7" borderId="17" xfId="0" applyFont="1" applyFill="1" applyBorder="1" applyAlignment="1">
      <alignment horizontal="justify" vertical="center" wrapText="1"/>
    </xf>
    <xf numFmtId="0" fontId="3" fillId="7" borderId="17" xfId="0" applyFont="1" applyFill="1" applyBorder="1" applyAlignment="1">
      <alignment horizontal="center" vertical="center"/>
    </xf>
    <xf numFmtId="172" fontId="3" fillId="7" borderId="17" xfId="0" applyNumberFormat="1" applyFont="1" applyFill="1" applyBorder="1" applyAlignment="1">
      <alignment vertical="center"/>
    </xf>
    <xf numFmtId="1" fontId="3" fillId="7" borderId="17" xfId="0" applyNumberFormat="1" applyFont="1" applyFill="1" applyBorder="1" applyAlignment="1">
      <alignment horizontal="center" vertical="center"/>
    </xf>
    <xf numFmtId="1" fontId="3" fillId="0" borderId="6" xfId="0" applyNumberFormat="1" applyFont="1" applyBorder="1" applyAlignment="1"/>
    <xf numFmtId="1" fontId="3" fillId="0" borderId="3" xfId="0" applyNumberFormat="1" applyFont="1" applyBorder="1" applyAlignment="1"/>
    <xf numFmtId="1" fontId="3" fillId="0" borderId="4" xfId="0" applyNumberFormat="1" applyFont="1" applyBorder="1" applyAlignment="1"/>
    <xf numFmtId="1" fontId="3" fillId="0" borderId="5" xfId="0" applyNumberFormat="1" applyFont="1" applyBorder="1" applyAlignment="1"/>
    <xf numFmtId="1" fontId="3" fillId="0" borderId="7" xfId="0" applyNumberFormat="1" applyFont="1" applyBorder="1" applyAlignment="1"/>
    <xf numFmtId="0" fontId="9" fillId="2" borderId="2" xfId="5" applyNumberFormat="1" applyFont="1" applyFill="1" applyBorder="1" applyAlignment="1">
      <alignment horizontal="center" vertical="center" wrapText="1"/>
    </xf>
    <xf numFmtId="0" fontId="9" fillId="0" borderId="2" xfId="5" applyNumberFormat="1" applyFont="1" applyFill="1" applyBorder="1" applyAlignment="1">
      <alignment horizontal="center" vertical="center" wrapText="1"/>
    </xf>
    <xf numFmtId="1" fontId="3" fillId="0" borderId="16" xfId="0" applyNumberFormat="1" applyFont="1" applyFill="1" applyBorder="1" applyAlignment="1"/>
    <xf numFmtId="1" fontId="3" fillId="0" borderId="0" xfId="0" applyNumberFormat="1" applyFont="1" applyFill="1" applyBorder="1" applyAlignment="1"/>
    <xf numFmtId="1" fontId="3" fillId="0" borderId="1" xfId="0" applyNumberFormat="1" applyFont="1" applyFill="1" applyBorder="1" applyAlignment="1"/>
    <xf numFmtId="9" fontId="3" fillId="0" borderId="2" xfId="2" applyNumberFormat="1" applyFont="1" applyFill="1" applyBorder="1" applyAlignment="1">
      <alignment horizontal="center" vertical="center"/>
    </xf>
    <xf numFmtId="0" fontId="3" fillId="7" borderId="18" xfId="0" applyFont="1" applyFill="1" applyBorder="1" applyAlignment="1">
      <alignment horizontal="center" vertical="center"/>
    </xf>
    <xf numFmtId="9" fontId="3" fillId="7" borderId="18" xfId="2" applyFont="1" applyFill="1" applyBorder="1" applyAlignment="1">
      <alignment horizontal="center" vertical="center"/>
    </xf>
    <xf numFmtId="172" fontId="3" fillId="7" borderId="18" xfId="0" applyNumberFormat="1" applyFont="1" applyFill="1" applyBorder="1" applyAlignment="1">
      <alignment vertical="center"/>
    </xf>
    <xf numFmtId="0" fontId="9" fillId="2" borderId="7" xfId="0" applyFont="1" applyFill="1" applyBorder="1" applyAlignment="1">
      <alignment horizontal="justify" vertical="center" wrapText="1"/>
    </xf>
    <xf numFmtId="1" fontId="3" fillId="7" borderId="9" xfId="0" applyNumberFormat="1" applyFont="1" applyFill="1" applyBorder="1" applyAlignment="1">
      <alignment horizontal="center" vertical="center" wrapText="1"/>
    </xf>
    <xf numFmtId="1" fontId="3" fillId="2" borderId="33" xfId="0" applyNumberFormat="1" applyFont="1" applyFill="1" applyBorder="1" applyAlignment="1">
      <alignment horizontal="center" vertical="center"/>
    </xf>
    <xf numFmtId="1" fontId="3" fillId="0" borderId="29" xfId="0" applyNumberFormat="1" applyFont="1" applyFill="1" applyBorder="1" applyAlignment="1">
      <alignment horizontal="center" vertical="center"/>
    </xf>
    <xf numFmtId="0" fontId="9" fillId="2" borderId="33" xfId="0" applyFont="1" applyFill="1" applyBorder="1" applyAlignment="1">
      <alignment horizontal="justify" vertical="center" wrapText="1"/>
    </xf>
    <xf numFmtId="0" fontId="9" fillId="0" borderId="20" xfId="0" applyFont="1" applyFill="1" applyBorder="1" applyAlignment="1">
      <alignment horizontal="justify" vertical="center" wrapText="1"/>
    </xf>
    <xf numFmtId="0" fontId="3" fillId="2" borderId="20" xfId="0" applyFont="1" applyFill="1" applyBorder="1" applyAlignment="1">
      <alignment horizontal="center" vertical="center"/>
    </xf>
    <xf numFmtId="9" fontId="3" fillId="2" borderId="20" xfId="2" applyNumberFormat="1" applyFont="1" applyFill="1" applyBorder="1" applyAlignment="1">
      <alignment horizontal="center" vertical="center"/>
    </xf>
    <xf numFmtId="1" fontId="2" fillId="6" borderId="17" xfId="0" applyNumberFormat="1" applyFont="1" applyFill="1" applyBorder="1" applyAlignment="1">
      <alignment horizontal="left" vertical="center"/>
    </xf>
    <xf numFmtId="0" fontId="6" fillId="6" borderId="17" xfId="0" applyNumberFormat="1" applyFont="1" applyFill="1" applyBorder="1" applyAlignment="1">
      <alignment horizontal="left" vertical="center"/>
    </xf>
    <xf numFmtId="0" fontId="3" fillId="6" borderId="17" xfId="0" applyFont="1" applyFill="1" applyBorder="1"/>
    <xf numFmtId="0" fontId="3" fillId="6" borderId="18" xfId="0" applyFont="1" applyFill="1" applyBorder="1"/>
    <xf numFmtId="0" fontId="3" fillId="6" borderId="18" xfId="0" applyFont="1" applyFill="1" applyBorder="1" applyAlignment="1">
      <alignment horizontal="center" vertical="center"/>
    </xf>
    <xf numFmtId="0" fontId="3" fillId="6" borderId="18" xfId="0" applyFont="1" applyFill="1" applyBorder="1" applyAlignment="1">
      <alignment horizontal="justify" vertical="center" wrapText="1"/>
    </xf>
    <xf numFmtId="0" fontId="3" fillId="6" borderId="2" xfId="0" applyFont="1" applyFill="1" applyBorder="1" applyAlignment="1">
      <alignment horizontal="justify" vertical="center" wrapText="1"/>
    </xf>
    <xf numFmtId="9" fontId="3" fillId="6" borderId="18" xfId="2" applyFont="1" applyFill="1" applyBorder="1" applyAlignment="1">
      <alignment horizontal="center" vertical="center"/>
    </xf>
    <xf numFmtId="172" fontId="3" fillId="6" borderId="2" xfId="0" applyNumberFormat="1" applyFont="1" applyFill="1" applyBorder="1" applyAlignment="1">
      <alignment vertical="center"/>
    </xf>
    <xf numFmtId="1" fontId="3" fillId="6" borderId="18" xfId="0" applyNumberFormat="1" applyFont="1" applyFill="1" applyBorder="1" applyAlignment="1">
      <alignment horizontal="center" vertical="center"/>
    </xf>
    <xf numFmtId="1" fontId="3" fillId="13" borderId="18" xfId="0" applyNumberFormat="1" applyFont="1" applyFill="1" applyBorder="1" applyAlignment="1">
      <alignment horizontal="center" vertical="center"/>
    </xf>
    <xf numFmtId="0" fontId="2" fillId="7" borderId="7" xfId="0" applyFont="1" applyFill="1" applyBorder="1" applyAlignment="1">
      <alignment horizontal="left" vertical="center"/>
    </xf>
    <xf numFmtId="0" fontId="3" fillId="7" borderId="9" xfId="0" applyFont="1" applyFill="1" applyBorder="1"/>
    <xf numFmtId="0" fontId="9" fillId="2" borderId="9" xfId="0" applyFont="1" applyFill="1" applyBorder="1" applyAlignment="1">
      <alignment horizontal="justify" vertical="center" wrapText="1"/>
    </xf>
    <xf numFmtId="0" fontId="2" fillId="0" borderId="1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3" fillId="2" borderId="33" xfId="0" applyFont="1" applyFill="1" applyBorder="1" applyAlignment="1">
      <alignment horizontal="justify" vertical="center" wrapText="1"/>
    </xf>
    <xf numFmtId="1" fontId="3" fillId="2" borderId="63" xfId="0" applyNumberFormat="1" applyFont="1" applyFill="1" applyBorder="1" applyAlignment="1">
      <alignment horizontal="center" vertical="center"/>
    </xf>
    <xf numFmtId="1" fontId="3" fillId="2" borderId="27" xfId="0" applyNumberFormat="1" applyFont="1" applyFill="1" applyBorder="1" applyAlignment="1">
      <alignment horizontal="center" vertical="center"/>
    </xf>
    <xf numFmtId="0" fontId="9" fillId="2" borderId="17" xfId="0" applyFont="1" applyFill="1" applyBorder="1" applyAlignment="1">
      <alignment horizontal="justify" vertical="center" wrapText="1"/>
    </xf>
    <xf numFmtId="1" fontId="3" fillId="2" borderId="23" xfId="0" applyNumberFormat="1" applyFont="1" applyFill="1" applyBorder="1" applyAlignment="1">
      <alignment horizontal="center" vertical="center"/>
    </xf>
    <xf numFmtId="0" fontId="3" fillId="2" borderId="21" xfId="0" applyNumberFormat="1" applyFont="1" applyFill="1" applyBorder="1" applyAlignment="1">
      <alignment horizontal="center" vertical="center" wrapText="1"/>
    </xf>
    <xf numFmtId="1" fontId="3" fillId="2" borderId="34" xfId="0" applyNumberFormat="1" applyFont="1" applyFill="1" applyBorder="1" applyAlignment="1">
      <alignment horizontal="center" vertical="center"/>
    </xf>
    <xf numFmtId="0" fontId="3" fillId="2" borderId="27" xfId="0" applyNumberFormat="1" applyFont="1" applyFill="1" applyBorder="1" applyAlignment="1">
      <alignment vertical="center" wrapText="1"/>
    </xf>
    <xf numFmtId="173" fontId="9" fillId="7" borderId="2" xfId="0" applyNumberFormat="1" applyFont="1" applyFill="1" applyBorder="1" applyAlignment="1">
      <alignment horizontal="center" vertical="center" wrapText="1"/>
    </xf>
    <xf numFmtId="0" fontId="28" fillId="2" borderId="0" xfId="0" applyFont="1" applyFill="1" applyAlignment="1">
      <alignment horizontal="justify" vertical="center" wrapText="1"/>
    </xf>
    <xf numFmtId="1" fontId="3" fillId="7" borderId="10"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172" fontId="3" fillId="2" borderId="2" xfId="0" applyNumberFormat="1" applyFont="1" applyFill="1" applyBorder="1" applyAlignment="1">
      <alignment vertical="center"/>
    </xf>
    <xf numFmtId="1" fontId="3" fillId="2" borderId="10" xfId="0" applyNumberFormat="1" applyFont="1" applyFill="1" applyBorder="1" applyAlignment="1">
      <alignment horizontal="center" vertical="center"/>
    </xf>
    <xf numFmtId="0" fontId="3" fillId="2" borderId="10" xfId="0" applyNumberFormat="1" applyFont="1" applyFill="1" applyBorder="1" applyAlignment="1">
      <alignment horizontal="center" vertical="center"/>
    </xf>
    <xf numFmtId="9" fontId="3" fillId="2" borderId="10" xfId="2" applyFont="1" applyFill="1" applyBorder="1" applyAlignment="1">
      <alignment horizontal="center" vertical="center"/>
    </xf>
    <xf numFmtId="14" fontId="3" fillId="0" borderId="34" xfId="0" applyNumberFormat="1"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28" fillId="0" borderId="0" xfId="0" applyFont="1" applyFill="1" applyAlignment="1">
      <alignment wrapText="1"/>
    </xf>
    <xf numFmtId="1" fontId="3" fillId="0" borderId="6" xfId="0" applyNumberFormat="1" applyFont="1" applyFill="1" applyBorder="1"/>
    <xf numFmtId="0" fontId="3" fillId="0" borderId="11" xfId="0" applyFont="1" applyFill="1" applyBorder="1"/>
    <xf numFmtId="0" fontId="3" fillId="0" borderId="12" xfId="0" applyFont="1" applyFill="1" applyBorder="1"/>
    <xf numFmtId="0" fontId="3" fillId="0" borderId="12" xfId="0" applyFont="1" applyFill="1" applyBorder="1" applyAlignment="1">
      <alignment horizontal="center" vertical="center"/>
    </xf>
    <xf numFmtId="165" fontId="3" fillId="0" borderId="2" xfId="0" applyNumberFormat="1" applyFont="1" applyFill="1" applyBorder="1" applyAlignment="1">
      <alignment horizontal="center" vertical="center"/>
    </xf>
    <xf numFmtId="172" fontId="2" fillId="0" borderId="2" xfId="0" applyNumberFormat="1" applyFont="1" applyFill="1" applyBorder="1" applyAlignment="1">
      <alignment horizontal="center" vertical="center"/>
    </xf>
    <xf numFmtId="0" fontId="3" fillId="0" borderId="2" xfId="0" applyFont="1" applyFill="1" applyBorder="1" applyAlignment="1">
      <alignment horizontal="justify" vertical="center"/>
    </xf>
    <xf numFmtId="0" fontId="3" fillId="0" borderId="2" xfId="0" applyFont="1" applyFill="1" applyBorder="1" applyAlignment="1">
      <alignment horizontal="center"/>
    </xf>
    <xf numFmtId="4" fontId="2" fillId="2" borderId="2" xfId="0" applyNumberFormat="1" applyFont="1" applyFill="1" applyBorder="1" applyAlignment="1">
      <alignment horizontal="center" vertical="center"/>
    </xf>
    <xf numFmtId="0" fontId="3" fillId="2" borderId="18" xfId="0" applyFont="1" applyFill="1" applyBorder="1" applyAlignment="1">
      <alignment horizontal="center"/>
    </xf>
    <xf numFmtId="168" fontId="3" fillId="2" borderId="18" xfId="0" applyNumberFormat="1" applyFont="1" applyFill="1" applyBorder="1" applyAlignment="1">
      <alignment horizontal="center" vertical="center"/>
    </xf>
    <xf numFmtId="168" fontId="3" fillId="2" borderId="18" xfId="0" applyNumberFormat="1" applyFont="1" applyFill="1" applyBorder="1" applyAlignment="1">
      <alignment horizontal="center"/>
    </xf>
    <xf numFmtId="0" fontId="3" fillId="2" borderId="18" xfId="0" applyFont="1" applyFill="1" applyBorder="1" applyAlignment="1">
      <alignment horizontal="justify" vertical="center"/>
    </xf>
    <xf numFmtId="0" fontId="26" fillId="0" borderId="0" xfId="0" applyFont="1" applyAlignment="1">
      <alignment horizontal="center" vertical="center"/>
    </xf>
    <xf numFmtId="0" fontId="26" fillId="0" borderId="0" xfId="0" applyFont="1" applyAlignment="1">
      <alignment horizontal="justify" vertical="center"/>
    </xf>
    <xf numFmtId="172" fontId="11" fillId="2" borderId="0" xfId="0" applyNumberFormat="1" applyFont="1" applyFill="1" applyAlignment="1">
      <alignment vertical="center"/>
    </xf>
    <xf numFmtId="0" fontId="11" fillId="2" borderId="0" xfId="0" applyFont="1" applyFill="1" applyAlignment="1">
      <alignment horizontal="justify" vertical="center" wrapText="1"/>
    </xf>
    <xf numFmtId="172" fontId="11" fillId="2" borderId="0" xfId="0" applyNumberFormat="1" applyFont="1" applyFill="1" applyAlignment="1">
      <alignment horizontal="center" vertical="center"/>
    </xf>
    <xf numFmtId="0" fontId="26" fillId="2" borderId="0" xfId="0" applyFont="1" applyFill="1"/>
    <xf numFmtId="0" fontId="26" fillId="0" borderId="0" xfId="0" applyFont="1" applyFill="1" applyBorder="1"/>
    <xf numFmtId="4" fontId="29" fillId="0" borderId="0" xfId="0" applyNumberFormat="1" applyFont="1" applyFill="1" applyBorder="1"/>
    <xf numFmtId="0" fontId="26" fillId="0" borderId="0" xfId="0" applyFont="1" applyFill="1" applyBorder="1" applyAlignment="1">
      <alignment horizontal="justify" vertical="center"/>
    </xf>
    <xf numFmtId="0" fontId="11" fillId="0" borderId="0" xfId="0" applyFont="1" applyFill="1" applyBorder="1" applyAlignment="1">
      <alignment horizontal="justify" vertical="center" wrapText="1"/>
    </xf>
    <xf numFmtId="4" fontId="29" fillId="2" borderId="0" xfId="0" applyNumberFormat="1" applyFont="1" applyFill="1" applyBorder="1" applyAlignment="1"/>
    <xf numFmtId="44" fontId="26" fillId="2" borderId="0" xfId="1" applyFont="1" applyFill="1" applyAlignment="1">
      <alignment horizontal="center" vertical="center"/>
    </xf>
    <xf numFmtId="0" fontId="26" fillId="2" borderId="0" xfId="0" applyFont="1" applyFill="1" applyAlignment="1">
      <alignment horizontal="justify" vertical="center"/>
    </xf>
    <xf numFmtId="0" fontId="26" fillId="2" borderId="0" xfId="0" applyFont="1" applyFill="1" applyAlignment="1">
      <alignment horizontal="center" vertical="center"/>
    </xf>
    <xf numFmtId="0" fontId="11" fillId="0" borderId="3" xfId="0" applyFont="1" applyBorder="1"/>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5" fillId="0" borderId="0" xfId="0" applyFont="1" applyFill="1" applyBorder="1" applyAlignment="1">
      <alignment horizontal="justify" vertical="center" wrapText="1"/>
    </xf>
    <xf numFmtId="166" fontId="11" fillId="0" borderId="0" xfId="0" applyNumberFormat="1" applyFont="1" applyFill="1" applyBorder="1" applyAlignment="1">
      <alignment vertical="center"/>
    </xf>
    <xf numFmtId="172" fontId="6" fillId="2" borderId="0" xfId="7" applyFont="1" applyFill="1" applyBorder="1" applyAlignment="1" applyProtection="1">
      <alignment horizontal="right" vertical="center"/>
      <protection locked="0"/>
    </xf>
    <xf numFmtId="172" fontId="6" fillId="2" borderId="0" xfId="7" applyFont="1" applyFill="1" applyBorder="1" applyAlignment="1" applyProtection="1">
      <alignment vertical="center"/>
      <protection locked="0"/>
    </xf>
    <xf numFmtId="0" fontId="26" fillId="2" borderId="0" xfId="0" applyFont="1" applyFill="1" applyBorder="1"/>
    <xf numFmtId="44" fontId="26" fillId="2" borderId="0" xfId="0" applyNumberFormat="1" applyFont="1" applyFill="1"/>
    <xf numFmtId="0" fontId="6" fillId="0" borderId="0" xfId="0" applyFont="1" applyFill="1" applyBorder="1" applyAlignment="1">
      <alignment horizontal="left" vertical="center"/>
    </xf>
    <xf numFmtId="0" fontId="26" fillId="0" borderId="0" xfId="0" applyFont="1" applyFill="1" applyBorder="1" applyAlignment="1">
      <alignment horizontal="center" vertical="center"/>
    </xf>
    <xf numFmtId="178" fontId="11" fillId="2" borderId="0" xfId="0" applyNumberFormat="1" applyFont="1" applyFill="1" applyBorder="1" applyAlignment="1">
      <alignment horizontal="center" vertical="center"/>
    </xf>
    <xf numFmtId="178" fontId="11" fillId="2" borderId="0" xfId="0" applyNumberFormat="1" applyFont="1" applyFill="1" applyAlignment="1">
      <alignment horizontal="center" vertical="center"/>
    </xf>
    <xf numFmtId="178" fontId="11" fillId="0" borderId="0" xfId="0"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justify" vertical="center"/>
    </xf>
    <xf numFmtId="165" fontId="11" fillId="0" borderId="0" xfId="0" applyNumberFormat="1" applyFont="1" applyFill="1" applyBorder="1" applyAlignment="1">
      <alignment horizontal="center" vertical="center"/>
    </xf>
    <xf numFmtId="178" fontId="11" fillId="0" borderId="0" xfId="0" applyNumberFormat="1" applyFont="1" applyFill="1" applyBorder="1" applyAlignment="1">
      <alignment vertical="center"/>
    </xf>
    <xf numFmtId="0" fontId="23" fillId="0" borderId="51" xfId="0" applyFont="1" applyBorder="1" applyAlignment="1">
      <alignment horizontal="center" vertical="center" wrapText="1"/>
    </xf>
    <xf numFmtId="0" fontId="23" fillId="0" borderId="3" xfId="0" applyFont="1" applyBorder="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3" fillId="0" borderId="2" xfId="0" applyFont="1" applyBorder="1" applyAlignment="1">
      <alignment horizontal="justify" vertical="center" wrapText="1"/>
    </xf>
    <xf numFmtId="0" fontId="3" fillId="2" borderId="2" xfId="0" applyFont="1" applyFill="1" applyBorder="1" applyAlignment="1">
      <alignment horizontal="justify" vertical="center" wrapText="1"/>
    </xf>
    <xf numFmtId="9" fontId="3" fillId="2" borderId="18" xfId="2"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justify" vertical="center" wrapText="1"/>
    </xf>
    <xf numFmtId="0" fontId="6" fillId="0" borderId="0" xfId="0" applyFont="1" applyBorder="1" applyAlignment="1">
      <alignment horizontal="center" vertical="center" wrapText="1"/>
    </xf>
    <xf numFmtId="0" fontId="23" fillId="0" borderId="60" xfId="0" applyFont="1" applyBorder="1" applyAlignment="1">
      <alignment horizontal="center" vertical="center"/>
    </xf>
    <xf numFmtId="0" fontId="23" fillId="0" borderId="0" xfId="0" applyFont="1" applyBorder="1" applyAlignment="1">
      <alignment horizontal="center" vertical="center" wrapText="1"/>
    </xf>
    <xf numFmtId="174" fontId="23" fillId="0" borderId="61" xfId="0" applyNumberFormat="1" applyFont="1" applyBorder="1" applyAlignment="1">
      <alignment horizontal="center" vertical="center"/>
    </xf>
    <xf numFmtId="17" fontId="23" fillId="0" borderId="61" xfId="0" applyNumberFormat="1" applyFont="1" applyBorder="1" applyAlignment="1">
      <alignment horizontal="center" vertical="center"/>
    </xf>
    <xf numFmtId="0" fontId="30" fillId="0" borderId="0" xfId="0" applyFont="1" applyAlignment="1">
      <alignment wrapText="1"/>
    </xf>
    <xf numFmtId="3" fontId="23" fillId="11" borderId="61" xfId="0" applyNumberFormat="1" applyFont="1" applyFill="1" applyBorder="1" applyAlignment="1">
      <alignment horizontal="center" vertical="center" wrapText="1"/>
    </xf>
    <xf numFmtId="0" fontId="9" fillId="0" borderId="3" xfId="0" applyFont="1" applyBorder="1" applyAlignment="1">
      <alignment horizontal="center" vertical="center"/>
    </xf>
    <xf numFmtId="0" fontId="6" fillId="0" borderId="6" xfId="0" applyFont="1" applyBorder="1" applyAlignment="1">
      <alignment horizontal="center" vertical="center"/>
    </xf>
    <xf numFmtId="0" fontId="9" fillId="0" borderId="62" xfId="0" applyFont="1" applyBorder="1" applyAlignment="1">
      <alignment horizontal="center" vertical="center"/>
    </xf>
    <xf numFmtId="166" fontId="2" fillId="3" borderId="2" xfId="0" applyNumberFormat="1" applyFont="1" applyFill="1" applyBorder="1" applyAlignment="1">
      <alignment vertical="center" wrapText="1"/>
    </xf>
    <xf numFmtId="1" fontId="2" fillId="3" borderId="0"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0" xfId="0" applyFont="1" applyFill="1" applyBorder="1" applyAlignment="1">
      <alignment vertical="center" wrapText="1"/>
    </xf>
    <xf numFmtId="0" fontId="2" fillId="3" borderId="0" xfId="0" applyFont="1" applyFill="1" applyBorder="1" applyAlignment="1">
      <alignment horizontal="justify" vertical="center" wrapText="1"/>
    </xf>
    <xf numFmtId="9" fontId="2" fillId="3" borderId="0" xfId="2" applyFont="1" applyFill="1" applyBorder="1" applyAlignment="1">
      <alignment horizontal="center" vertical="center" wrapText="1"/>
    </xf>
    <xf numFmtId="166" fontId="2" fillId="3" borderId="0" xfId="0" applyNumberFormat="1" applyFont="1" applyFill="1" applyBorder="1" applyAlignment="1">
      <alignment vertical="center" wrapText="1"/>
    </xf>
    <xf numFmtId="166" fontId="2" fillId="3" borderId="0" xfId="0" applyNumberFormat="1" applyFont="1" applyFill="1" applyBorder="1" applyAlignment="1">
      <alignment horizontal="center" vertical="center" wrapText="1"/>
    </xf>
    <xf numFmtId="3" fontId="2" fillId="3" borderId="0" xfId="0" applyNumberFormat="1" applyFont="1" applyFill="1" applyBorder="1" applyAlignment="1">
      <alignment horizontal="center" vertical="center" wrapText="1"/>
    </xf>
    <xf numFmtId="0" fontId="6" fillId="6" borderId="8" xfId="0" applyFont="1" applyFill="1" applyBorder="1" applyAlignment="1">
      <alignment horizontal="left" vertical="center" wrapText="1"/>
    </xf>
    <xf numFmtId="0" fontId="6" fillId="6" borderId="5"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1" xfId="0" applyFont="1" applyFill="1" applyBorder="1" applyAlignment="1">
      <alignment vertical="center"/>
    </xf>
    <xf numFmtId="0" fontId="9" fillId="6" borderId="11" xfId="0" applyFont="1" applyFill="1" applyBorder="1" applyAlignment="1">
      <alignment horizontal="justify" vertical="center"/>
    </xf>
    <xf numFmtId="0" fontId="9" fillId="6" borderId="11" xfId="0" applyFont="1" applyFill="1" applyBorder="1" applyAlignment="1">
      <alignment horizontal="justify" vertical="center" wrapText="1"/>
    </xf>
    <xf numFmtId="9" fontId="9" fillId="6" borderId="11" xfId="2" applyFont="1" applyFill="1" applyBorder="1" applyAlignment="1">
      <alignment horizontal="center" vertical="center"/>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7" borderId="7" xfId="0" applyFont="1" applyFill="1" applyBorder="1" applyAlignment="1">
      <alignment horizontal="left" vertical="center" wrapText="1"/>
    </xf>
    <xf numFmtId="0" fontId="6" fillId="7" borderId="11" xfId="0" applyFont="1" applyFill="1" applyBorder="1" applyAlignment="1">
      <alignment vertical="center" wrapText="1"/>
    </xf>
    <xf numFmtId="0" fontId="6" fillId="7" borderId="11" xfId="0" applyFont="1" applyFill="1" applyBorder="1" applyAlignment="1">
      <alignment horizontal="justify" vertical="center"/>
    </xf>
    <xf numFmtId="172" fontId="6" fillId="7" borderId="11" xfId="7" applyFont="1" applyFill="1" applyBorder="1" applyAlignment="1">
      <alignment horizontal="justify" vertical="center" wrapText="1"/>
    </xf>
    <xf numFmtId="9" fontId="6" fillId="7" borderId="11" xfId="2" applyFont="1" applyFill="1" applyBorder="1" applyAlignment="1">
      <alignment horizontal="center" vertical="center"/>
    </xf>
    <xf numFmtId="172" fontId="6" fillId="7" borderId="11" xfId="7" applyFont="1" applyFill="1" applyBorder="1" applyAlignment="1">
      <alignment horizontal="center" vertical="center"/>
    </xf>
    <xf numFmtId="172" fontId="9" fillId="7" borderId="11" xfId="7" applyFont="1" applyFill="1" applyBorder="1" applyAlignment="1">
      <alignment horizontal="justify" vertical="center"/>
    </xf>
    <xf numFmtId="0" fontId="6" fillId="0" borderId="1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1" fillId="0" borderId="10" xfId="0" applyFont="1" applyFill="1" applyBorder="1" applyAlignment="1">
      <alignment horizontal="center"/>
    </xf>
    <xf numFmtId="0" fontId="6" fillId="0" borderId="12" xfId="0" applyFont="1" applyFill="1" applyBorder="1" applyAlignment="1">
      <alignment horizontal="left" vertical="center" wrapText="1"/>
    </xf>
    <xf numFmtId="170" fontId="33" fillId="0" borderId="10" xfId="5" applyFont="1" applyFill="1" applyBorder="1" applyAlignment="1">
      <alignment horizontal="justify" vertical="center" wrapText="1"/>
    </xf>
    <xf numFmtId="0" fontId="33" fillId="0" borderId="2" xfId="5" applyNumberFormat="1" applyFont="1" applyFill="1" applyBorder="1" applyAlignment="1">
      <alignment horizontal="justify" vertical="center" wrapText="1"/>
    </xf>
    <xf numFmtId="9" fontId="9" fillId="0" borderId="2" xfId="2" applyFont="1" applyFill="1" applyBorder="1" applyAlignment="1">
      <alignment horizontal="center" vertical="center"/>
    </xf>
    <xf numFmtId="9" fontId="9" fillId="0" borderId="2" xfId="2" applyFont="1" applyFill="1" applyBorder="1" applyAlignment="1">
      <alignment horizontal="justify" vertical="center" wrapText="1"/>
    </xf>
    <xf numFmtId="0" fontId="9" fillId="0" borderId="10" xfId="0" applyFont="1" applyFill="1" applyBorder="1" applyAlignment="1">
      <alignment horizontal="center" vertical="center" wrapText="1"/>
    </xf>
    <xf numFmtId="178" fontId="9" fillId="0" borderId="2" xfId="6" applyNumberFormat="1" applyFont="1" applyFill="1" applyBorder="1" applyAlignment="1">
      <alignment vertical="center" wrapText="1"/>
    </xf>
    <xf numFmtId="9" fontId="9" fillId="0" borderId="2" xfId="2" applyFont="1" applyFill="1" applyBorder="1" applyAlignment="1">
      <alignment vertical="center" wrapText="1"/>
    </xf>
    <xf numFmtId="171" fontId="9" fillId="0" borderId="2" xfId="6" applyFont="1" applyFill="1" applyBorder="1" applyAlignment="1">
      <alignment horizontal="justify" vertical="center" wrapText="1"/>
    </xf>
    <xf numFmtId="0" fontId="6"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9" fillId="7" borderId="5" xfId="0" applyFont="1" applyFill="1" applyBorder="1" applyAlignment="1">
      <alignment horizontal="center" vertical="center" wrapText="1"/>
    </xf>
    <xf numFmtId="0" fontId="6" fillId="7" borderId="5" xfId="0" applyFont="1" applyFill="1" applyBorder="1" applyAlignment="1">
      <alignment horizontal="justify" vertical="center"/>
    </xf>
    <xf numFmtId="0" fontId="6" fillId="7" borderId="5" xfId="0" applyFont="1" applyFill="1" applyBorder="1" applyAlignment="1">
      <alignment vertical="center"/>
    </xf>
    <xf numFmtId="0" fontId="6" fillId="7" borderId="0" xfId="0" applyFont="1" applyFill="1" applyAlignment="1">
      <alignment horizontal="justify" vertical="center" wrapText="1"/>
    </xf>
    <xf numFmtId="0" fontId="6" fillId="7" borderId="0" xfId="0" applyFont="1" applyFill="1" applyAlignment="1">
      <alignment horizontal="center" vertical="center"/>
    </xf>
    <xf numFmtId="0" fontId="6" fillId="7" borderId="0" xfId="0" applyFont="1" applyFill="1" applyAlignment="1">
      <alignment horizontal="justify" vertical="center"/>
    </xf>
    <xf numFmtId="1" fontId="9" fillId="7" borderId="5" xfId="7" applyNumberFormat="1" applyFont="1" applyFill="1" applyBorder="1" applyAlignment="1">
      <alignment horizontal="center" vertical="center"/>
    </xf>
    <xf numFmtId="172" fontId="9" fillId="7" borderId="5" xfId="7" applyFont="1" applyFill="1" applyBorder="1" applyAlignment="1">
      <alignment horizontal="justify" vertical="center"/>
    </xf>
    <xf numFmtId="171" fontId="9" fillId="7" borderId="2" xfId="6" applyFont="1" applyFill="1" applyBorder="1" applyAlignment="1">
      <alignment vertical="center" wrapText="1"/>
    </xf>
    <xf numFmtId="9" fontId="9" fillId="7" borderId="2" xfId="2" applyFont="1" applyFill="1" applyBorder="1" applyAlignment="1">
      <alignment vertical="center" wrapText="1"/>
    </xf>
    <xf numFmtId="171" fontId="9" fillId="7" borderId="2" xfId="6" applyFont="1" applyFill="1" applyBorder="1" applyAlignment="1">
      <alignment horizontal="justify" vertical="center" wrapText="1"/>
    </xf>
    <xf numFmtId="1" fontId="9" fillId="0" borderId="2" xfId="7" applyNumberFormat="1" applyFont="1" applyFill="1" applyBorder="1" applyAlignment="1">
      <alignment horizontal="center" vertical="center"/>
    </xf>
    <xf numFmtId="166" fontId="9" fillId="0" borderId="2" xfId="6" applyNumberFormat="1" applyFont="1" applyFill="1" applyBorder="1" applyAlignment="1">
      <alignment vertical="center" wrapText="1"/>
    </xf>
    <xf numFmtId="0" fontId="6" fillId="6" borderId="16" xfId="0" applyFont="1" applyFill="1" applyBorder="1" applyAlignment="1">
      <alignment horizontal="left" vertical="center" wrapText="1"/>
    </xf>
    <xf numFmtId="0" fontId="6" fillId="6" borderId="17" xfId="0" applyFont="1" applyFill="1" applyBorder="1" applyAlignment="1">
      <alignment horizontal="left" vertical="center"/>
    </xf>
    <xf numFmtId="0" fontId="6" fillId="6" borderId="0" xfId="0" applyFont="1" applyFill="1" applyBorder="1" applyAlignment="1">
      <alignment horizontal="center" vertical="center"/>
    </xf>
    <xf numFmtId="0" fontId="6" fillId="6" borderId="0" xfId="0" applyFont="1" applyFill="1" applyAlignment="1">
      <alignment horizontal="center" vertical="center" wrapText="1"/>
    </xf>
    <xf numFmtId="0" fontId="6" fillId="6" borderId="0" xfId="0" applyFont="1" applyFill="1" applyAlignment="1">
      <alignment horizontal="justify" vertical="center" wrapText="1"/>
    </xf>
    <xf numFmtId="0" fontId="6" fillId="6" borderId="18" xfId="0" applyFont="1" applyFill="1" applyBorder="1" applyAlignment="1">
      <alignment horizontal="justify" vertical="center" wrapText="1"/>
    </xf>
    <xf numFmtId="0" fontId="6" fillId="6" borderId="18" xfId="0" applyFont="1" applyFill="1" applyBorder="1" applyAlignment="1">
      <alignment horizontal="center" vertical="center" wrapText="1"/>
    </xf>
    <xf numFmtId="1" fontId="9" fillId="6" borderId="3" xfId="0" applyNumberFormat="1" applyFont="1" applyFill="1" applyBorder="1" applyAlignment="1">
      <alignment horizontal="center" vertical="center"/>
    </xf>
    <xf numFmtId="0" fontId="9" fillId="6" borderId="3" xfId="0" applyFont="1" applyFill="1" applyBorder="1" applyAlignment="1">
      <alignment horizontal="justify" vertical="center"/>
    </xf>
    <xf numFmtId="171" fontId="9" fillId="13" borderId="2" xfId="6" applyFont="1" applyFill="1" applyBorder="1" applyAlignment="1">
      <alignment vertical="center" wrapText="1"/>
    </xf>
    <xf numFmtId="9" fontId="9" fillId="13" borderId="2" xfId="2" applyFont="1" applyFill="1" applyBorder="1" applyAlignment="1">
      <alignment vertical="center" wrapText="1"/>
    </xf>
    <xf numFmtId="171" fontId="9" fillId="13" borderId="2" xfId="6" applyFont="1" applyFill="1" applyBorder="1" applyAlignment="1">
      <alignment horizontal="justify" vertical="center" wrapText="1"/>
    </xf>
    <xf numFmtId="0" fontId="9" fillId="7" borderId="11" xfId="0" applyFont="1" applyFill="1" applyBorder="1" applyAlignment="1">
      <alignment horizontal="center" vertical="center" wrapText="1"/>
    </xf>
    <xf numFmtId="1" fontId="9" fillId="7" borderId="11" xfId="7" applyNumberFormat="1" applyFont="1" applyFill="1" applyBorder="1" applyAlignment="1">
      <alignment horizontal="center" vertical="center"/>
    </xf>
    <xf numFmtId="1" fontId="3" fillId="0" borderId="16" xfId="0" applyNumberFormat="1" applyFont="1" applyFill="1" applyBorder="1"/>
    <xf numFmtId="0" fontId="3" fillId="0" borderId="10" xfId="0" applyFont="1" applyFill="1" applyBorder="1"/>
    <xf numFmtId="0" fontId="9" fillId="0" borderId="12" xfId="5" applyNumberFormat="1" applyFont="1" applyFill="1" applyBorder="1">
      <alignment horizontal="center" vertical="center" wrapText="1"/>
    </xf>
    <xf numFmtId="0" fontId="30" fillId="0" borderId="9" xfId="0" applyFont="1" applyFill="1" applyBorder="1" applyAlignment="1">
      <alignment horizontal="justify" vertical="center" wrapText="1"/>
    </xf>
    <xf numFmtId="9" fontId="3" fillId="0" borderId="2" xfId="2" applyFont="1" applyFill="1" applyBorder="1" applyAlignment="1">
      <alignment horizontal="justify" vertical="center" wrapText="1"/>
    </xf>
    <xf numFmtId="0" fontId="6" fillId="7" borderId="4" xfId="0" applyFont="1" applyFill="1" applyBorder="1" applyAlignment="1">
      <alignment horizontal="left" vertical="center" wrapText="1"/>
    </xf>
    <xf numFmtId="0" fontId="6" fillId="7" borderId="3" xfId="0" applyFont="1" applyFill="1" applyBorder="1" applyAlignment="1">
      <alignment horizontal="left" vertical="center"/>
    </xf>
    <xf numFmtId="0" fontId="6" fillId="0" borderId="5" xfId="0" applyFont="1" applyFill="1" applyBorder="1" applyAlignment="1">
      <alignment horizontal="left" vertical="center" wrapText="1"/>
    </xf>
    <xf numFmtId="0" fontId="33" fillId="0" borderId="2" xfId="0" applyFont="1" applyFill="1" applyBorder="1" applyAlignment="1">
      <alignment horizontal="center" vertical="center" wrapText="1"/>
    </xf>
    <xf numFmtId="0" fontId="33" fillId="0" borderId="2" xfId="0" applyFont="1" applyFill="1" applyBorder="1" applyAlignment="1">
      <alignment horizontal="justify" vertical="center" wrapText="1"/>
    </xf>
    <xf numFmtId="9" fontId="9" fillId="0" borderId="2" xfId="2" applyFont="1" applyFill="1" applyBorder="1" applyAlignment="1">
      <alignment horizontal="justify" vertical="center"/>
    </xf>
    <xf numFmtId="1" fontId="9" fillId="0" borderId="2" xfId="0" applyNumberFormat="1" applyFont="1" applyFill="1" applyBorder="1" applyAlignment="1">
      <alignment horizontal="center" vertical="center" wrapText="1"/>
    </xf>
    <xf numFmtId="1" fontId="9" fillId="0" borderId="2" xfId="0" applyNumberFormat="1" applyFont="1" applyFill="1" applyBorder="1" applyAlignment="1" applyProtection="1">
      <alignment horizontal="center" vertical="center" wrapText="1"/>
      <protection locked="0"/>
    </xf>
    <xf numFmtId="0" fontId="6" fillId="6" borderId="16" xfId="0" applyFont="1" applyFill="1" applyBorder="1" applyAlignment="1">
      <alignment horizontal="left" vertical="center"/>
    </xf>
    <xf numFmtId="0" fontId="6" fillId="6" borderId="0" xfId="0" applyFont="1" applyFill="1" applyBorder="1" applyAlignment="1">
      <alignment vertical="center" wrapText="1"/>
    </xf>
    <xf numFmtId="0" fontId="6" fillId="6" borderId="7" xfId="0" applyFont="1" applyFill="1" applyBorder="1" applyAlignment="1">
      <alignment vertical="center" wrapText="1"/>
    </xf>
    <xf numFmtId="0" fontId="6" fillId="6" borderId="0" xfId="0" applyFont="1" applyFill="1" applyAlignment="1">
      <alignment vertical="center" wrapText="1"/>
    </xf>
    <xf numFmtId="1" fontId="9" fillId="6" borderId="0" xfId="0" applyNumberFormat="1" applyFont="1" applyFill="1" applyBorder="1" applyAlignment="1">
      <alignment horizontal="center" vertical="center"/>
    </xf>
    <xf numFmtId="0" fontId="9" fillId="6" borderId="0" xfId="0" applyFont="1" applyFill="1" applyBorder="1" applyAlignment="1">
      <alignment horizontal="justify" vertical="center"/>
    </xf>
    <xf numFmtId="0" fontId="6" fillId="7" borderId="2" xfId="0" applyFont="1" applyFill="1" applyBorder="1" applyAlignment="1">
      <alignment horizontal="justify" vertical="center" wrapText="1"/>
    </xf>
    <xf numFmtId="0" fontId="6" fillId="7" borderId="2" xfId="0" applyFont="1" applyFill="1" applyBorder="1" applyAlignment="1">
      <alignment horizontal="justify" vertical="center"/>
    </xf>
    <xf numFmtId="1" fontId="9" fillId="7" borderId="2" xfId="7" applyNumberFormat="1" applyFont="1" applyFill="1" applyBorder="1" applyAlignment="1">
      <alignment horizontal="center" vertical="center"/>
    </xf>
    <xf numFmtId="172" fontId="9" fillId="7" borderId="10" xfId="7" applyFont="1" applyFill="1" applyBorder="1" applyAlignment="1">
      <alignment horizontal="justify" vertical="center"/>
    </xf>
    <xf numFmtId="0" fontId="28" fillId="0" borderId="2" xfId="0" applyFont="1" applyFill="1" applyBorder="1" applyAlignment="1">
      <alignment horizontal="justify" vertical="center"/>
    </xf>
    <xf numFmtId="9" fontId="3" fillId="0" borderId="2" xfId="2" applyFont="1" applyFill="1" applyBorder="1" applyAlignment="1">
      <alignment horizontal="justify" vertical="center"/>
    </xf>
    <xf numFmtId="1" fontId="2" fillId="0" borderId="10" xfId="0" applyNumberFormat="1" applyFont="1" applyBorder="1"/>
    <xf numFmtId="0" fontId="2" fillId="0" borderId="11" xfId="0" applyFont="1" applyBorder="1"/>
    <xf numFmtId="0" fontId="2" fillId="0" borderId="12" xfId="0" applyFont="1" applyBorder="1"/>
    <xf numFmtId="0" fontId="2" fillId="0" borderId="2" xfId="0" applyFont="1" applyBorder="1"/>
    <xf numFmtId="0" fontId="2" fillId="2" borderId="2" xfId="0" applyFont="1" applyFill="1" applyBorder="1" applyAlignment="1">
      <alignment vertical="center"/>
    </xf>
    <xf numFmtId="0" fontId="2" fillId="2" borderId="2" xfId="0" applyFont="1" applyFill="1" applyBorder="1" applyAlignment="1">
      <alignment horizontal="justify"/>
    </xf>
    <xf numFmtId="0" fontId="2" fillId="2" borderId="2" xfId="0" applyFont="1" applyFill="1" applyBorder="1"/>
    <xf numFmtId="0" fontId="2" fillId="2" borderId="2" xfId="0" applyFont="1" applyFill="1" applyBorder="1" applyAlignment="1">
      <alignment horizontal="justify" vertical="center" wrapText="1"/>
    </xf>
    <xf numFmtId="9" fontId="2" fillId="2" borderId="2" xfId="2" applyFont="1" applyFill="1" applyBorder="1" applyAlignment="1">
      <alignment horizontal="center" vertical="center"/>
    </xf>
    <xf numFmtId="1" fontId="2" fillId="2" borderId="2" xfId="0" applyNumberFormat="1" applyFont="1" applyFill="1" applyBorder="1" applyAlignment="1">
      <alignment horizontal="center" vertical="center"/>
    </xf>
    <xf numFmtId="0" fontId="2" fillId="2" borderId="2" xfId="0" applyFont="1" applyFill="1" applyBorder="1" applyAlignment="1">
      <alignment horizontal="justify" vertical="center"/>
    </xf>
    <xf numFmtId="0" fontId="2" fillId="0" borderId="2" xfId="0" applyFont="1" applyBorder="1" applyAlignment="1">
      <alignment horizontal="center"/>
    </xf>
    <xf numFmtId="178" fontId="2" fillId="0" borderId="2" xfId="0" applyNumberFormat="1" applyFont="1" applyBorder="1"/>
    <xf numFmtId="168" fontId="2" fillId="0" borderId="2" xfId="0" applyNumberFormat="1" applyFont="1" applyBorder="1" applyAlignment="1">
      <alignment horizontal="right" vertical="center"/>
    </xf>
    <xf numFmtId="168" fontId="2" fillId="0" borderId="2" xfId="0" applyNumberFormat="1" applyFont="1" applyBorder="1" applyAlignment="1">
      <alignment horizontal="center"/>
    </xf>
    <xf numFmtId="0" fontId="2" fillId="0" borderId="2" xfId="0" applyFont="1" applyBorder="1" applyAlignment="1">
      <alignment horizontal="justify" vertical="center"/>
    </xf>
    <xf numFmtId="0" fontId="3" fillId="2" borderId="0" xfId="0" applyFont="1" applyFill="1" applyAlignment="1">
      <alignment vertical="center"/>
    </xf>
    <xf numFmtId="0" fontId="3" fillId="2" borderId="0" xfId="0" applyFont="1" applyFill="1" applyAlignment="1">
      <alignment horizontal="justify"/>
    </xf>
    <xf numFmtId="9" fontId="3" fillId="2" borderId="0" xfId="2" applyFont="1" applyFill="1" applyAlignment="1">
      <alignment horizontal="center" vertical="center"/>
    </xf>
    <xf numFmtId="1" fontId="3" fillId="0" borderId="0" xfId="0" applyNumberFormat="1" applyFont="1" applyFill="1" applyAlignment="1">
      <alignment horizontal="center" vertical="center"/>
    </xf>
    <xf numFmtId="0" fontId="3" fillId="0" borderId="0" xfId="0" applyFont="1" applyFill="1" applyAlignment="1">
      <alignment horizontal="justify" vertical="center"/>
    </xf>
    <xf numFmtId="168" fontId="3" fillId="0" borderId="0" xfId="0" applyNumberFormat="1" applyFont="1" applyAlignment="1">
      <alignment horizontal="right" vertical="center"/>
    </xf>
    <xf numFmtId="171" fontId="30" fillId="0" borderId="0" xfId="6" applyFont="1" applyFill="1" applyBorder="1" applyAlignment="1">
      <alignment vertical="center" wrapText="1"/>
    </xf>
    <xf numFmtId="0" fontId="0" fillId="0" borderId="0" xfId="0" applyFill="1"/>
    <xf numFmtId="1" fontId="3" fillId="2" borderId="16" xfId="0" applyNumberFormat="1" applyFont="1" applyFill="1" applyBorder="1" applyAlignment="1">
      <alignment horizontal="center" vertical="center" wrapText="1"/>
    </xf>
    <xf numFmtId="1" fontId="3" fillId="2" borderId="0" xfId="0" applyNumberFormat="1" applyFont="1" applyFill="1" applyAlignment="1">
      <alignment horizontal="center" vertical="center" wrapText="1"/>
    </xf>
    <xf numFmtId="0" fontId="2" fillId="2" borderId="0" xfId="0" applyFont="1" applyFill="1" applyAlignment="1">
      <alignment horizontal="center"/>
    </xf>
    <xf numFmtId="0" fontId="3" fillId="0" borderId="21"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2" borderId="20" xfId="0" applyFont="1" applyFill="1" applyBorder="1" applyAlignment="1">
      <alignment horizontal="center" vertical="center" wrapText="1"/>
    </xf>
    <xf numFmtId="0" fontId="3" fillId="0" borderId="9"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 xfId="0" applyFont="1" applyBorder="1" applyAlignment="1">
      <alignment horizontal="justify" vertical="center" wrapText="1"/>
    </xf>
    <xf numFmtId="1" fontId="2" fillId="2" borderId="8"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 xfId="0" applyFont="1" applyFill="1" applyBorder="1" applyAlignment="1">
      <alignment horizontal="center" vertical="center" wrapText="1"/>
    </xf>
    <xf numFmtId="166" fontId="2" fillId="3" borderId="2" xfId="0" applyNumberFormat="1" applyFont="1" applyFill="1" applyBorder="1" applyAlignment="1">
      <alignment horizontal="center" vertical="center" wrapText="1"/>
    </xf>
    <xf numFmtId="0" fontId="23" fillId="0" borderId="51" xfId="0" applyFont="1" applyBorder="1" applyAlignment="1">
      <alignment horizontal="center" vertical="center" wrapText="1"/>
    </xf>
    <xf numFmtId="0" fontId="23" fillId="0" borderId="0" xfId="0" applyFont="1" applyAlignment="1">
      <alignment horizontal="center" vertical="center" wrapText="1"/>
    </xf>
    <xf numFmtId="0" fontId="23" fillId="0" borderId="3" xfId="0" applyFont="1" applyBorder="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3" fontId="2" fillId="3" borderId="2" xfId="0" applyNumberFormat="1" applyFont="1" applyFill="1" applyBorder="1" applyAlignment="1">
      <alignment horizontal="center" vertical="center" wrapText="1"/>
    </xf>
    <xf numFmtId="0" fontId="3" fillId="0" borderId="42" xfId="0" applyFont="1" applyBorder="1" applyAlignment="1">
      <alignment horizontal="justify" vertical="center" wrapText="1"/>
    </xf>
    <xf numFmtId="0" fontId="3" fillId="0" borderId="29" xfId="0" applyFont="1" applyBorder="1" applyAlignment="1">
      <alignment horizontal="justify" vertical="center" wrapText="1"/>
    </xf>
    <xf numFmtId="0" fontId="3" fillId="2" borderId="21" xfId="0" applyFont="1" applyFill="1" applyBorder="1" applyAlignment="1">
      <alignment horizontal="center" vertical="center" wrapText="1"/>
    </xf>
    <xf numFmtId="0" fontId="9" fillId="0" borderId="21" xfId="0" applyFont="1" applyBorder="1" applyAlignment="1">
      <alignment horizontal="justify" vertical="center" wrapText="1"/>
    </xf>
    <xf numFmtId="0" fontId="9" fillId="0" borderId="27" xfId="0" applyFont="1" applyBorder="1" applyAlignment="1">
      <alignment horizontal="justify" vertical="center" wrapText="1"/>
    </xf>
    <xf numFmtId="0" fontId="3" fillId="2" borderId="1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20" xfId="0" applyFont="1" applyBorder="1" applyAlignment="1">
      <alignment horizontal="justify" vertical="center" wrapText="1"/>
    </xf>
    <xf numFmtId="1" fontId="3" fillId="2" borderId="18" xfId="0" applyNumberFormat="1" applyFont="1" applyFill="1" applyBorder="1" applyAlignment="1">
      <alignment horizontal="center" vertical="center"/>
    </xf>
    <xf numFmtId="0" fontId="9" fillId="2" borderId="20" xfId="0" applyFont="1" applyFill="1" applyBorder="1" applyAlignment="1">
      <alignment horizontal="justify" vertical="center" wrapText="1"/>
    </xf>
    <xf numFmtId="0" fontId="9"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3" fillId="2" borderId="18" xfId="0" applyFont="1" applyFill="1" applyBorder="1" applyAlignment="1">
      <alignment horizontal="justify" vertical="center" wrapText="1"/>
    </xf>
    <xf numFmtId="168" fontId="3" fillId="0" borderId="20" xfId="0" applyNumberFormat="1" applyFont="1" applyFill="1" applyBorder="1" applyAlignment="1">
      <alignment horizontal="center" vertical="center"/>
    </xf>
    <xf numFmtId="9" fontId="3" fillId="0" borderId="20" xfId="0" applyNumberFormat="1" applyFont="1" applyBorder="1" applyAlignment="1">
      <alignment horizontal="center" vertical="center"/>
    </xf>
    <xf numFmtId="0" fontId="3" fillId="2" borderId="20" xfId="0" applyFont="1" applyFill="1" applyBorder="1" applyAlignment="1">
      <alignment horizontal="justify"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5" fillId="3" borderId="2" xfId="0" applyFont="1" applyFill="1" applyBorder="1" applyAlignment="1">
      <alignment horizontal="center" vertical="center" wrapText="1"/>
    </xf>
    <xf numFmtId="0" fontId="9" fillId="2" borderId="20" xfId="0" applyFont="1" applyFill="1" applyBorder="1" applyAlignment="1">
      <alignment horizontal="center" vertical="center" wrapText="1"/>
    </xf>
    <xf numFmtId="9" fontId="3" fillId="2" borderId="20" xfId="2" applyFont="1" applyFill="1" applyBorder="1" applyAlignment="1">
      <alignment horizontal="center" vertical="center"/>
    </xf>
    <xf numFmtId="0" fontId="3" fillId="2" borderId="20" xfId="0" applyFont="1" applyFill="1" applyBorder="1" applyAlignment="1">
      <alignment horizontal="center" vertical="center"/>
    </xf>
    <xf numFmtId="14" fontId="3" fillId="2" borderId="20" xfId="0" applyNumberFormat="1" applyFont="1" applyFill="1" applyBorder="1" applyAlignment="1">
      <alignment horizontal="center" vertical="center"/>
    </xf>
    <xf numFmtId="0" fontId="9" fillId="0" borderId="20"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9" fillId="0" borderId="9"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9" xfId="0" applyFont="1" applyFill="1" applyBorder="1" applyAlignment="1">
      <alignment horizontal="justify" vertical="center" wrapText="1"/>
    </xf>
    <xf numFmtId="0" fontId="9" fillId="0" borderId="18" xfId="0" applyFont="1" applyFill="1" applyBorder="1" applyAlignment="1">
      <alignment horizontal="justify" vertical="center" wrapText="1"/>
    </xf>
    <xf numFmtId="0" fontId="3" fillId="2" borderId="18" xfId="0" applyFont="1" applyFill="1" applyBorder="1" applyAlignment="1">
      <alignment horizontal="center" vertical="center"/>
    </xf>
    <xf numFmtId="0" fontId="6" fillId="7" borderId="17" xfId="0" applyFont="1" applyFill="1" applyBorder="1" applyAlignment="1">
      <alignment horizontal="left" vertical="center" wrapText="1"/>
    </xf>
    <xf numFmtId="0" fontId="2" fillId="0" borderId="0" xfId="0" applyFont="1" applyAlignment="1">
      <alignment horizontal="center" vertical="center"/>
    </xf>
    <xf numFmtId="1" fontId="3" fillId="2" borderId="20" xfId="0" applyNumberFormat="1" applyFont="1" applyFill="1" applyBorder="1" applyAlignment="1">
      <alignment horizontal="center" vertical="center"/>
    </xf>
    <xf numFmtId="0" fontId="3" fillId="0" borderId="20" xfId="0" applyFont="1" applyFill="1" applyBorder="1" applyAlignment="1">
      <alignment horizontal="justify" vertical="center" wrapText="1"/>
    </xf>
    <xf numFmtId="0" fontId="9" fillId="2" borderId="9" xfId="0" applyFont="1" applyFill="1" applyBorder="1" applyAlignment="1">
      <alignment horizontal="center" vertical="center" wrapText="1"/>
    </xf>
    <xf numFmtId="0" fontId="9" fillId="0" borderId="4" xfId="0" applyFont="1" applyFill="1" applyBorder="1" applyAlignment="1">
      <alignment horizontal="justify" vertical="center" wrapText="1"/>
    </xf>
    <xf numFmtId="9" fontId="3" fillId="2" borderId="27" xfId="2" applyFont="1" applyFill="1" applyBorder="1" applyAlignment="1">
      <alignment horizontal="center" vertical="center"/>
    </xf>
    <xf numFmtId="0" fontId="9" fillId="0" borderId="16" xfId="0" applyFont="1" applyFill="1" applyBorder="1" applyAlignment="1">
      <alignment horizontal="justify" vertical="center" wrapText="1"/>
    </xf>
    <xf numFmtId="172" fontId="3" fillId="2" borderId="20"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9" xfId="0" applyFont="1" applyFill="1" applyBorder="1" applyAlignment="1">
      <alignment horizontal="justify" vertical="center" wrapText="1"/>
    </xf>
    <xf numFmtId="0" fontId="3" fillId="0" borderId="18"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8" xfId="0" applyFont="1" applyBorder="1" applyAlignment="1">
      <alignment horizontal="justify" vertical="center" wrapText="1"/>
    </xf>
    <xf numFmtId="168" fontId="3" fillId="0" borderId="2" xfId="0" applyNumberFormat="1" applyFont="1" applyBorder="1" applyAlignment="1">
      <alignment horizontal="center" vertical="center"/>
    </xf>
    <xf numFmtId="168" fontId="3" fillId="0" borderId="18" xfId="0" applyNumberFormat="1" applyFont="1" applyBorder="1" applyAlignment="1">
      <alignment horizontal="center" vertical="center"/>
    </xf>
    <xf numFmtId="0" fontId="3" fillId="0" borderId="0" xfId="0" applyFont="1" applyFill="1" applyAlignment="1">
      <alignment horizontal="center" vertical="center" wrapText="1"/>
    </xf>
    <xf numFmtId="0" fontId="9"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9" fontId="3" fillId="0" borderId="2" xfId="2" applyFont="1" applyFill="1" applyBorder="1" applyAlignment="1">
      <alignment horizontal="center" vertical="center"/>
    </xf>
    <xf numFmtId="0" fontId="28" fillId="0" borderId="12" xfId="0" applyFont="1" applyFill="1" applyBorder="1" applyAlignment="1">
      <alignment horizontal="center" vertical="center" wrapText="1"/>
    </xf>
    <xf numFmtId="170" fontId="33" fillId="0" borderId="2" xfId="5" applyFont="1" applyFill="1" applyBorder="1" applyAlignment="1">
      <alignment horizontal="justify" vertical="center" wrapText="1"/>
    </xf>
    <xf numFmtId="0" fontId="23" fillId="0" borderId="0" xfId="0" applyFont="1" applyBorder="1" applyAlignment="1">
      <alignment horizontal="center" vertical="center" wrapText="1"/>
    </xf>
    <xf numFmtId="0" fontId="6" fillId="0" borderId="6" xfId="0" applyFont="1" applyBorder="1" applyAlignment="1">
      <alignment horizontal="center" vertical="center"/>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0" fontId="6" fillId="6" borderId="0" xfId="0" applyFont="1" applyFill="1" applyBorder="1" applyAlignment="1">
      <alignment horizontal="left" vertical="center"/>
    </xf>
    <xf numFmtId="0" fontId="6" fillId="6" borderId="3" xfId="0" applyFont="1" applyFill="1" applyBorder="1" applyAlignment="1">
      <alignment horizontal="justify" vertical="center" wrapText="1"/>
    </xf>
    <xf numFmtId="0" fontId="9" fillId="6" borderId="3" xfId="0" applyFont="1" applyFill="1" applyBorder="1" applyAlignment="1">
      <alignment horizontal="center" vertical="center"/>
    </xf>
    <xf numFmtId="0" fontId="9" fillId="6" borderId="3" xfId="0" applyFont="1" applyFill="1" applyBorder="1" applyAlignment="1">
      <alignment vertical="center"/>
    </xf>
    <xf numFmtId="9" fontId="9" fillId="6" borderId="3" xfId="2" applyFont="1" applyFill="1" applyBorder="1" applyAlignment="1">
      <alignment horizontal="center" vertical="center"/>
    </xf>
    <xf numFmtId="0" fontId="9" fillId="6" borderId="12" xfId="0" applyFont="1" applyFill="1" applyBorder="1" applyAlignment="1">
      <alignment horizontal="justify" vertical="center"/>
    </xf>
    <xf numFmtId="0" fontId="6" fillId="0" borderId="8" xfId="0" applyFont="1" applyBorder="1" applyAlignment="1">
      <alignment horizontal="center" vertical="center" wrapText="1"/>
    </xf>
    <xf numFmtId="0" fontId="9" fillId="7" borderId="5" xfId="0" applyFont="1" applyFill="1" applyBorder="1" applyAlignment="1">
      <alignment horizontal="center" vertical="center"/>
    </xf>
    <xf numFmtId="0" fontId="6" fillId="7" borderId="5" xfId="0" applyFont="1" applyFill="1" applyBorder="1" applyAlignment="1">
      <alignment horizontal="center" vertical="center"/>
    </xf>
    <xf numFmtId="172" fontId="6" fillId="7" borderId="11" xfId="7" applyFont="1" applyFill="1" applyBorder="1" applyAlignment="1">
      <alignment horizontal="justify" vertical="center"/>
    </xf>
    <xf numFmtId="172" fontId="6" fillId="7" borderId="11" xfId="7" applyFont="1" applyFill="1" applyBorder="1" applyAlignment="1">
      <alignment horizontal="center" vertical="center" wrapText="1"/>
    </xf>
    <xf numFmtId="172" fontId="6" fillId="7" borderId="12" xfId="7" applyFont="1" applyFill="1" applyBorder="1" applyAlignment="1">
      <alignment horizontal="justify" vertical="center"/>
    </xf>
    <xf numFmtId="0" fontId="6" fillId="0" borderId="16" xfId="0" applyFont="1" applyBorder="1" applyAlignment="1">
      <alignment horizontal="center" vertical="center" wrapText="1"/>
    </xf>
    <xf numFmtId="0" fontId="36" fillId="0" borderId="20" xfId="0" applyFont="1" applyFill="1" applyBorder="1" applyAlignment="1">
      <alignment horizontal="center" vertical="center" wrapText="1"/>
    </xf>
    <xf numFmtId="2" fontId="3" fillId="0" borderId="2" xfId="7" applyNumberFormat="1" applyFont="1" applyBorder="1" applyAlignment="1">
      <alignment horizontal="center" vertical="center"/>
    </xf>
    <xf numFmtId="0" fontId="20" fillId="0" borderId="2" xfId="0" applyFont="1" applyFill="1" applyBorder="1" applyAlignment="1">
      <alignment horizontal="justify" vertical="center" wrapText="1"/>
    </xf>
    <xf numFmtId="172" fontId="9" fillId="0" borderId="2" xfId="7" applyFont="1" applyBorder="1" applyAlignment="1">
      <alignment vertical="center"/>
    </xf>
    <xf numFmtId="0" fontId="3" fillId="2" borderId="10" xfId="0" applyFont="1" applyFill="1" applyBorder="1" applyAlignment="1">
      <alignment horizontal="justify" vertical="center" wrapText="1"/>
    </xf>
    <xf numFmtId="0" fontId="20" fillId="0" borderId="18" xfId="0" applyFont="1" applyFill="1" applyBorder="1" applyAlignment="1">
      <alignment horizontal="justify" vertical="center" wrapText="1"/>
    </xf>
    <xf numFmtId="0" fontId="3" fillId="2" borderId="6" xfId="0" applyFont="1" applyFill="1" applyBorder="1" applyAlignment="1">
      <alignment horizontal="center" vertical="center"/>
    </xf>
    <xf numFmtId="172" fontId="3" fillId="2" borderId="2" xfId="7" applyFont="1" applyFill="1" applyBorder="1" applyAlignment="1">
      <alignment horizontal="center" vertical="center"/>
    </xf>
    <xf numFmtId="0" fontId="36" fillId="0" borderId="18" xfId="0" applyFont="1" applyFill="1" applyBorder="1" applyAlignment="1">
      <alignment horizontal="center" vertical="center" wrapText="1"/>
    </xf>
    <xf numFmtId="0" fontId="3" fillId="2" borderId="10" xfId="0" applyFont="1" applyFill="1" applyBorder="1" applyAlignment="1">
      <alignment horizontal="center" vertical="center"/>
    </xf>
    <xf numFmtId="49" fontId="3" fillId="2" borderId="18" xfId="0" applyNumberFormat="1" applyFont="1" applyFill="1" applyBorder="1" applyAlignment="1">
      <alignment horizontal="center" vertical="center"/>
    </xf>
    <xf numFmtId="0" fontId="3" fillId="0" borderId="10" xfId="0" applyFont="1" applyBorder="1"/>
    <xf numFmtId="0" fontId="3" fillId="0" borderId="12" xfId="0" applyFont="1" applyBorder="1"/>
    <xf numFmtId="0" fontId="3" fillId="2" borderId="12" xfId="0" applyFont="1" applyFill="1" applyBorder="1" applyAlignment="1">
      <alignment vertical="center"/>
    </xf>
    <xf numFmtId="0" fontId="3" fillId="2" borderId="2" xfId="0" applyFont="1" applyFill="1" applyBorder="1" applyAlignment="1">
      <alignment horizontal="justify"/>
    </xf>
    <xf numFmtId="180" fontId="2" fillId="0" borderId="2" xfId="0" applyNumberFormat="1" applyFont="1" applyBorder="1"/>
    <xf numFmtId="9" fontId="2" fillId="0" borderId="2" xfId="2" applyFont="1" applyBorder="1" applyAlignment="1">
      <alignment horizontal="center"/>
    </xf>
    <xf numFmtId="168" fontId="3" fillId="0" borderId="2" xfId="0" applyNumberFormat="1" applyFont="1" applyFill="1" applyBorder="1" applyAlignment="1">
      <alignment horizontal="right" vertical="center"/>
    </xf>
    <xf numFmtId="1" fontId="3" fillId="0" borderId="0" xfId="0" applyNumberFormat="1" applyFont="1" applyBorder="1"/>
    <xf numFmtId="0" fontId="3" fillId="2" borderId="0" xfId="0" applyFont="1" applyFill="1" applyBorder="1" applyAlignment="1">
      <alignment vertical="center"/>
    </xf>
    <xf numFmtId="0" fontId="3" fillId="2" borderId="0" xfId="0" applyFont="1" applyFill="1" applyBorder="1" applyAlignment="1">
      <alignment horizontal="justify"/>
    </xf>
    <xf numFmtId="0" fontId="3" fillId="2" borderId="0" xfId="0" applyFont="1" applyFill="1" applyBorder="1" applyAlignment="1">
      <alignment horizontal="justify" vertical="center"/>
    </xf>
    <xf numFmtId="9" fontId="3" fillId="2" borderId="0" xfId="2" applyFont="1" applyFill="1" applyBorder="1" applyAlignment="1">
      <alignment horizontal="center" vertical="center"/>
    </xf>
    <xf numFmtId="172" fontId="2" fillId="0" borderId="0" xfId="0" applyNumberFormat="1" applyFont="1" applyFill="1" applyBorder="1" applyAlignment="1">
      <alignment horizontal="center" vertical="center"/>
    </xf>
    <xf numFmtId="1" fontId="3" fillId="2" borderId="0" xfId="0" applyNumberFormat="1" applyFont="1" applyFill="1" applyBorder="1" applyAlignment="1">
      <alignment horizontal="center" vertical="center"/>
    </xf>
    <xf numFmtId="168" fontId="3" fillId="0" borderId="0" xfId="0" applyNumberFormat="1" applyFont="1" applyFill="1" applyBorder="1" applyAlignment="1">
      <alignment horizontal="right" vertical="center"/>
    </xf>
    <xf numFmtId="168" fontId="3" fillId="0" borderId="0" xfId="0" applyNumberFormat="1" applyFont="1" applyBorder="1" applyAlignment="1">
      <alignment horizontal="center"/>
    </xf>
    <xf numFmtId="0" fontId="3" fillId="0" borderId="0" xfId="0" applyFont="1" applyBorder="1" applyAlignment="1">
      <alignment horizontal="justify" vertical="center"/>
    </xf>
    <xf numFmtId="166" fontId="3" fillId="2" borderId="0" xfId="0" applyNumberFormat="1" applyFont="1" applyFill="1" applyAlignment="1">
      <alignment horizontal="center" vertical="center"/>
    </xf>
    <xf numFmtId="168" fontId="3" fillId="0" borderId="0" xfId="0" applyNumberFormat="1" applyFont="1" applyFill="1" applyAlignment="1">
      <alignment horizontal="right" vertical="center"/>
    </xf>
    <xf numFmtId="0" fontId="3" fillId="2" borderId="3" xfId="0" applyFont="1" applyFill="1" applyBorder="1" applyAlignment="1">
      <alignment vertical="center"/>
    </xf>
    <xf numFmtId="0" fontId="2" fillId="0" borderId="0" xfId="0" applyFont="1" applyBorder="1" applyAlignment="1"/>
    <xf numFmtId="0" fontId="2" fillId="0" borderId="0" xfId="0" applyFont="1" applyBorder="1" applyAlignment="1">
      <alignment horizontal="center"/>
    </xf>
    <xf numFmtId="0" fontId="2" fillId="0" borderId="0" xfId="0" applyFont="1" applyAlignment="1">
      <alignment horizontal="center"/>
    </xf>
    <xf numFmtId="0" fontId="37" fillId="0" borderId="0" xfId="0" applyFont="1" applyAlignment="1">
      <alignment horizontal="center"/>
    </xf>
    <xf numFmtId="1" fontId="2" fillId="0" borderId="0" xfId="0" applyNumberFormat="1" applyFont="1" applyAlignment="1"/>
    <xf numFmtId="0" fontId="38" fillId="0" borderId="0" xfId="0" applyFont="1" applyAlignment="1">
      <alignment horizontal="center"/>
    </xf>
    <xf numFmtId="1" fontId="17" fillId="0" borderId="0" xfId="0" applyNumberFormat="1" applyFont="1"/>
    <xf numFmtId="0" fontId="17" fillId="0" borderId="0" xfId="0" applyFont="1"/>
    <xf numFmtId="0" fontId="6" fillId="0" borderId="5" xfId="0" applyFont="1" applyBorder="1" applyAlignment="1">
      <alignment horizontal="center" vertical="center"/>
    </xf>
    <xf numFmtId="0" fontId="6" fillId="0" borderId="3" xfId="0" applyFont="1" applyBorder="1" applyAlignment="1">
      <alignment horizontal="center" vertical="center"/>
    </xf>
    <xf numFmtId="3" fontId="6" fillId="4" borderId="11" xfId="0" applyNumberFormat="1"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0" fontId="9" fillId="0" borderId="12" xfId="0" applyFont="1" applyBorder="1" applyAlignment="1">
      <alignment horizontal="center" vertical="center" wrapText="1"/>
    </xf>
    <xf numFmtId="0" fontId="3" fillId="0" borderId="2" xfId="0" applyFont="1" applyBorder="1" applyAlignment="1">
      <alignment horizontal="justify" vertical="center" wrapText="1"/>
    </xf>
    <xf numFmtId="1" fontId="3" fillId="2" borderId="16" xfId="0" applyNumberFormat="1" applyFont="1" applyFill="1" applyBorder="1" applyAlignment="1">
      <alignment horizontal="center" vertical="center" wrapText="1"/>
    </xf>
    <xf numFmtId="0" fontId="2" fillId="2" borderId="0" xfId="0" applyFont="1" applyFill="1" applyAlignment="1">
      <alignment horizontal="center"/>
    </xf>
    <xf numFmtId="0" fontId="3" fillId="2" borderId="1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9" fillId="2" borderId="18" xfId="0" applyFont="1" applyFill="1" applyBorder="1" applyAlignment="1">
      <alignment horizontal="justify" vertical="center" wrapText="1"/>
    </xf>
    <xf numFmtId="0" fontId="9" fillId="0" borderId="18" xfId="0" applyFont="1" applyFill="1" applyBorder="1" applyAlignment="1">
      <alignment horizontal="justify" vertical="center" wrapText="1"/>
    </xf>
    <xf numFmtId="0" fontId="3" fillId="2" borderId="18"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9" fillId="0" borderId="20"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6" fillId="0" borderId="6" xfId="0" applyFont="1" applyBorder="1" applyAlignment="1">
      <alignment horizontal="center" vertical="center"/>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9" fontId="3" fillId="0" borderId="2" xfId="2" applyFont="1" applyFill="1" applyBorder="1" applyAlignment="1">
      <alignment horizontal="center" vertical="center"/>
    </xf>
    <xf numFmtId="1" fontId="3" fillId="2" borderId="2" xfId="0" applyNumberFormat="1" applyFont="1" applyFill="1" applyBorder="1" applyAlignment="1">
      <alignment horizontal="center" vertical="center" wrapText="1"/>
    </xf>
    <xf numFmtId="0" fontId="6" fillId="0" borderId="6" xfId="0" applyFont="1" applyBorder="1" applyAlignment="1">
      <alignment horizontal="justify" vertical="center" wrapText="1"/>
    </xf>
    <xf numFmtId="0" fontId="6" fillId="0" borderId="3" xfId="0" applyFont="1" applyBorder="1" applyAlignment="1">
      <alignment horizontal="justify" vertical="center" wrapText="1"/>
    </xf>
    <xf numFmtId="172" fontId="9" fillId="0" borderId="3" xfId="7" applyFont="1" applyBorder="1" applyAlignment="1">
      <alignment horizontal="right" vertical="center"/>
    </xf>
    <xf numFmtId="0" fontId="6" fillId="0" borderId="3" xfId="0" applyFont="1" applyBorder="1" applyAlignment="1">
      <alignment horizontal="center" vertical="center" wrapText="1"/>
    </xf>
    <xf numFmtId="175" fontId="6" fillId="0" borderId="3" xfId="7" applyNumberFormat="1" applyFont="1" applyBorder="1" applyAlignment="1">
      <alignment horizontal="justify" vertical="center" wrapText="1"/>
    </xf>
    <xf numFmtId="1" fontId="2" fillId="3" borderId="5"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5" xfId="0" applyFont="1" applyFill="1" applyBorder="1" applyAlignment="1">
      <alignment horizontal="justify" vertical="center" wrapText="1"/>
    </xf>
    <xf numFmtId="9" fontId="2" fillId="3" borderId="5" xfId="2" applyFont="1" applyFill="1" applyBorder="1" applyAlignment="1">
      <alignment horizontal="center" vertical="center" wrapText="1"/>
    </xf>
    <xf numFmtId="166" fontId="2" fillId="3" borderId="5" xfId="0" applyNumberFormat="1" applyFont="1" applyFill="1" applyBorder="1" applyAlignment="1">
      <alignment horizontal="right" vertical="center" wrapText="1"/>
    </xf>
    <xf numFmtId="166" fontId="2" fillId="3" borderId="0" xfId="0" applyNumberFormat="1" applyFont="1" applyFill="1" applyAlignment="1">
      <alignment vertical="center" wrapText="1"/>
    </xf>
    <xf numFmtId="166" fontId="2" fillId="3" borderId="3" xfId="0" applyNumberFormat="1" applyFont="1" applyFill="1" applyBorder="1" applyAlignment="1">
      <alignment vertical="center" wrapText="1"/>
    </xf>
    <xf numFmtId="0" fontId="2" fillId="3" borderId="0" xfId="0" applyFont="1" applyFill="1" applyAlignment="1">
      <alignment horizontal="center" vertical="center" wrapText="1"/>
    </xf>
    <xf numFmtId="3" fontId="2" fillId="3" borderId="5" xfId="0" applyNumberFormat="1" applyFont="1" applyFill="1" applyBorder="1" applyAlignment="1">
      <alignment horizontal="center" vertical="center" wrapText="1"/>
    </xf>
    <xf numFmtId="0" fontId="6" fillId="6" borderId="10" xfId="0" applyFont="1" applyFill="1" applyBorder="1" applyAlignment="1">
      <alignment horizontal="left" vertical="center" wrapText="1"/>
    </xf>
    <xf numFmtId="0" fontId="6" fillId="6" borderId="11" xfId="0" applyFont="1" applyFill="1" applyBorder="1" applyAlignment="1">
      <alignment horizontal="left" vertical="center"/>
    </xf>
    <xf numFmtId="0" fontId="6" fillId="6" borderId="12" xfId="0" applyFont="1" applyFill="1" applyBorder="1" applyAlignment="1">
      <alignment horizontal="center" vertical="center"/>
    </xf>
    <xf numFmtId="0" fontId="9" fillId="6" borderId="11" xfId="0" applyFont="1" applyFill="1" applyBorder="1" applyAlignment="1">
      <alignment horizontal="right" vertical="center"/>
    </xf>
    <xf numFmtId="0" fontId="9" fillId="6" borderId="11" xfId="0" applyFont="1" applyFill="1" applyBorder="1" applyAlignment="1">
      <alignment horizontal="center" vertical="center" wrapText="1"/>
    </xf>
    <xf numFmtId="0" fontId="6" fillId="0" borderId="0" xfId="0" applyFont="1" applyAlignment="1">
      <alignment horizontal="left" vertical="center" wrapText="1"/>
    </xf>
    <xf numFmtId="0" fontId="6" fillId="7" borderId="8" xfId="0" applyFont="1" applyFill="1" applyBorder="1" applyAlignment="1">
      <alignment horizontal="left" vertical="center" wrapText="1"/>
    </xf>
    <xf numFmtId="9" fontId="6" fillId="7" borderId="5" xfId="2" applyFont="1" applyFill="1" applyBorder="1" applyAlignment="1">
      <alignment horizontal="center" vertical="center"/>
    </xf>
    <xf numFmtId="172" fontId="6" fillId="7" borderId="5" xfId="7" applyFont="1" applyFill="1" applyBorder="1" applyAlignment="1">
      <alignment horizontal="right" vertical="center"/>
    </xf>
    <xf numFmtId="0" fontId="6" fillId="7" borderId="11" xfId="0" applyFont="1" applyFill="1" applyBorder="1" applyAlignment="1">
      <alignment horizontal="right" vertical="center" wrapText="1"/>
    </xf>
    <xf numFmtId="0" fontId="6" fillId="7" borderId="11" xfId="0" applyFont="1" applyFill="1" applyBorder="1" applyAlignment="1">
      <alignment horizontal="center" vertical="center" wrapText="1"/>
    </xf>
    <xf numFmtId="0" fontId="6" fillId="7" borderId="11" xfId="7" applyNumberFormat="1" applyFont="1" applyFill="1" applyBorder="1" applyAlignment="1">
      <alignment horizontal="center" vertical="center" wrapText="1"/>
    </xf>
    <xf numFmtId="172" fontId="6" fillId="7" borderId="5" xfId="7"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172" fontId="20" fillId="0" borderId="9" xfId="14" applyNumberFormat="1" applyFont="1" applyFill="1" applyBorder="1" applyAlignment="1">
      <alignment horizontal="right" vertical="center"/>
    </xf>
    <xf numFmtId="172" fontId="3" fillId="0" borderId="9" xfId="14" applyNumberFormat="1" applyFont="1" applyFill="1" applyBorder="1" applyAlignment="1">
      <alignment horizontal="right" vertical="center" wrapText="1"/>
    </xf>
    <xf numFmtId="0" fontId="3" fillId="0" borderId="8" xfId="7"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172" fontId="20" fillId="0" borderId="20" xfId="14" applyNumberFormat="1" applyFont="1" applyFill="1" applyBorder="1" applyAlignment="1">
      <alignment horizontal="right" vertical="center"/>
    </xf>
    <xf numFmtId="172" fontId="3" fillId="0" borderId="20" xfId="14" applyNumberFormat="1" applyFont="1" applyFill="1" applyBorder="1" applyAlignment="1">
      <alignment horizontal="right" vertical="center" wrapText="1"/>
    </xf>
    <xf numFmtId="172" fontId="3" fillId="0" borderId="7" xfId="14" applyNumberFormat="1" applyFont="1" applyFill="1" applyBorder="1" applyAlignment="1">
      <alignment horizontal="right" vertical="center" wrapText="1"/>
    </xf>
    <xf numFmtId="0" fontId="3" fillId="0" borderId="9" xfId="7" applyNumberFormat="1" applyFont="1" applyFill="1" applyBorder="1" applyAlignment="1">
      <alignment horizontal="center" vertical="center" wrapText="1"/>
    </xf>
    <xf numFmtId="172" fontId="20" fillId="0" borderId="27" xfId="14" applyNumberFormat="1" applyFont="1" applyFill="1" applyBorder="1" applyAlignment="1">
      <alignment horizontal="right" vertical="center"/>
    </xf>
    <xf numFmtId="172" fontId="3" fillId="0" borderId="1" xfId="14" applyNumberFormat="1" applyFont="1" applyFill="1" applyBorder="1" applyAlignment="1">
      <alignment horizontal="right" vertical="center" wrapText="1"/>
    </xf>
    <xf numFmtId="172" fontId="20" fillId="0" borderId="18" xfId="14" applyNumberFormat="1" applyFont="1" applyFill="1" applyBorder="1" applyAlignment="1">
      <alignment horizontal="right" vertical="center"/>
    </xf>
    <xf numFmtId="0" fontId="3" fillId="0" borderId="7" xfId="7" applyNumberFormat="1" applyFont="1" applyFill="1" applyBorder="1" applyAlignment="1">
      <alignment horizontal="center" vertical="center" wrapText="1"/>
    </xf>
    <xf numFmtId="172" fontId="20" fillId="0" borderId="2" xfId="14" applyNumberFormat="1" applyFont="1" applyFill="1" applyBorder="1" applyAlignment="1">
      <alignment horizontal="right" vertical="center"/>
    </xf>
    <xf numFmtId="172" fontId="3" fillId="0" borderId="17" xfId="14" applyNumberFormat="1" applyFont="1" applyFill="1" applyBorder="1" applyAlignment="1">
      <alignment horizontal="right" vertical="center" wrapText="1"/>
    </xf>
    <xf numFmtId="0" fontId="3" fillId="0" borderId="6" xfId="0" applyFont="1" applyFill="1" applyBorder="1" applyAlignment="1">
      <alignment horizontal="center" vertical="center" wrapText="1"/>
    </xf>
    <xf numFmtId="172" fontId="39" fillId="0" borderId="18" xfId="14" applyNumberFormat="1" applyFont="1" applyFill="1" applyBorder="1" applyAlignment="1">
      <alignment horizontal="right" vertical="center"/>
    </xf>
    <xf numFmtId="0" fontId="6" fillId="7" borderId="16" xfId="0" applyFont="1" applyFill="1" applyBorder="1" applyAlignment="1">
      <alignment horizontal="left" vertical="center" wrapText="1"/>
    </xf>
    <xf numFmtId="0" fontId="6" fillId="7" borderId="0" xfId="0" applyFont="1" applyFill="1" applyAlignment="1">
      <alignment horizontal="left" vertical="center"/>
    </xf>
    <xf numFmtId="0" fontId="3" fillId="7" borderId="17"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7" xfId="0" applyFont="1" applyFill="1" applyBorder="1" applyAlignment="1">
      <alignment horizontal="center" vertical="center" wrapText="1"/>
    </xf>
    <xf numFmtId="1" fontId="3" fillId="7" borderId="9" xfId="0" applyNumberFormat="1" applyFont="1" applyFill="1" applyBorder="1" applyAlignment="1">
      <alignment horizontal="justify" vertical="center" wrapText="1"/>
    </xf>
    <xf numFmtId="0" fontId="3" fillId="7" borderId="5" xfId="0" applyFont="1" applyFill="1" applyBorder="1" applyAlignment="1">
      <alignment horizontal="center" vertical="center" wrapText="1"/>
    </xf>
    <xf numFmtId="0" fontId="3" fillId="7" borderId="5" xfId="0" applyFont="1" applyFill="1" applyBorder="1" applyAlignment="1">
      <alignment horizontal="justify" vertical="center" wrapText="1"/>
    </xf>
    <xf numFmtId="9" fontId="3" fillId="7" borderId="0" xfId="2" applyFont="1" applyFill="1" applyBorder="1" applyAlignment="1">
      <alignment horizontal="center" vertical="center" wrapText="1"/>
    </xf>
    <xf numFmtId="172" fontId="3" fillId="7" borderId="0" xfId="7" applyFont="1" applyFill="1" applyBorder="1" applyAlignment="1">
      <alignment horizontal="center" vertical="center" wrapText="1"/>
    </xf>
    <xf numFmtId="172" fontId="3" fillId="7" borderId="5" xfId="14" applyNumberFormat="1" applyFont="1" applyFill="1" applyBorder="1" applyAlignment="1">
      <alignment horizontal="right" vertical="center" wrapText="1"/>
    </xf>
    <xf numFmtId="172" fontId="3" fillId="7" borderId="5"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0" xfId="0" applyFont="1" applyFill="1" applyBorder="1" applyAlignment="1">
      <alignment vertical="center" wrapText="1"/>
    </xf>
    <xf numFmtId="0" fontId="9" fillId="0" borderId="33" xfId="0" applyFont="1" applyFill="1" applyBorder="1" applyAlignment="1">
      <alignment horizontal="justify" vertical="center" wrapText="1"/>
    </xf>
    <xf numFmtId="172" fontId="9" fillId="0" borderId="20" xfId="14" applyNumberFormat="1" applyFont="1" applyFill="1" applyBorder="1" applyAlignment="1">
      <alignment horizontal="right" vertical="center" wrapText="1"/>
    </xf>
    <xf numFmtId="0" fontId="9" fillId="0" borderId="20" xfId="7" applyNumberFormat="1" applyFont="1" applyFill="1" applyBorder="1" applyAlignment="1">
      <alignment horizontal="center" vertical="center" wrapText="1"/>
    </xf>
    <xf numFmtId="0" fontId="9" fillId="0" borderId="42" xfId="0" applyFont="1" applyFill="1" applyBorder="1" applyAlignment="1">
      <alignment horizontal="justify" vertical="center" wrapText="1"/>
    </xf>
    <xf numFmtId="172" fontId="9" fillId="0" borderId="21" xfId="14" applyNumberFormat="1" applyFont="1" applyFill="1" applyBorder="1" applyAlignment="1">
      <alignment horizontal="right" vertical="center" wrapText="1"/>
    </xf>
    <xf numFmtId="0" fontId="9" fillId="0" borderId="21" xfId="7" applyNumberFormat="1" applyFont="1" applyFill="1" applyBorder="1" applyAlignment="1">
      <alignment horizontal="center" vertical="center" wrapText="1"/>
    </xf>
    <xf numFmtId="0" fontId="6" fillId="7" borderId="3" xfId="0" applyFont="1" applyFill="1" applyBorder="1" applyAlignment="1">
      <alignment horizontal="center" vertical="center" wrapText="1"/>
    </xf>
    <xf numFmtId="1" fontId="6" fillId="7" borderId="3" xfId="0" applyNumberFormat="1" applyFont="1" applyFill="1" applyBorder="1" applyAlignment="1">
      <alignment horizontal="center" vertical="center"/>
    </xf>
    <xf numFmtId="9" fontId="6" fillId="7" borderId="3" xfId="2" applyFont="1" applyFill="1" applyBorder="1" applyAlignment="1">
      <alignment horizontal="center" vertical="center"/>
    </xf>
    <xf numFmtId="172" fontId="6" fillId="7" borderId="3" xfId="7" applyFont="1" applyFill="1" applyBorder="1" applyAlignment="1">
      <alignment horizontal="center" vertical="center"/>
    </xf>
    <xf numFmtId="0" fontId="6" fillId="7" borderId="20" xfId="0" applyFont="1" applyFill="1" applyBorder="1" applyAlignment="1">
      <alignment horizontal="justify" vertical="center" wrapText="1"/>
    </xf>
    <xf numFmtId="172" fontId="6" fillId="7" borderId="20" xfId="14" applyNumberFormat="1" applyFont="1" applyFill="1" applyBorder="1" applyAlignment="1">
      <alignment horizontal="right" vertical="center"/>
    </xf>
    <xf numFmtId="0" fontId="6" fillId="7" borderId="20" xfId="7" applyNumberFormat="1" applyFont="1" applyFill="1" applyBorder="1" applyAlignment="1">
      <alignment horizontal="center" vertical="center" wrapText="1"/>
    </xf>
    <xf numFmtId="172" fontId="6" fillId="7" borderId="0" xfId="7" applyFont="1" applyFill="1" applyBorder="1" applyAlignment="1">
      <alignment horizontal="center" vertical="center" wrapText="1"/>
    </xf>
    <xf numFmtId="172" fontId="6" fillId="7" borderId="3" xfId="0" applyNumberFormat="1" applyFont="1" applyFill="1" applyBorder="1" applyAlignment="1">
      <alignment horizontal="center" vertical="center"/>
    </xf>
    <xf numFmtId="0" fontId="6" fillId="7"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20" xfId="7" applyNumberFormat="1" applyFont="1" applyFill="1" applyBorder="1" applyAlignment="1">
      <alignment horizontal="center" vertical="center" wrapText="1"/>
    </xf>
    <xf numFmtId="172" fontId="3" fillId="2" borderId="20" xfId="14" applyNumberFormat="1" applyFont="1" applyFill="1" applyBorder="1" applyAlignment="1">
      <alignment horizontal="right" vertical="center" wrapText="1"/>
    </xf>
    <xf numFmtId="172" fontId="3" fillId="0" borderId="21" xfId="14" applyNumberFormat="1" applyFont="1" applyFill="1" applyBorder="1" applyAlignment="1">
      <alignment horizontal="right" vertical="center" wrapText="1"/>
    </xf>
    <xf numFmtId="0" fontId="3" fillId="0" borderId="21" xfId="7" applyNumberFormat="1" applyFont="1" applyFill="1" applyBorder="1" applyAlignment="1">
      <alignment horizontal="center" vertical="center" wrapText="1"/>
    </xf>
    <xf numFmtId="172" fontId="3" fillId="0" borderId="4" xfId="14" applyNumberFormat="1" applyFont="1" applyFill="1" applyBorder="1" applyAlignment="1">
      <alignment horizontal="right" vertical="center" wrapText="1"/>
    </xf>
    <xf numFmtId="0" fontId="3" fillId="0" borderId="18" xfId="7" applyNumberFormat="1" applyFont="1" applyFill="1" applyBorder="1" applyAlignment="1">
      <alignment horizontal="center" vertical="center" wrapText="1"/>
    </xf>
    <xf numFmtId="172" fontId="3" fillId="0" borderId="12" xfId="14" applyNumberFormat="1" applyFont="1" applyFill="1" applyBorder="1" applyAlignment="1">
      <alignment horizontal="right" vertical="center" wrapText="1"/>
    </xf>
    <xf numFmtId="172" fontId="20" fillId="0" borderId="2" xfId="14" applyNumberFormat="1" applyFont="1" applyFill="1" applyBorder="1" applyAlignment="1">
      <alignment horizontal="right" vertical="center" wrapText="1"/>
    </xf>
    <xf numFmtId="0" fontId="40" fillId="0" borderId="20" xfId="0" applyFont="1" applyBorder="1" applyAlignment="1">
      <alignment horizontal="center" vertical="center" wrapText="1"/>
    </xf>
    <xf numFmtId="172" fontId="20" fillId="0" borderId="9" xfId="14" applyNumberFormat="1" applyFont="1" applyFill="1" applyBorder="1" applyAlignment="1">
      <alignment horizontal="right" vertical="center" wrapText="1"/>
    </xf>
    <xf numFmtId="0" fontId="40" fillId="0" borderId="21" xfId="0" applyFont="1" applyBorder="1" applyAlignment="1">
      <alignment horizontal="center" vertical="center" wrapText="1"/>
    </xf>
    <xf numFmtId="176" fontId="3" fillId="2" borderId="20" xfId="8" applyFont="1" applyFill="1" applyBorder="1" applyAlignment="1">
      <alignment horizontal="center" vertical="center" wrapText="1"/>
    </xf>
    <xf numFmtId="172" fontId="20" fillId="0" borderId="20" xfId="14" applyNumberFormat="1" applyFont="1" applyFill="1" applyBorder="1" applyAlignment="1">
      <alignment horizontal="right" vertical="center" wrapText="1"/>
    </xf>
    <xf numFmtId="172" fontId="3" fillId="0" borderId="21" xfId="14" applyNumberFormat="1" applyFont="1" applyFill="1" applyBorder="1" applyAlignment="1">
      <alignment horizontal="right" vertical="center"/>
    </xf>
    <xf numFmtId="172" fontId="3" fillId="0" borderId="20" xfId="14" applyNumberFormat="1" applyFont="1" applyFill="1" applyBorder="1" applyAlignment="1">
      <alignment horizontal="right" vertical="center"/>
    </xf>
    <xf numFmtId="1" fontId="3" fillId="0" borderId="0" xfId="0" applyNumberFormat="1" applyFont="1" applyFill="1"/>
    <xf numFmtId="0" fontId="20" fillId="0" borderId="20" xfId="0" applyFont="1" applyFill="1" applyBorder="1" applyAlignment="1">
      <alignment horizontal="justify" vertical="center" wrapText="1"/>
    </xf>
    <xf numFmtId="172" fontId="3" fillId="0" borderId="6" xfId="14" applyNumberFormat="1" applyFont="1" applyFill="1" applyBorder="1" applyAlignment="1">
      <alignment horizontal="right" vertical="center"/>
    </xf>
    <xf numFmtId="172" fontId="3" fillId="0" borderId="16" xfId="14" applyNumberFormat="1" applyFont="1" applyFill="1" applyBorder="1" applyAlignment="1">
      <alignment horizontal="right" vertical="center"/>
    </xf>
    <xf numFmtId="172" fontId="9" fillId="0" borderId="2" xfId="7" applyFont="1" applyFill="1" applyBorder="1" applyAlignment="1">
      <alignment horizontal="center" vertical="center" wrapText="1"/>
    </xf>
    <xf numFmtId="172" fontId="3" fillId="0" borderId="2" xfId="14" applyNumberFormat="1" applyFont="1" applyFill="1" applyBorder="1" applyAlignment="1">
      <alignment horizontal="right" vertical="center"/>
    </xf>
    <xf numFmtId="172" fontId="3" fillId="0" borderId="2" xfId="14" applyNumberFormat="1" applyFont="1" applyFill="1" applyBorder="1" applyAlignment="1">
      <alignment horizontal="right" vertical="center" wrapText="1"/>
    </xf>
    <xf numFmtId="0" fontId="9" fillId="0" borderId="2" xfId="7" applyNumberFormat="1" applyFont="1" applyFill="1" applyBorder="1" applyAlignment="1">
      <alignment horizontal="center" vertical="center" wrapText="1"/>
    </xf>
    <xf numFmtId="0" fontId="0" fillId="10" borderId="0" xfId="0" applyFill="1"/>
    <xf numFmtId="0" fontId="3" fillId="0" borderId="2" xfId="7" applyNumberFormat="1" applyFont="1" applyFill="1" applyBorder="1" applyAlignment="1">
      <alignment horizontal="center" vertical="center" wrapText="1"/>
    </xf>
    <xf numFmtId="0" fontId="3" fillId="0" borderId="16" xfId="0" applyFont="1" applyBorder="1" applyAlignment="1">
      <alignment horizontal="center"/>
    </xf>
    <xf numFmtId="0" fontId="3" fillId="0" borderId="1" xfId="0" applyFont="1" applyBorder="1" applyAlignment="1">
      <alignment horizontal="center"/>
    </xf>
    <xf numFmtId="172" fontId="3" fillId="0" borderId="27" xfId="14" applyNumberFormat="1" applyFont="1" applyFill="1" applyBorder="1" applyAlignment="1">
      <alignment horizontal="right" vertical="center"/>
    </xf>
    <xf numFmtId="0" fontId="3" fillId="0" borderId="27" xfId="7" applyNumberFormat="1" applyFont="1" applyFill="1" applyBorder="1" applyAlignment="1">
      <alignment horizontal="center" vertical="center" wrapText="1"/>
    </xf>
    <xf numFmtId="0" fontId="6" fillId="7" borderId="0" xfId="0" applyFont="1" applyFill="1" applyAlignment="1">
      <alignment horizontal="left" vertical="center" wrapText="1"/>
    </xf>
    <xf numFmtId="0" fontId="6" fillId="7" borderId="16" xfId="0" applyFont="1" applyFill="1" applyBorder="1" applyAlignment="1">
      <alignment horizontal="left" vertical="center"/>
    </xf>
    <xf numFmtId="0" fontId="3" fillId="7" borderId="0" xfId="0" applyFont="1" applyFill="1"/>
    <xf numFmtId="0" fontId="3" fillId="7" borderId="11"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3" xfId="0" applyFont="1" applyFill="1" applyBorder="1" applyAlignment="1">
      <alignment horizontal="justify" vertical="center" wrapText="1"/>
    </xf>
    <xf numFmtId="1" fontId="3" fillId="7" borderId="3" xfId="0" applyNumberFormat="1" applyFont="1" applyFill="1" applyBorder="1" applyAlignment="1">
      <alignment horizontal="justify" vertical="center" wrapText="1"/>
    </xf>
    <xf numFmtId="0" fontId="3" fillId="7" borderId="11" xfId="0" applyFont="1" applyFill="1" applyBorder="1" applyAlignment="1">
      <alignment horizontal="center"/>
    </xf>
    <xf numFmtId="9" fontId="3" fillId="7" borderId="3" xfId="2" applyFont="1" applyFill="1" applyBorder="1" applyAlignment="1">
      <alignment horizontal="center" vertical="center"/>
    </xf>
    <xf numFmtId="172" fontId="3" fillId="7" borderId="3" xfId="7" applyFont="1" applyFill="1" applyBorder="1" applyAlignment="1">
      <alignment vertical="center"/>
    </xf>
    <xf numFmtId="172" fontId="3" fillId="7" borderId="3" xfId="14" applyNumberFormat="1" applyFont="1" applyFill="1" applyBorder="1" applyAlignment="1">
      <alignment horizontal="right" vertical="center"/>
    </xf>
    <xf numFmtId="0" fontId="3" fillId="7" borderId="3" xfId="7" applyNumberFormat="1" applyFont="1" applyFill="1" applyBorder="1" applyAlignment="1">
      <alignment horizontal="center" vertical="center" wrapText="1"/>
    </xf>
    <xf numFmtId="0" fontId="3" fillId="7" borderId="3" xfId="0" applyFont="1" applyFill="1" applyBorder="1" applyAlignment="1">
      <alignment horizontal="center" vertical="center"/>
    </xf>
    <xf numFmtId="172" fontId="3" fillId="7" borderId="3" xfId="0" applyNumberFormat="1" applyFont="1" applyFill="1" applyBorder="1" applyAlignment="1">
      <alignment horizontal="center" vertical="center"/>
    </xf>
    <xf numFmtId="0" fontId="9" fillId="0" borderId="2" xfId="5" applyNumberFormat="1" applyFont="1" applyFill="1" applyBorder="1">
      <alignment horizontal="center" vertical="center" wrapText="1"/>
    </xf>
    <xf numFmtId="1" fontId="3" fillId="0" borderId="2" xfId="0" applyNumberFormat="1" applyFont="1" applyFill="1" applyBorder="1" applyAlignment="1">
      <alignment horizontal="center" vertical="center" wrapText="1"/>
    </xf>
    <xf numFmtId="9" fontId="9" fillId="0" borderId="2" xfId="2" applyFont="1" applyFill="1" applyBorder="1" applyAlignment="1">
      <alignment horizontal="center" vertical="center" wrapText="1"/>
    </xf>
    <xf numFmtId="172" fontId="9" fillId="0" borderId="9" xfId="7" applyNumberFormat="1" applyFont="1" applyFill="1" applyBorder="1" applyAlignment="1">
      <alignment vertical="center" wrapText="1"/>
    </xf>
    <xf numFmtId="172" fontId="9" fillId="0" borderId="2" xfId="14" applyNumberFormat="1" applyFont="1" applyFill="1" applyBorder="1" applyAlignment="1">
      <alignment horizontal="right" vertical="center" wrapText="1"/>
    </xf>
    <xf numFmtId="172" fontId="9" fillId="0" borderId="17" xfId="14" applyNumberFormat="1" applyFont="1" applyFill="1" applyBorder="1" applyAlignment="1">
      <alignment horizontal="right" vertical="center" wrapText="1"/>
    </xf>
    <xf numFmtId="0" fontId="9" fillId="0" borderId="17" xfId="7" applyNumberFormat="1" applyFont="1" applyFill="1" applyBorder="1" applyAlignment="1">
      <alignment horizontal="center" vertical="center" wrapText="1"/>
    </xf>
    <xf numFmtId="1" fontId="9" fillId="2" borderId="9" xfId="0" applyNumberFormat="1" applyFont="1" applyFill="1" applyBorder="1" applyAlignment="1">
      <alignment horizontal="center" vertical="center" wrapText="1"/>
    </xf>
    <xf numFmtId="172" fontId="9" fillId="0" borderId="9" xfId="14" applyNumberFormat="1" applyFont="1" applyFill="1" applyBorder="1" applyAlignment="1">
      <alignment horizontal="center" vertical="center" wrapText="1"/>
    </xf>
    <xf numFmtId="9" fontId="9" fillId="0" borderId="9" xfId="2"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0" fontId="9" fillId="0" borderId="69" xfId="0" applyFont="1" applyBorder="1" applyAlignment="1">
      <alignment horizontal="justify" vertical="center" wrapText="1"/>
    </xf>
    <xf numFmtId="172" fontId="20" fillId="0" borderId="12" xfId="14" applyNumberFormat="1" applyFont="1" applyFill="1" applyBorder="1" applyAlignment="1">
      <alignment horizontal="right" vertical="center" wrapText="1"/>
    </xf>
    <xf numFmtId="0" fontId="9" fillId="0" borderId="70" xfId="0" applyFont="1" applyBorder="1" applyAlignment="1">
      <alignment horizontal="justify" vertical="center" wrapText="1"/>
    </xf>
    <xf numFmtId="172" fontId="20" fillId="0" borderId="4" xfId="14" applyNumberFormat="1" applyFont="1" applyFill="1" applyBorder="1" applyAlignment="1">
      <alignment horizontal="right" vertical="center" wrapText="1"/>
    </xf>
    <xf numFmtId="172" fontId="9" fillId="0" borderId="27" xfId="14" applyNumberFormat="1" applyFont="1" applyFill="1" applyBorder="1" applyAlignment="1">
      <alignment horizontal="right" vertical="center" wrapText="1"/>
    </xf>
    <xf numFmtId="0" fontId="9" fillId="0" borderId="9" xfId="7" applyNumberFormat="1" applyFont="1" applyFill="1" applyBorder="1" applyAlignment="1">
      <alignment horizontal="center" vertical="center" wrapText="1"/>
    </xf>
    <xf numFmtId="172" fontId="9" fillId="0" borderId="33" xfId="14" applyNumberFormat="1" applyFont="1" applyFill="1" applyBorder="1" applyAlignment="1">
      <alignment horizontal="right" vertical="center" wrapText="1"/>
    </xf>
    <xf numFmtId="172" fontId="9" fillId="0" borderId="42" xfId="14" applyNumberFormat="1" applyFont="1" applyFill="1" applyBorder="1" applyAlignment="1">
      <alignment horizontal="right" vertical="center" wrapText="1"/>
    </xf>
    <xf numFmtId="0" fontId="3" fillId="7" borderId="3" xfId="0" applyFont="1" applyFill="1" applyBorder="1"/>
    <xf numFmtId="1" fontId="3" fillId="7" borderId="3" xfId="0" applyNumberFormat="1" applyFont="1" applyFill="1" applyBorder="1" applyAlignment="1">
      <alignment horizontal="center"/>
    </xf>
    <xf numFmtId="0" fontId="3" fillId="7" borderId="3" xfId="0" applyFont="1" applyFill="1" applyBorder="1" applyAlignment="1">
      <alignment horizontal="center"/>
    </xf>
    <xf numFmtId="0" fontId="3" fillId="7" borderId="0" xfId="0" applyFont="1" applyFill="1" applyAlignment="1">
      <alignment horizontal="justify" vertical="center" wrapText="1"/>
    </xf>
    <xf numFmtId="172" fontId="3" fillId="7" borderId="0" xfId="14" applyNumberFormat="1" applyFont="1" applyFill="1" applyBorder="1" applyAlignment="1">
      <alignment horizontal="right" vertical="center"/>
    </xf>
    <xf numFmtId="0" fontId="3" fillId="7" borderId="0" xfId="7" applyNumberFormat="1" applyFont="1" applyFill="1" applyBorder="1" applyAlignment="1">
      <alignment horizontal="center" vertical="center" wrapText="1"/>
    </xf>
    <xf numFmtId="0" fontId="9" fillId="0" borderId="27" xfId="7" applyNumberFormat="1" applyFont="1" applyFill="1" applyBorder="1" applyAlignment="1">
      <alignment horizontal="center" vertical="center" wrapText="1"/>
    </xf>
    <xf numFmtId="172" fontId="9" fillId="0" borderId="30" xfId="14" applyNumberFormat="1" applyFont="1" applyFill="1" applyBorder="1" applyAlignment="1">
      <alignment horizontal="right" vertical="center" wrapText="1"/>
    </xf>
    <xf numFmtId="0" fontId="9" fillId="0" borderId="27" xfId="7" applyNumberFormat="1" applyFont="1" applyBorder="1" applyAlignment="1">
      <alignment horizontal="center" vertical="center" wrapText="1"/>
    </xf>
    <xf numFmtId="172" fontId="9" fillId="0" borderId="34" xfId="14" applyNumberFormat="1" applyFont="1" applyFill="1" applyBorder="1" applyAlignment="1">
      <alignment horizontal="right" vertical="center" wrapText="1"/>
    </xf>
    <xf numFmtId="0" fontId="9" fillId="0" borderId="20" xfId="7" applyNumberFormat="1" applyFont="1" applyBorder="1" applyAlignment="1">
      <alignment horizontal="center" vertical="center" wrapText="1"/>
    </xf>
    <xf numFmtId="172" fontId="3" fillId="0" borderId="27" xfId="14" applyNumberFormat="1" applyFont="1" applyFill="1" applyBorder="1" applyAlignment="1">
      <alignment horizontal="right" vertical="center" wrapText="1"/>
    </xf>
    <xf numFmtId="172" fontId="3" fillId="0" borderId="29" xfId="14" applyNumberFormat="1" applyFont="1" applyFill="1" applyBorder="1" applyAlignment="1">
      <alignment horizontal="right" vertical="center"/>
    </xf>
    <xf numFmtId="172" fontId="3" fillId="0" borderId="33" xfId="14" applyNumberFormat="1" applyFont="1" applyFill="1" applyBorder="1" applyAlignment="1">
      <alignment horizontal="right" vertical="center"/>
    </xf>
    <xf numFmtId="172" fontId="9" fillId="0" borderId="2" xfId="14" applyNumberFormat="1" applyFont="1" applyFill="1" applyBorder="1" applyAlignment="1">
      <alignment horizontal="right" vertical="center"/>
    </xf>
    <xf numFmtId="172" fontId="9" fillId="0" borderId="9" xfId="14" applyNumberFormat="1" applyFont="1" applyFill="1" applyBorder="1" applyAlignment="1">
      <alignment horizontal="right" vertical="center" wrapText="1"/>
    </xf>
    <xf numFmtId="176" fontId="3" fillId="0" borderId="20" xfId="8" applyFont="1" applyFill="1" applyBorder="1" applyAlignment="1">
      <alignment horizontal="center" vertical="center"/>
    </xf>
    <xf numFmtId="172" fontId="9" fillId="2" borderId="9" xfId="14" applyNumberFormat="1" applyFont="1" applyFill="1" applyBorder="1" applyAlignment="1">
      <alignment horizontal="right" vertical="center" wrapText="1"/>
    </xf>
    <xf numFmtId="0" fontId="3" fillId="0" borderId="34" xfId="7" applyNumberFormat="1" applyFont="1" applyFill="1" applyBorder="1" applyAlignment="1">
      <alignment horizontal="center" vertical="center" wrapText="1"/>
    </xf>
    <xf numFmtId="172" fontId="3" fillId="0" borderId="18" xfId="14" applyNumberFormat="1" applyFont="1" applyFill="1" applyBorder="1" applyAlignment="1">
      <alignment horizontal="right" vertical="center" wrapText="1"/>
    </xf>
    <xf numFmtId="0" fontId="9" fillId="0" borderId="21" xfId="0" applyFont="1" applyFill="1" applyBorder="1" applyAlignment="1" applyProtection="1">
      <alignment horizontal="justify" vertical="center" wrapText="1"/>
      <protection locked="0"/>
    </xf>
    <xf numFmtId="172" fontId="9" fillId="0" borderId="33" xfId="14" applyNumberFormat="1" applyFont="1" applyFill="1" applyBorder="1" applyAlignment="1" applyProtection="1">
      <alignment horizontal="right" vertical="center" wrapText="1"/>
      <protection locked="0"/>
    </xf>
    <xf numFmtId="172" fontId="9" fillId="0" borderId="20" xfId="14" applyNumberFormat="1" applyFont="1" applyFill="1" applyBorder="1" applyAlignment="1" applyProtection="1">
      <alignment horizontal="right" vertical="center" wrapText="1"/>
      <protection locked="0"/>
    </xf>
    <xf numFmtId="0" fontId="9" fillId="0" borderId="20" xfId="7" applyNumberFormat="1" applyFont="1" applyFill="1" applyBorder="1" applyAlignment="1" applyProtection="1">
      <alignment horizontal="center" vertical="center" wrapText="1"/>
      <protection locked="0"/>
    </xf>
    <xf numFmtId="172" fontId="9" fillId="0" borderId="57" xfId="14" applyNumberFormat="1" applyFont="1" applyFill="1" applyBorder="1" applyAlignment="1" applyProtection="1">
      <alignment horizontal="right" vertical="center" wrapText="1"/>
      <protection locked="0"/>
    </xf>
    <xf numFmtId="172" fontId="9" fillId="0" borderId="21" xfId="14" applyNumberFormat="1" applyFont="1" applyFill="1" applyBorder="1" applyAlignment="1" applyProtection="1">
      <alignment horizontal="right" vertical="center" wrapText="1"/>
      <protection locked="0"/>
    </xf>
    <xf numFmtId="0" fontId="9" fillId="0" borderId="34" xfId="7" applyNumberFormat="1" applyFont="1" applyFill="1" applyBorder="1" applyAlignment="1" applyProtection="1">
      <alignment horizontal="center" vertical="center" wrapText="1"/>
      <protection locked="0"/>
    </xf>
    <xf numFmtId="172" fontId="20" fillId="0" borderId="7" xfId="14" applyNumberFormat="1" applyFont="1" applyFill="1" applyBorder="1" applyAlignment="1">
      <alignment horizontal="right" vertical="center" wrapText="1"/>
    </xf>
    <xf numFmtId="0" fontId="9" fillId="0" borderId="20" xfId="0" applyFont="1" applyFill="1" applyBorder="1" applyAlignment="1" applyProtection="1">
      <alignment horizontal="justify" vertical="center" wrapText="1"/>
      <protection locked="0"/>
    </xf>
    <xf numFmtId="172" fontId="9" fillId="0" borderId="42" xfId="14" applyNumberFormat="1" applyFont="1" applyFill="1" applyBorder="1" applyAlignment="1" applyProtection="1">
      <alignment horizontal="right" vertical="center" wrapText="1"/>
      <protection locked="0"/>
    </xf>
    <xf numFmtId="0" fontId="9" fillId="0" borderId="33" xfId="0" applyFont="1" applyFill="1" applyBorder="1" applyAlignment="1" applyProtection="1">
      <alignment horizontal="justify" vertical="center" wrapText="1"/>
      <protection locked="0"/>
    </xf>
    <xf numFmtId="172" fontId="9" fillId="0" borderId="29" xfId="14" applyNumberFormat="1" applyFont="1" applyFill="1" applyBorder="1" applyAlignment="1" applyProtection="1">
      <alignment horizontal="right" vertical="center" wrapText="1"/>
      <protection locked="0"/>
    </xf>
    <xf numFmtId="172" fontId="9" fillId="0" borderId="27" xfId="14" applyNumberFormat="1" applyFont="1" applyFill="1" applyBorder="1" applyAlignment="1" applyProtection="1">
      <alignment horizontal="right" vertical="center" wrapText="1"/>
      <protection locked="0"/>
    </xf>
    <xf numFmtId="0" fontId="9" fillId="0" borderId="21" xfId="7" applyNumberFormat="1" applyFont="1" applyFill="1" applyBorder="1" applyAlignment="1" applyProtection="1">
      <alignment horizontal="center" vertical="center" wrapText="1"/>
      <protection locked="0"/>
    </xf>
    <xf numFmtId="0" fontId="9" fillId="0" borderId="45" xfId="7" applyNumberFormat="1" applyFont="1" applyFill="1" applyBorder="1" applyAlignment="1" applyProtection="1">
      <alignment horizontal="center" vertical="center" wrapText="1"/>
      <protection locked="0"/>
    </xf>
    <xf numFmtId="0" fontId="9" fillId="0" borderId="27" xfId="0" applyFont="1" applyFill="1" applyBorder="1" applyAlignment="1" applyProtection="1">
      <alignment horizontal="justify" vertical="center" wrapText="1"/>
      <protection locked="0"/>
    </xf>
    <xf numFmtId="0" fontId="9" fillId="0" borderId="27" xfId="7" applyNumberFormat="1" applyFont="1" applyFill="1" applyBorder="1" applyAlignment="1" applyProtection="1">
      <alignment horizontal="center" vertical="center" wrapText="1"/>
      <protection locked="0"/>
    </xf>
    <xf numFmtId="176" fontId="9" fillId="2" borderId="20" xfId="8" applyFont="1" applyFill="1" applyBorder="1" applyAlignment="1" applyProtection="1">
      <alignment horizontal="center" vertical="center" wrapText="1"/>
      <protection locked="0"/>
    </xf>
    <xf numFmtId="0" fontId="3" fillId="0" borderId="30" xfId="7" applyNumberFormat="1" applyFont="1" applyFill="1" applyBorder="1" applyAlignment="1">
      <alignment horizontal="center" vertical="center" wrapText="1"/>
    </xf>
    <xf numFmtId="0" fontId="9" fillId="0" borderId="20" xfId="0" applyFont="1" applyBorder="1" applyAlignment="1" applyProtection="1">
      <alignment horizontal="justify" vertical="center" wrapText="1"/>
      <protection locked="0"/>
    </xf>
    <xf numFmtId="0" fontId="9" fillId="0" borderId="21" xfId="0" applyFont="1" applyBorder="1" applyAlignment="1" applyProtection="1">
      <alignment horizontal="justify" vertical="center" wrapText="1"/>
      <protection locked="0"/>
    </xf>
    <xf numFmtId="0" fontId="9" fillId="0" borderId="33" xfId="0" applyFont="1" applyBorder="1" applyAlignment="1" applyProtection="1">
      <alignment horizontal="justify" vertical="center" wrapText="1"/>
      <protection locked="0"/>
    </xf>
    <xf numFmtId="0" fontId="9" fillId="0" borderId="27" xfId="0" applyFont="1" applyBorder="1" applyAlignment="1" applyProtection="1">
      <alignment horizontal="justify" vertical="center" wrapText="1"/>
      <protection locked="0"/>
    </xf>
    <xf numFmtId="0" fontId="3" fillId="7" borderId="11" xfId="0" applyFont="1" applyFill="1" applyBorder="1" applyAlignment="1">
      <alignment horizontal="justify" vertical="center" wrapText="1"/>
    </xf>
    <xf numFmtId="172" fontId="3" fillId="7" borderId="3" xfId="14" applyNumberFormat="1" applyFont="1" applyFill="1" applyBorder="1" applyAlignment="1">
      <alignment horizontal="center" vertical="center"/>
    </xf>
    <xf numFmtId="172" fontId="9" fillId="0" borderId="27" xfId="14" applyNumberFormat="1" applyFont="1" applyBorder="1" applyAlignment="1">
      <alignment horizontal="right" vertical="center" wrapText="1"/>
    </xf>
    <xf numFmtId="0" fontId="3" fillId="0" borderId="27" xfId="7" applyNumberFormat="1" applyFont="1" applyBorder="1" applyAlignment="1">
      <alignment horizontal="center" vertical="center" wrapText="1"/>
    </xf>
    <xf numFmtId="172" fontId="9" fillId="0" borderId="20" xfId="14" applyNumberFormat="1" applyFont="1" applyBorder="1" applyAlignment="1">
      <alignment horizontal="right" vertical="center" wrapText="1"/>
    </xf>
    <xf numFmtId="0" fontId="3" fillId="0" borderId="20" xfId="7" applyNumberFormat="1" applyFont="1" applyBorder="1" applyAlignment="1">
      <alignment horizontal="center" vertical="center" wrapText="1"/>
    </xf>
    <xf numFmtId="0" fontId="6" fillId="6" borderId="3" xfId="0" applyFont="1" applyFill="1" applyBorder="1" applyAlignment="1">
      <alignment horizontal="center" vertical="center" wrapText="1"/>
    </xf>
    <xf numFmtId="0" fontId="6" fillId="6" borderId="3" xfId="0" applyFont="1" applyFill="1" applyBorder="1" applyAlignment="1">
      <alignment horizontal="justify" vertical="center"/>
    </xf>
    <xf numFmtId="1" fontId="6" fillId="6" borderId="3" xfId="0" applyNumberFormat="1" applyFont="1" applyFill="1" applyBorder="1" applyAlignment="1">
      <alignment horizontal="justify" vertical="center" wrapText="1"/>
    </xf>
    <xf numFmtId="0" fontId="6" fillId="6" borderId="3" xfId="0" applyFont="1" applyFill="1" applyBorder="1" applyAlignment="1">
      <alignment horizontal="center" vertical="center"/>
    </xf>
    <xf numFmtId="9" fontId="6" fillId="6" borderId="3" xfId="2" applyFont="1" applyFill="1" applyBorder="1" applyAlignment="1">
      <alignment horizontal="center" vertical="center"/>
    </xf>
    <xf numFmtId="172" fontId="6" fillId="6" borderId="3" xfId="7" applyFont="1" applyFill="1" applyBorder="1" applyAlignment="1">
      <alignment vertical="center"/>
    </xf>
    <xf numFmtId="172" fontId="6" fillId="6" borderId="3" xfId="14" applyNumberFormat="1" applyFont="1" applyFill="1" applyBorder="1" applyAlignment="1">
      <alignment horizontal="right" vertical="center"/>
    </xf>
    <xf numFmtId="0" fontId="6" fillId="6" borderId="3" xfId="7" applyNumberFormat="1" applyFont="1" applyFill="1" applyBorder="1" applyAlignment="1">
      <alignment horizontal="center" vertical="center" wrapText="1"/>
    </xf>
    <xf numFmtId="172" fontId="6" fillId="6" borderId="3" xfId="14" applyNumberFormat="1" applyFont="1" applyFill="1" applyBorder="1" applyAlignment="1">
      <alignment horizontal="center" vertical="center"/>
    </xf>
    <xf numFmtId="0" fontId="6" fillId="7" borderId="5" xfId="0" applyFont="1" applyFill="1" applyBorder="1" applyAlignment="1">
      <alignment horizontal="left" vertical="center" wrapText="1"/>
    </xf>
    <xf numFmtId="0" fontId="6" fillId="7" borderId="8" xfId="0" applyFont="1" applyFill="1" applyBorder="1" applyAlignment="1">
      <alignment horizontal="left" vertical="center"/>
    </xf>
    <xf numFmtId="0" fontId="3" fillId="7" borderId="5" xfId="0" applyFont="1" applyFill="1" applyBorder="1"/>
    <xf numFmtId="1" fontId="3" fillId="7" borderId="5" xfId="0" applyNumberFormat="1" applyFont="1" applyFill="1" applyBorder="1" applyAlignment="1">
      <alignment horizontal="justify" vertical="center" wrapText="1"/>
    </xf>
    <xf numFmtId="0" fontId="3" fillId="7" borderId="5" xfId="0" applyFont="1" applyFill="1" applyBorder="1" applyAlignment="1">
      <alignment horizontal="center" vertical="center"/>
    </xf>
    <xf numFmtId="165" fontId="3" fillId="7" borderId="5" xfId="0" applyNumberFormat="1" applyFont="1" applyFill="1" applyBorder="1" applyAlignment="1">
      <alignment horizontal="justify" vertical="center" wrapText="1"/>
    </xf>
    <xf numFmtId="9" fontId="3" fillId="7" borderId="5" xfId="2" applyFont="1" applyFill="1" applyBorder="1" applyAlignment="1">
      <alignment horizontal="center" vertical="center"/>
    </xf>
    <xf numFmtId="172" fontId="3" fillId="7" borderId="5" xfId="7" applyFont="1" applyFill="1" applyBorder="1" applyAlignment="1">
      <alignment vertical="center"/>
    </xf>
    <xf numFmtId="172" fontId="3" fillId="7" borderId="5" xfId="14" applyNumberFormat="1" applyFont="1" applyFill="1" applyBorder="1" applyAlignment="1">
      <alignment horizontal="right" vertical="center"/>
    </xf>
    <xf numFmtId="0" fontId="3" fillId="7" borderId="5" xfId="7" applyNumberFormat="1" applyFont="1" applyFill="1" applyBorder="1" applyAlignment="1">
      <alignment horizontal="center" vertical="center" wrapText="1"/>
    </xf>
    <xf numFmtId="172" fontId="3" fillId="7" borderId="5" xfId="14" applyNumberFormat="1" applyFont="1" applyFill="1" applyBorder="1" applyAlignment="1">
      <alignment horizontal="center" vertical="center"/>
    </xf>
    <xf numFmtId="165" fontId="3" fillId="7" borderId="5" xfId="0" applyNumberFormat="1" applyFont="1" applyFill="1" applyBorder="1" applyAlignment="1">
      <alignment horizontal="center" vertical="center"/>
    </xf>
    <xf numFmtId="165" fontId="3" fillId="7" borderId="5" xfId="0" applyNumberFormat="1" applyFont="1" applyFill="1" applyBorder="1" applyAlignment="1">
      <alignment horizontal="center" vertical="center" wrapText="1"/>
    </xf>
    <xf numFmtId="0" fontId="0" fillId="0" borderId="5" xfId="0" applyBorder="1"/>
    <xf numFmtId="172" fontId="3" fillId="0" borderId="20" xfId="14" applyNumberFormat="1" applyFont="1" applyBorder="1" applyAlignment="1">
      <alignment horizontal="right" vertical="center" wrapText="1"/>
    </xf>
    <xf numFmtId="0" fontId="0" fillId="0" borderId="0" xfId="0" applyBorder="1"/>
    <xf numFmtId="0" fontId="0" fillId="0" borderId="3" xfId="0" applyBorder="1"/>
    <xf numFmtId="1" fontId="6" fillId="6" borderId="3" xfId="0" applyNumberFormat="1" applyFont="1" applyFill="1" applyBorder="1" applyAlignment="1">
      <alignment horizontal="center" vertical="center"/>
    </xf>
    <xf numFmtId="172" fontId="6" fillId="6" borderId="3" xfId="7" applyFont="1" applyFill="1" applyBorder="1" applyAlignment="1">
      <alignment horizontal="justify" vertical="center" wrapText="1"/>
    </xf>
    <xf numFmtId="1" fontId="3" fillId="0" borderId="8" xfId="0" applyNumberFormat="1" applyFont="1" applyBorder="1"/>
    <xf numFmtId="0" fontId="3" fillId="0" borderId="5" xfId="0" applyFont="1" applyBorder="1"/>
    <xf numFmtId="0" fontId="3" fillId="0" borderId="7" xfId="0" applyFont="1" applyBorder="1"/>
    <xf numFmtId="0" fontId="3" fillId="7" borderId="11" xfId="0" applyFont="1" applyFill="1" applyBorder="1"/>
    <xf numFmtId="1" fontId="3" fillId="7" borderId="11" xfId="0" applyNumberFormat="1" applyFont="1" applyFill="1" applyBorder="1" applyAlignment="1">
      <alignment horizontal="center" vertical="center"/>
    </xf>
    <xf numFmtId="0" fontId="3" fillId="7" borderId="11" xfId="0" applyFont="1" applyFill="1" applyBorder="1" applyAlignment="1">
      <alignment horizontal="center" vertical="center"/>
    </xf>
    <xf numFmtId="165" fontId="3" fillId="7" borderId="11" xfId="0" applyNumberFormat="1" applyFont="1" applyFill="1" applyBorder="1" applyAlignment="1">
      <alignment horizontal="justify" vertical="center" wrapText="1"/>
    </xf>
    <xf numFmtId="9" fontId="3" fillId="7" borderId="11" xfId="2" applyFont="1" applyFill="1" applyBorder="1" applyAlignment="1">
      <alignment horizontal="center" vertical="center"/>
    </xf>
    <xf numFmtId="172" fontId="3" fillId="7" borderId="11" xfId="7" applyFont="1" applyFill="1" applyBorder="1" applyAlignment="1">
      <alignment vertical="center"/>
    </xf>
    <xf numFmtId="172" fontId="3" fillId="7" borderId="11" xfId="14" applyNumberFormat="1" applyFont="1" applyFill="1" applyBorder="1" applyAlignment="1">
      <alignment horizontal="right" vertical="center"/>
    </xf>
    <xf numFmtId="0" fontId="3" fillId="7" borderId="11" xfId="7" applyNumberFormat="1" applyFont="1" applyFill="1" applyBorder="1" applyAlignment="1">
      <alignment horizontal="center" vertical="center" wrapText="1"/>
    </xf>
    <xf numFmtId="172" fontId="3" fillId="7" borderId="11" xfId="14" applyNumberFormat="1" applyFont="1" applyFill="1" applyBorder="1" applyAlignment="1">
      <alignment horizontal="center" vertical="center"/>
    </xf>
    <xf numFmtId="165" fontId="3" fillId="7" borderId="11" xfId="0" applyNumberFormat="1" applyFont="1" applyFill="1" applyBorder="1" applyAlignment="1">
      <alignment horizontal="center" vertical="center"/>
    </xf>
    <xf numFmtId="165" fontId="3" fillId="7" borderId="11" xfId="0" applyNumberFormat="1" applyFont="1" applyFill="1" applyBorder="1" applyAlignment="1">
      <alignment horizontal="center" vertical="center" wrapText="1"/>
    </xf>
    <xf numFmtId="172" fontId="9" fillId="0" borderId="18" xfId="7" applyFont="1" applyFill="1" applyBorder="1" applyAlignment="1">
      <alignment vertical="center" wrapText="1"/>
    </xf>
    <xf numFmtId="3" fontId="3" fillId="0" borderId="2" xfId="0" applyNumberFormat="1" applyFont="1" applyFill="1" applyBorder="1" applyAlignment="1">
      <alignment horizontal="center" vertical="center"/>
    </xf>
    <xf numFmtId="172" fontId="3" fillId="0" borderId="2" xfId="14" applyNumberFormat="1" applyFont="1" applyFill="1" applyBorder="1" applyAlignment="1">
      <alignment horizontal="center" vertical="center"/>
    </xf>
    <xf numFmtId="3" fontId="3" fillId="0" borderId="2" xfId="0"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3" fillId="0" borderId="12" xfId="0" applyFont="1" applyBorder="1" applyAlignment="1">
      <alignment horizontal="center"/>
    </xf>
    <xf numFmtId="1" fontId="3" fillId="0" borderId="2" xfId="0" applyNumberFormat="1" applyFont="1" applyBorder="1"/>
    <xf numFmtId="0" fontId="3" fillId="0" borderId="2" xfId="0" applyFont="1" applyBorder="1" applyAlignment="1">
      <alignment horizontal="center"/>
    </xf>
    <xf numFmtId="172" fontId="2" fillId="0" borderId="2" xfId="0" applyNumberFormat="1" applyFont="1" applyBorder="1" applyAlignment="1">
      <alignment vertical="center"/>
    </xf>
    <xf numFmtId="0" fontId="3" fillId="0" borderId="2" xfId="0" applyFont="1" applyBorder="1" applyAlignment="1">
      <alignment vertical="center" wrapText="1"/>
    </xf>
    <xf numFmtId="0" fontId="3" fillId="0" borderId="2" xfId="0" applyFont="1" applyBorder="1" applyAlignment="1">
      <alignment vertical="center"/>
    </xf>
    <xf numFmtId="172" fontId="2" fillId="0" borderId="2" xfId="0" applyNumberFormat="1" applyFont="1" applyBorder="1" applyAlignment="1">
      <alignment horizontal="right" vertical="center"/>
    </xf>
    <xf numFmtId="172" fontId="2" fillId="0" borderId="2" xfId="0" applyNumberFormat="1" applyFont="1" applyBorder="1" applyAlignment="1">
      <alignment horizontal="center" vertical="center"/>
    </xf>
    <xf numFmtId="44" fontId="0" fillId="0" borderId="0" xfId="1" applyFont="1"/>
    <xf numFmtId="172" fontId="0" fillId="0" borderId="0" xfId="0" applyNumberFormat="1"/>
    <xf numFmtId="0" fontId="17" fillId="0" borderId="2" xfId="0" applyFont="1" applyBorder="1" applyAlignment="1">
      <alignment horizontal="center" vertical="center"/>
    </xf>
    <xf numFmtId="0" fontId="3" fillId="0" borderId="0" xfId="0" applyFont="1" applyAlignment="1">
      <alignment horizontal="center" vertical="center" wrapText="1"/>
    </xf>
    <xf numFmtId="0" fontId="2" fillId="3" borderId="10" xfId="0" applyFont="1" applyFill="1" applyBorder="1" applyAlignment="1">
      <alignment vertical="center" textRotation="90" wrapText="1"/>
    </xf>
    <xf numFmtId="0" fontId="2" fillId="3" borderId="12" xfId="0" applyFont="1" applyFill="1" applyBorder="1" applyAlignment="1">
      <alignment vertical="center" textRotation="90" wrapText="1"/>
    </xf>
    <xf numFmtId="0" fontId="6" fillId="6" borderId="7" xfId="0" applyFont="1" applyFill="1" applyBorder="1" applyAlignment="1">
      <alignment horizontal="left" vertical="center"/>
    </xf>
    <xf numFmtId="0" fontId="2" fillId="7" borderId="0" xfId="0" applyFont="1" applyFill="1" applyAlignment="1">
      <alignment horizontal="justify" vertical="center" wrapText="1"/>
    </xf>
    <xf numFmtId="165" fontId="2" fillId="7" borderId="0" xfId="0" applyNumberFormat="1" applyFont="1" applyFill="1" applyAlignment="1">
      <alignment horizontal="center" vertical="center"/>
    </xf>
    <xf numFmtId="168" fontId="2" fillId="7" borderId="0" xfId="0" applyNumberFormat="1" applyFont="1" applyFill="1" applyAlignment="1">
      <alignment horizontal="center" vertical="center"/>
    </xf>
    <xf numFmtId="0" fontId="3" fillId="2" borderId="5" xfId="0" applyFont="1" applyFill="1" applyBorder="1"/>
    <xf numFmtId="0" fontId="3" fillId="2" borderId="5" xfId="0" applyFont="1" applyFill="1" applyBorder="1" applyAlignment="1">
      <alignment vertical="center" wrapText="1"/>
    </xf>
    <xf numFmtId="3" fontId="3" fillId="2" borderId="9" xfId="0" applyNumberFormat="1" applyFont="1" applyFill="1" applyBorder="1" applyAlignment="1">
      <alignment horizontal="center" vertical="center" wrapText="1"/>
    </xf>
    <xf numFmtId="0" fontId="3" fillId="2" borderId="0" xfId="0" applyFont="1" applyFill="1" applyAlignment="1">
      <alignment vertical="center" wrapText="1"/>
    </xf>
    <xf numFmtId="3" fontId="3" fillId="2" borderId="17" xfId="0" applyNumberFormat="1" applyFont="1" applyFill="1" applyBorder="1" applyAlignment="1">
      <alignment horizontal="center" vertical="center" wrapText="1"/>
    </xf>
    <xf numFmtId="4" fontId="9" fillId="0" borderId="18" xfId="0" applyNumberFormat="1" applyFont="1" applyFill="1" applyBorder="1" applyAlignment="1">
      <alignment horizontal="right" vertical="center"/>
    </xf>
    <xf numFmtId="172" fontId="9" fillId="2" borderId="18" xfId="0" applyNumberFormat="1" applyFont="1" applyFill="1" applyBorder="1" applyAlignment="1">
      <alignment horizontal="center" vertical="center"/>
    </xf>
    <xf numFmtId="4" fontId="9" fillId="0" borderId="2" xfId="0" applyNumberFormat="1" applyFont="1" applyFill="1" applyBorder="1" applyAlignment="1">
      <alignment horizontal="right" vertical="center"/>
    </xf>
    <xf numFmtId="172" fontId="9" fillId="0" borderId="2" xfId="0" applyNumberFormat="1" applyFont="1" applyFill="1" applyBorder="1" applyAlignment="1">
      <alignment vertical="center"/>
    </xf>
    <xf numFmtId="4" fontId="9" fillId="0" borderId="9" xfId="0" applyNumberFormat="1" applyFont="1" applyFill="1" applyBorder="1" applyAlignment="1">
      <alignment horizontal="right" vertical="center"/>
    </xf>
    <xf numFmtId="172" fontId="9" fillId="2" borderId="9" xfId="0" applyNumberFormat="1" applyFont="1" applyFill="1" applyBorder="1" applyAlignment="1">
      <alignment vertical="center"/>
    </xf>
    <xf numFmtId="3" fontId="3" fillId="2" borderId="18" xfId="0" applyNumberFormat="1" applyFont="1" applyFill="1" applyBorder="1" applyAlignment="1">
      <alignment horizontal="center" vertical="center" wrapText="1"/>
    </xf>
    <xf numFmtId="4" fontId="9" fillId="0" borderId="20" xfId="0" applyNumberFormat="1" applyFont="1" applyFill="1" applyBorder="1" applyAlignment="1">
      <alignment horizontal="right" vertical="center"/>
    </xf>
    <xf numFmtId="172" fontId="9" fillId="0" borderId="20" xfId="0" applyNumberFormat="1" applyFont="1" applyFill="1" applyBorder="1" applyAlignment="1">
      <alignment vertical="center"/>
    </xf>
    <xf numFmtId="0" fontId="9" fillId="0" borderId="21" xfId="5" applyNumberFormat="1" applyFont="1" applyFill="1" applyBorder="1">
      <alignment horizontal="center" vertical="center" wrapText="1"/>
    </xf>
    <xf numFmtId="2" fontId="9" fillId="0" borderId="21" xfId="0" applyNumberFormat="1" applyFont="1" applyBorder="1" applyAlignment="1">
      <alignment horizontal="center" vertical="center" wrapText="1"/>
    </xf>
    <xf numFmtId="9" fontId="3" fillId="0" borderId="42" xfId="2" applyFont="1" applyFill="1" applyBorder="1" applyAlignment="1">
      <alignment horizontal="center" vertical="center" wrapText="1"/>
    </xf>
    <xf numFmtId="4" fontId="9" fillId="0" borderId="21" xfId="0" applyNumberFormat="1" applyFont="1" applyFill="1" applyBorder="1" applyAlignment="1">
      <alignment horizontal="right" vertical="center"/>
    </xf>
    <xf numFmtId="172" fontId="9" fillId="0" borderId="27" xfId="0" applyNumberFormat="1" applyFont="1" applyFill="1" applyBorder="1" applyAlignment="1">
      <alignment vertical="center"/>
    </xf>
    <xf numFmtId="4" fontId="9" fillId="0" borderId="44" xfId="0" applyNumberFormat="1" applyFont="1" applyFill="1" applyBorder="1" applyAlignment="1">
      <alignment horizontal="right" vertical="center"/>
    </xf>
    <xf numFmtId="172" fontId="9" fillId="0" borderId="23" xfId="0" applyNumberFormat="1" applyFont="1" applyFill="1" applyBorder="1" applyAlignment="1">
      <alignment horizontal="center" vertical="center"/>
    </xf>
    <xf numFmtId="172" fontId="9" fillId="0" borderId="21" xfId="0" applyNumberFormat="1" applyFont="1" applyFill="1" applyBorder="1" applyAlignment="1">
      <alignment vertical="center"/>
    </xf>
    <xf numFmtId="0" fontId="3" fillId="0" borderId="21"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27" xfId="0" applyFont="1" applyFill="1" applyBorder="1" applyAlignment="1">
      <alignment horizontal="center" vertical="center" wrapText="1"/>
    </xf>
    <xf numFmtId="0" fontId="3" fillId="0" borderId="4" xfId="0" applyFont="1" applyBorder="1" applyAlignment="1">
      <alignment horizontal="justify" vertical="center" wrapText="1"/>
    </xf>
    <xf numFmtId="4" fontId="9" fillId="0" borderId="33" xfId="0" applyNumberFormat="1" applyFont="1" applyFill="1" applyBorder="1" applyAlignment="1">
      <alignment horizontal="right" vertical="center"/>
    </xf>
    <xf numFmtId="172" fontId="9" fillId="0" borderId="20" xfId="0" applyNumberFormat="1" applyFont="1" applyFill="1" applyBorder="1" applyAlignment="1">
      <alignment horizontal="center" vertical="center"/>
    </xf>
    <xf numFmtId="1" fontId="3" fillId="0" borderId="33" xfId="0" applyNumberFormat="1" applyFont="1" applyFill="1" applyBorder="1" applyAlignment="1">
      <alignment horizontal="center" vertical="center" wrapText="1"/>
    </xf>
    <xf numFmtId="4" fontId="9" fillId="0" borderId="42" xfId="0" applyNumberFormat="1" applyFont="1" applyFill="1" applyBorder="1" applyAlignment="1">
      <alignment horizontal="right" vertical="center"/>
    </xf>
    <xf numFmtId="172" fontId="9" fillId="0" borderId="21" xfId="0" applyNumberFormat="1" applyFont="1" applyFill="1" applyBorder="1" applyAlignment="1">
      <alignment horizontal="center" vertical="center"/>
    </xf>
    <xf numFmtId="1" fontId="3" fillId="0" borderId="57" xfId="0" applyNumberFormat="1" applyFont="1" applyFill="1" applyBorder="1" applyAlignment="1">
      <alignment horizontal="center" vertical="center" wrapText="1"/>
    </xf>
    <xf numFmtId="9" fontId="3" fillId="0" borderId="21" xfId="2" applyFont="1" applyFill="1" applyBorder="1" applyAlignment="1">
      <alignment horizontal="center" vertical="center" wrapText="1"/>
    </xf>
    <xf numFmtId="4" fontId="9" fillId="0" borderId="10" xfId="0" applyNumberFormat="1" applyFont="1" applyFill="1" applyBorder="1" applyAlignment="1">
      <alignment horizontal="right" vertical="center"/>
    </xf>
    <xf numFmtId="1" fontId="3" fillId="0" borderId="45" xfId="0" applyNumberFormat="1" applyFont="1" applyFill="1" applyBorder="1" applyAlignment="1">
      <alignment horizontal="center" vertical="center" wrapText="1"/>
    </xf>
    <xf numFmtId="4" fontId="9" fillId="0" borderId="27" xfId="0" applyNumberFormat="1" applyFont="1" applyFill="1" applyBorder="1" applyAlignment="1">
      <alignment horizontal="right" vertical="center"/>
    </xf>
    <xf numFmtId="1" fontId="3" fillId="0" borderId="20" xfId="0" applyNumberFormat="1" applyFont="1" applyFill="1" applyBorder="1" applyAlignment="1">
      <alignment horizontal="center" vertical="center" wrapText="1"/>
    </xf>
    <xf numFmtId="0" fontId="3" fillId="0" borderId="33" xfId="0" applyFont="1" applyBorder="1" applyAlignment="1">
      <alignment horizontal="justify" vertical="center" wrapText="1"/>
    </xf>
    <xf numFmtId="4" fontId="9" fillId="0" borderId="29" xfId="0" applyNumberFormat="1" applyFont="1" applyFill="1" applyBorder="1" applyAlignment="1">
      <alignment horizontal="right" vertical="center"/>
    </xf>
    <xf numFmtId="1" fontId="3" fillId="0" borderId="27" xfId="0" applyNumberFormat="1" applyFont="1" applyFill="1" applyBorder="1" applyAlignment="1">
      <alignment horizontal="center" vertical="center" wrapText="1"/>
    </xf>
    <xf numFmtId="1" fontId="3" fillId="0" borderId="21" xfId="0" applyNumberFormat="1" applyFont="1" applyFill="1" applyBorder="1" applyAlignment="1">
      <alignment horizontal="center" vertical="center" wrapText="1"/>
    </xf>
    <xf numFmtId="4" fontId="9" fillId="0" borderId="76" xfId="0" applyNumberFormat="1" applyFont="1" applyFill="1" applyBorder="1" applyAlignment="1">
      <alignment horizontal="right" vertical="center"/>
    </xf>
    <xf numFmtId="0" fontId="9" fillId="0" borderId="57" xfId="0" applyFont="1" applyBorder="1" applyAlignment="1">
      <alignment horizontal="justify" vertical="center" wrapText="1"/>
    </xf>
    <xf numFmtId="172" fontId="9" fillId="0" borderId="22" xfId="0" applyNumberFormat="1" applyFont="1" applyFill="1" applyBorder="1" applyAlignment="1">
      <alignment vertical="center"/>
    </xf>
    <xf numFmtId="1" fontId="3" fillId="0" borderId="23" xfId="0" applyNumberFormat="1" applyFont="1" applyFill="1" applyBorder="1" applyAlignment="1">
      <alignment horizontal="center" vertical="center" wrapText="1"/>
    </xf>
    <xf numFmtId="0" fontId="9" fillId="7" borderId="0" xfId="0" applyFont="1" applyFill="1" applyAlignment="1">
      <alignment horizontal="center" vertical="center"/>
    </xf>
    <xf numFmtId="180" fontId="2" fillId="7" borderId="0" xfId="6" applyNumberFormat="1" applyFont="1" applyFill="1" applyAlignment="1">
      <alignment vertical="center"/>
    </xf>
    <xf numFmtId="0" fontId="2" fillId="7" borderId="77" xfId="0" applyFont="1" applyFill="1" applyBorder="1" applyAlignment="1">
      <alignment horizontal="justify" vertical="center" wrapText="1"/>
    </xf>
    <xf numFmtId="4" fontId="2" fillId="7" borderId="0" xfId="0" applyNumberFormat="1" applyFont="1" applyFill="1" applyAlignment="1">
      <alignment horizontal="right" vertical="center"/>
    </xf>
    <xf numFmtId="0" fontId="2" fillId="7" borderId="5" xfId="0" applyFont="1" applyFill="1" applyBorder="1" applyAlignment="1">
      <alignment horizontal="center" vertical="center"/>
    </xf>
    <xf numFmtId="9" fontId="2" fillId="7" borderId="5" xfId="2" applyFont="1" applyFill="1" applyBorder="1" applyAlignment="1">
      <alignment horizontal="center" vertical="center"/>
    </xf>
    <xf numFmtId="168" fontId="2" fillId="7" borderId="5" xfId="0" applyNumberFormat="1" applyFont="1" applyFill="1" applyBorder="1" applyAlignment="1">
      <alignment horizontal="center" vertical="center"/>
    </xf>
    <xf numFmtId="0" fontId="2" fillId="7" borderId="7" xfId="0" applyFont="1" applyFill="1" applyBorder="1" applyAlignment="1">
      <alignment horizontal="justify" vertical="center" wrapText="1"/>
    </xf>
    <xf numFmtId="1" fontId="2" fillId="0" borderId="16" xfId="0" applyNumberFormat="1" applyFont="1" applyBorder="1" applyAlignment="1">
      <alignment horizontal="center" vertical="center" wrapText="1"/>
    </xf>
    <xf numFmtId="172" fontId="9" fillId="0" borderId="20" xfId="0" applyNumberFormat="1" applyFont="1" applyFill="1" applyBorder="1" applyAlignment="1">
      <alignment horizontal="right" vertical="center"/>
    </xf>
    <xf numFmtId="1" fontId="9" fillId="0" borderId="20" xfId="0" applyNumberFormat="1" applyFont="1" applyFill="1" applyBorder="1" applyAlignment="1">
      <alignment horizontal="center" vertical="center" wrapText="1"/>
    </xf>
    <xf numFmtId="0" fontId="3" fillId="0" borderId="0" xfId="0" applyFont="1" applyAlignment="1">
      <alignment vertical="center" wrapText="1"/>
    </xf>
    <xf numFmtId="0" fontId="3" fillId="0" borderId="18" xfId="0" applyFont="1" applyBorder="1" applyAlignment="1">
      <alignment horizontal="center"/>
    </xf>
    <xf numFmtId="180" fontId="6" fillId="0" borderId="18" xfId="6" applyNumberFormat="1" applyFont="1" applyBorder="1" applyAlignment="1">
      <alignment vertical="center"/>
    </xf>
    <xf numFmtId="172" fontId="6" fillId="0" borderId="18" xfId="0" applyNumberFormat="1" applyFont="1" applyBorder="1" applyAlignment="1">
      <alignment vertical="center"/>
    </xf>
    <xf numFmtId="168" fontId="3" fillId="0" borderId="18" xfId="0" applyNumberFormat="1" applyFont="1" applyBorder="1" applyAlignment="1">
      <alignment horizontal="center"/>
    </xf>
    <xf numFmtId="0" fontId="3" fillId="0" borderId="18" xfId="0" applyFont="1" applyBorder="1" applyAlignment="1">
      <alignment horizontal="justify" vertical="center"/>
    </xf>
    <xf numFmtId="172" fontId="6" fillId="0" borderId="0" xfId="0" applyNumberFormat="1" applyFont="1" applyAlignment="1">
      <alignment vertical="center"/>
    </xf>
    <xf numFmtId="165" fontId="3" fillId="0" borderId="0" xfId="0" applyNumberFormat="1" applyFont="1" applyAlignment="1">
      <alignment horizontal="center" vertical="center"/>
    </xf>
    <xf numFmtId="166" fontId="3" fillId="0" borderId="0" xfId="0" applyNumberFormat="1" applyFont="1" applyAlignment="1">
      <alignment vertical="center"/>
    </xf>
    <xf numFmtId="166" fontId="3" fillId="0" borderId="0" xfId="0" applyNumberFormat="1" applyFont="1" applyAlignment="1">
      <alignment horizontal="center" vertical="center"/>
    </xf>
    <xf numFmtId="1" fontId="3" fillId="0" borderId="0" xfId="0" applyNumberFormat="1" applyFont="1" applyAlignment="1">
      <alignment horizontal="center" vertical="center"/>
    </xf>
    <xf numFmtId="0" fontId="3" fillId="0" borderId="0" xfId="0" applyFont="1" applyAlignment="1">
      <alignment horizontal="center" vertical="center"/>
    </xf>
    <xf numFmtId="0" fontId="2" fillId="0" borderId="5" xfId="0" applyFont="1" applyBorder="1"/>
    <xf numFmtId="0" fontId="3" fillId="2" borderId="5" xfId="0" applyFont="1" applyFill="1" applyBorder="1" applyAlignment="1">
      <alignment horizontal="justify" vertical="center"/>
    </xf>
    <xf numFmtId="0" fontId="3" fillId="0" borderId="5" xfId="0" applyFont="1" applyBorder="1" applyAlignment="1">
      <alignment horizontal="center"/>
    </xf>
    <xf numFmtId="168" fontId="18" fillId="0" borderId="0" xfId="0" applyNumberFormat="1" applyFont="1" applyAlignment="1">
      <alignment horizontal="center" vertical="center"/>
    </xf>
    <xf numFmtId="0" fontId="18" fillId="0" borderId="0" xfId="0" applyFont="1" applyAlignment="1">
      <alignment horizontal="center"/>
    </xf>
    <xf numFmtId="178" fontId="0" fillId="0" borderId="0" xfId="0" applyNumberFormat="1"/>
    <xf numFmtId="43" fontId="6" fillId="0" borderId="3" xfId="0" applyNumberFormat="1" applyFont="1" applyBorder="1" applyAlignment="1">
      <alignment horizontal="center" vertical="center"/>
    </xf>
    <xf numFmtId="1" fontId="2" fillId="3" borderId="3" xfId="0" applyNumberFormat="1" applyFont="1" applyFill="1" applyBorder="1" applyAlignment="1">
      <alignment horizontal="center" vertical="center" wrapText="1"/>
    </xf>
    <xf numFmtId="1" fontId="9" fillId="6" borderId="11" xfId="0" applyNumberFormat="1" applyFont="1" applyFill="1" applyBorder="1" applyAlignment="1">
      <alignment horizontal="center" vertical="center"/>
    </xf>
    <xf numFmtId="0" fontId="6" fillId="7" borderId="5" xfId="0" applyFont="1" applyFill="1" applyBorder="1" applyAlignment="1">
      <alignment vertical="center" wrapText="1"/>
    </xf>
    <xf numFmtId="1" fontId="6" fillId="7" borderId="5" xfId="0" applyNumberFormat="1" applyFont="1" applyFill="1" applyBorder="1" applyAlignment="1">
      <alignment horizontal="center" vertical="center" wrapText="1"/>
    </xf>
    <xf numFmtId="172" fontId="6" fillId="7" borderId="5" xfId="7" applyFont="1" applyFill="1" applyBorder="1" applyAlignment="1">
      <alignment horizontal="justify" vertical="center"/>
    </xf>
    <xf numFmtId="172" fontId="6" fillId="7" borderId="5" xfId="7" applyFont="1" applyFill="1" applyBorder="1" applyAlignment="1">
      <alignment horizontal="center" vertical="center"/>
    </xf>
    <xf numFmtId="172" fontId="6" fillId="7" borderId="5" xfId="7" applyFont="1" applyFill="1" applyBorder="1" applyAlignment="1">
      <alignment horizontal="justify" vertical="center" wrapText="1"/>
    </xf>
    <xf numFmtId="172" fontId="9" fillId="7" borderId="5" xfId="7" applyFont="1" applyFill="1" applyBorder="1" applyAlignment="1">
      <alignment horizontal="center" vertical="center"/>
    </xf>
    <xf numFmtId="0" fontId="6" fillId="2" borderId="16"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0" xfId="0" applyFont="1" applyFill="1" applyBorder="1" applyAlignment="1">
      <alignment horizontal="justify" vertical="center" wrapText="1"/>
    </xf>
    <xf numFmtId="1" fontId="21" fillId="2" borderId="34" xfId="0" applyNumberFormat="1" applyFont="1" applyFill="1" applyBorder="1" applyAlignment="1">
      <alignment horizontal="center" vertical="center"/>
    </xf>
    <xf numFmtId="171" fontId="9" fillId="2" borderId="2" xfId="6" applyFont="1" applyFill="1" applyBorder="1" applyAlignment="1">
      <alignment horizontal="center" vertical="center" wrapText="1"/>
    </xf>
    <xf numFmtId="49" fontId="3" fillId="2" borderId="2" xfId="0" applyNumberFormat="1" applyFont="1" applyFill="1" applyBorder="1" applyAlignment="1">
      <alignment horizontal="center" vertical="center"/>
    </xf>
    <xf numFmtId="172" fontId="9" fillId="2" borderId="2" xfId="7" applyFont="1" applyFill="1" applyBorder="1" applyAlignment="1">
      <alignment horizontal="justify" vertical="center"/>
    </xf>
    <xf numFmtId="172" fontId="9" fillId="2" borderId="2" xfId="7" applyFont="1" applyFill="1" applyBorder="1" applyAlignment="1">
      <alignment horizontal="center" vertical="center"/>
    </xf>
    <xf numFmtId="0" fontId="0" fillId="2" borderId="0" xfId="0" applyFill="1"/>
    <xf numFmtId="1" fontId="3" fillId="2" borderId="16" xfId="0" applyNumberFormat="1" applyFont="1" applyFill="1" applyBorder="1"/>
    <xf numFmtId="0" fontId="3" fillId="2" borderId="16" xfId="0" applyFont="1" applyFill="1" applyBorder="1"/>
    <xf numFmtId="0" fontId="3" fillId="2" borderId="1" xfId="0" applyFont="1" applyFill="1" applyBorder="1"/>
    <xf numFmtId="171" fontId="3" fillId="2" borderId="2" xfId="6" applyFont="1" applyFill="1" applyBorder="1" applyAlignment="1">
      <alignment horizontal="center" vertical="center"/>
    </xf>
    <xf numFmtId="0" fontId="40" fillId="2" borderId="2" xfId="0" applyFont="1" applyFill="1" applyBorder="1" applyAlignment="1">
      <alignment horizontal="justify" vertical="center" wrapText="1"/>
    </xf>
    <xf numFmtId="0" fontId="40"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40" fillId="15" borderId="34" xfId="0" applyFont="1" applyFill="1" applyBorder="1" applyAlignment="1">
      <alignment horizontal="center" vertical="center" wrapText="1"/>
    </xf>
    <xf numFmtId="0" fontId="40" fillId="2" borderId="27" xfId="0" applyFont="1" applyFill="1" applyBorder="1" applyAlignment="1">
      <alignment horizontal="justify" vertical="center" wrapText="1"/>
    </xf>
    <xf numFmtId="171" fontId="3" fillId="2" borderId="27" xfId="6" applyFont="1" applyFill="1" applyBorder="1" applyAlignment="1">
      <alignment horizontal="center" vertical="center"/>
    </xf>
    <xf numFmtId="171" fontId="9" fillId="2" borderId="4" xfId="6" applyFont="1" applyFill="1" applyBorder="1" applyAlignment="1">
      <alignment horizontal="center" vertical="center" wrapText="1"/>
    </xf>
    <xf numFmtId="0" fontId="40" fillId="2" borderId="78" xfId="0" applyFont="1" applyFill="1" applyBorder="1" applyAlignment="1">
      <alignment horizontal="justify" vertical="center" wrapText="1"/>
    </xf>
    <xf numFmtId="0" fontId="40" fillId="2" borderId="78" xfId="0" applyFont="1" applyFill="1" applyBorder="1" applyAlignment="1">
      <alignment horizontal="center" vertical="center" wrapText="1"/>
    </xf>
    <xf numFmtId="171" fontId="3" fillId="2" borderId="20" xfId="6" applyFont="1" applyFill="1" applyBorder="1" applyAlignment="1">
      <alignment horizontal="center" vertical="center"/>
    </xf>
    <xf numFmtId="172" fontId="9" fillId="2" borderId="2" xfId="11" applyFont="1" applyFill="1" applyBorder="1" applyAlignment="1" applyProtection="1">
      <alignment horizontal="right" vertical="center"/>
      <protection locked="0"/>
    </xf>
    <xf numFmtId="0" fontId="40" fillId="2" borderId="16" xfId="0" applyFont="1" applyFill="1" applyBorder="1" applyAlignment="1">
      <alignment horizontal="justify" wrapText="1"/>
    </xf>
    <xf numFmtId="0" fontId="40" fillId="2" borderId="16" xfId="0" applyFont="1" applyFill="1" applyBorder="1" applyAlignment="1">
      <alignment horizontal="center" wrapText="1"/>
    </xf>
    <xf numFmtId="171" fontId="9" fillId="2" borderId="20" xfId="6" applyFont="1" applyFill="1" applyBorder="1" applyAlignment="1">
      <alignment horizontal="center" vertical="center" wrapText="1"/>
    </xf>
    <xf numFmtId="171" fontId="9" fillId="2" borderId="12" xfId="6" applyFont="1" applyFill="1" applyBorder="1" applyAlignment="1">
      <alignment horizontal="center" vertical="center" wrapText="1"/>
    </xf>
    <xf numFmtId="0" fontId="3" fillId="2" borderId="10" xfId="0" applyFont="1" applyFill="1" applyBorder="1" applyAlignment="1">
      <alignment horizontal="center" vertical="center" wrapText="1"/>
    </xf>
    <xf numFmtId="171" fontId="3" fillId="2" borderId="2" xfId="6" applyFont="1" applyFill="1" applyBorder="1" applyAlignment="1">
      <alignment vertical="center"/>
    </xf>
    <xf numFmtId="171" fontId="9" fillId="2" borderId="2" xfId="6" applyFont="1" applyFill="1" applyBorder="1" applyAlignment="1" applyProtection="1">
      <alignment horizontal="right" vertical="center"/>
      <protection locked="0"/>
    </xf>
    <xf numFmtId="0" fontId="3" fillId="2" borderId="2" xfId="7" applyNumberFormat="1" applyFont="1" applyFill="1" applyBorder="1" applyAlignment="1">
      <alignment horizontal="center" vertical="center"/>
    </xf>
    <xf numFmtId="0" fontId="9" fillId="2" borderId="2" xfId="0" applyFont="1" applyFill="1" applyBorder="1" applyAlignment="1" applyProtection="1">
      <alignment horizontal="justify" vertical="center" wrapText="1"/>
    </xf>
    <xf numFmtId="0" fontId="9" fillId="2" borderId="2" xfId="0" applyFont="1" applyFill="1" applyBorder="1" applyAlignment="1" applyProtection="1">
      <alignment horizontal="center" vertical="center" wrapText="1"/>
    </xf>
    <xf numFmtId="0" fontId="3" fillId="0" borderId="2" xfId="7" applyNumberFormat="1" applyFont="1" applyFill="1" applyBorder="1" applyAlignment="1">
      <alignment horizontal="center" vertical="center"/>
    </xf>
    <xf numFmtId="0" fontId="9" fillId="0" borderId="2" xfId="0" applyFont="1" applyFill="1" applyBorder="1" applyAlignment="1" applyProtection="1">
      <alignment horizontal="justify" vertical="center" wrapText="1"/>
    </xf>
    <xf numFmtId="0" fontId="9" fillId="0" borderId="2" xfId="0" applyFont="1" applyFill="1" applyBorder="1" applyAlignment="1" applyProtection="1">
      <alignment horizontal="center" vertical="center" wrapText="1"/>
    </xf>
    <xf numFmtId="171" fontId="9" fillId="2" borderId="2" xfId="6" applyFont="1" applyFill="1" applyBorder="1" applyAlignment="1">
      <alignment vertical="center"/>
    </xf>
    <xf numFmtId="171" fontId="9" fillId="2" borderId="2" xfId="6" applyFont="1" applyFill="1" applyBorder="1" applyAlignment="1">
      <alignment horizontal="justify" vertical="center"/>
    </xf>
    <xf numFmtId="0" fontId="3" fillId="0" borderId="4" xfId="0" applyFont="1" applyFill="1" applyBorder="1" applyAlignment="1">
      <alignment horizontal="center" vertical="center"/>
    </xf>
    <xf numFmtId="9" fontId="3" fillId="0" borderId="23" xfId="2" applyNumberFormat="1" applyFont="1" applyFill="1" applyBorder="1" applyAlignment="1">
      <alignment horizontal="center" vertical="center"/>
    </xf>
    <xf numFmtId="171" fontId="9" fillId="2" borderId="12" xfId="6" applyFont="1" applyFill="1" applyBorder="1" applyAlignment="1">
      <alignment horizontal="center" vertical="center"/>
    </xf>
    <xf numFmtId="49" fontId="3" fillId="0" borderId="2" xfId="0" applyNumberFormat="1" applyFont="1" applyFill="1" applyBorder="1" applyAlignment="1">
      <alignment horizontal="center" vertical="center"/>
    </xf>
    <xf numFmtId="172" fontId="3" fillId="0" borderId="10" xfId="7" applyFont="1" applyFill="1" applyBorder="1" applyAlignment="1">
      <alignment horizontal="justify" vertical="center" wrapText="1"/>
    </xf>
    <xf numFmtId="172" fontId="3" fillId="0" borderId="10" xfId="7" applyFont="1" applyFill="1" applyBorder="1" applyAlignment="1">
      <alignment horizontal="center" vertical="center" wrapText="1"/>
    </xf>
    <xf numFmtId="0" fontId="0" fillId="6" borderId="0" xfId="0" applyFill="1"/>
    <xf numFmtId="0" fontId="9" fillId="0" borderId="1" xfId="0" applyFont="1" applyFill="1" applyBorder="1" applyAlignment="1">
      <alignment horizontal="justify" vertical="center" wrapText="1"/>
    </xf>
    <xf numFmtId="1" fontId="3" fillId="0" borderId="0" xfId="0" applyNumberFormat="1" applyFont="1" applyFill="1" applyBorder="1" applyAlignment="1">
      <alignment horizontal="center" vertical="center" wrapText="1"/>
    </xf>
    <xf numFmtId="0" fontId="40" fillId="0" borderId="10" xfId="0" applyFont="1" applyFill="1" applyBorder="1" applyAlignment="1">
      <alignment horizontal="justify" vertical="center" wrapText="1"/>
    </xf>
    <xf numFmtId="0" fontId="40" fillId="0" borderId="10" xfId="0" applyFont="1" applyFill="1" applyBorder="1" applyAlignment="1">
      <alignment horizontal="center" vertical="center" wrapText="1"/>
    </xf>
    <xf numFmtId="172" fontId="3" fillId="0" borderId="2" xfId="7" applyFont="1" applyFill="1" applyBorder="1" applyAlignment="1">
      <alignment horizontal="center" vertical="center"/>
    </xf>
    <xf numFmtId="0" fontId="9" fillId="0" borderId="0" xfId="0" applyFont="1" applyFill="1" applyAlignment="1" applyProtection="1">
      <alignment horizontal="justify" vertical="center"/>
      <protection locked="0"/>
    </xf>
    <xf numFmtId="0" fontId="9" fillId="0" borderId="0" xfId="0" applyFont="1" applyFill="1" applyAlignment="1" applyProtection="1">
      <alignment horizontal="center" vertical="center"/>
      <protection locked="0"/>
    </xf>
    <xf numFmtId="9" fontId="3" fillId="2" borderId="2" xfId="2" applyFont="1" applyFill="1" applyBorder="1" applyAlignment="1">
      <alignment horizontal="center" vertical="center"/>
    </xf>
    <xf numFmtId="0" fontId="3" fillId="2" borderId="2" xfId="17" applyFont="1" applyFill="1" applyBorder="1" applyAlignment="1">
      <alignment horizontal="justify" vertical="center" wrapText="1"/>
    </xf>
    <xf numFmtId="0" fontId="3" fillId="2" borderId="2" xfId="17" applyFont="1" applyFill="1" applyBorder="1" applyAlignment="1">
      <alignment horizontal="center" vertical="center" wrapText="1"/>
    </xf>
    <xf numFmtId="0" fontId="9" fillId="2" borderId="2" xfId="17" applyFont="1" applyFill="1" applyBorder="1" applyAlignment="1">
      <alignment horizontal="justify" vertical="center" wrapText="1"/>
    </xf>
    <xf numFmtId="0" fontId="9" fillId="2" borderId="2" xfId="17" applyFont="1" applyFill="1" applyBorder="1" applyAlignment="1">
      <alignment horizontal="center" vertical="center" wrapText="1"/>
    </xf>
    <xf numFmtId="4" fontId="3" fillId="2" borderId="2" xfId="7" applyNumberFormat="1" applyFont="1" applyFill="1" applyBorder="1" applyAlignment="1">
      <alignment vertical="center"/>
    </xf>
    <xf numFmtId="4" fontId="3" fillId="2" borderId="2" xfId="3" applyNumberFormat="1" applyFont="1" applyFill="1" applyBorder="1" applyAlignment="1">
      <alignment vertical="center"/>
    </xf>
    <xf numFmtId="0" fontId="6" fillId="7" borderId="0" xfId="0" applyFont="1" applyFill="1" applyBorder="1" applyAlignment="1">
      <alignment horizontal="left" vertical="center" wrapText="1"/>
    </xf>
    <xf numFmtId="0" fontId="6" fillId="7" borderId="0" xfId="0" applyFont="1" applyFill="1" applyBorder="1" applyAlignment="1">
      <alignment horizontal="left" vertical="center"/>
    </xf>
    <xf numFmtId="0" fontId="6" fillId="7" borderId="0" xfId="0" applyFont="1" applyFill="1" applyBorder="1" applyAlignment="1">
      <alignment horizontal="justify" vertical="center" wrapText="1"/>
    </xf>
    <xf numFmtId="0" fontId="9" fillId="7" borderId="0" xfId="0" applyFont="1" applyFill="1" applyBorder="1" applyAlignment="1">
      <alignment horizontal="center" vertical="center"/>
    </xf>
    <xf numFmtId="1" fontId="6" fillId="7" borderId="0" xfId="0" applyNumberFormat="1" applyFont="1" applyFill="1" applyBorder="1" applyAlignment="1">
      <alignment horizontal="center" vertical="center" wrapText="1"/>
    </xf>
    <xf numFmtId="172" fontId="6" fillId="7" borderId="0" xfId="7" applyFont="1" applyFill="1" applyBorder="1" applyAlignment="1">
      <alignment horizontal="justify" vertical="center" wrapText="1"/>
    </xf>
    <xf numFmtId="9" fontId="6" fillId="7" borderId="0" xfId="2" applyFont="1" applyFill="1" applyBorder="1" applyAlignment="1">
      <alignment horizontal="center" vertical="center"/>
    </xf>
    <xf numFmtId="180" fontId="6" fillId="7" borderId="0" xfId="6" applyNumberFormat="1" applyFont="1" applyFill="1" applyBorder="1" applyAlignment="1">
      <alignment horizontal="center" vertical="center"/>
    </xf>
    <xf numFmtId="171" fontId="6" fillId="7" borderId="5" xfId="6" applyFont="1" applyFill="1" applyBorder="1" applyAlignment="1">
      <alignment horizontal="justify" vertical="center" wrapText="1"/>
    </xf>
    <xf numFmtId="49" fontId="6" fillId="7" borderId="5" xfId="7" applyNumberFormat="1" applyFont="1" applyFill="1" applyBorder="1" applyAlignment="1">
      <alignment horizontal="center" vertical="center"/>
    </xf>
    <xf numFmtId="172" fontId="9" fillId="7" borderId="5" xfId="7" applyFont="1" applyFill="1" applyBorder="1" applyAlignment="1">
      <alignment horizontal="justify" vertical="center" wrapText="1"/>
    </xf>
    <xf numFmtId="9" fontId="6" fillId="7" borderId="5" xfId="7" applyNumberFormat="1" applyFont="1" applyFill="1" applyBorder="1" applyAlignment="1">
      <alignment horizontal="center" vertical="center"/>
    </xf>
    <xf numFmtId="172" fontId="9" fillId="2" borderId="20" xfId="7" applyFont="1" applyFill="1" applyBorder="1" applyAlignment="1">
      <alignment horizontal="center" vertical="center"/>
    </xf>
    <xf numFmtId="0" fontId="3" fillId="2" borderId="2" xfId="17" applyFont="1" applyFill="1" applyBorder="1" applyAlignment="1">
      <alignment horizontal="justify" vertical="center"/>
    </xf>
    <xf numFmtId="0" fontId="3" fillId="2" borderId="2" xfId="17" applyFont="1" applyFill="1" applyBorder="1" applyAlignment="1">
      <alignment horizontal="center" vertical="center"/>
    </xf>
    <xf numFmtId="4" fontId="3" fillId="2" borderId="2" xfId="17" applyNumberFormat="1" applyFont="1" applyFill="1" applyBorder="1" applyAlignment="1">
      <alignment horizontal="justify" vertical="center" wrapText="1"/>
    </xf>
    <xf numFmtId="4" fontId="3" fillId="2" borderId="2" xfId="17" applyNumberFormat="1" applyFont="1" applyFill="1" applyBorder="1" applyAlignment="1">
      <alignment horizontal="center" vertical="center" wrapText="1"/>
    </xf>
    <xf numFmtId="171" fontId="9" fillId="2" borderId="20" xfId="6" applyFont="1" applyFill="1" applyBorder="1" applyAlignment="1">
      <alignment horizontal="center" vertical="center"/>
    </xf>
    <xf numFmtId="3" fontId="3" fillId="2" borderId="2" xfId="17" applyNumberFormat="1" applyFont="1" applyFill="1" applyBorder="1" applyAlignment="1">
      <alignment horizontal="justify" vertical="center" wrapText="1"/>
    </xf>
    <xf numFmtId="3" fontId="3" fillId="2" borderId="2" xfId="17" applyNumberFormat="1" applyFont="1" applyFill="1" applyBorder="1" applyAlignment="1">
      <alignment horizontal="center" vertical="center" wrapText="1"/>
    </xf>
    <xf numFmtId="1" fontId="3" fillId="2" borderId="16" xfId="0" applyNumberFormat="1" applyFont="1" applyFill="1" applyBorder="1" applyAlignment="1">
      <alignment vertical="center"/>
    </xf>
    <xf numFmtId="0" fontId="3" fillId="2" borderId="16" xfId="0" applyFont="1" applyFill="1" applyBorder="1" applyAlignment="1">
      <alignment vertical="center"/>
    </xf>
    <xf numFmtId="0" fontId="3" fillId="2" borderId="1" xfId="0" applyFont="1" applyFill="1" applyBorder="1" applyAlignment="1">
      <alignment vertical="center"/>
    </xf>
    <xf numFmtId="3" fontId="3" fillId="2" borderId="2" xfId="7" applyNumberFormat="1" applyFont="1" applyFill="1" applyBorder="1" applyAlignment="1">
      <alignment horizontal="right" vertical="center"/>
    </xf>
    <xf numFmtId="0" fontId="9" fillId="2" borderId="20" xfId="0" applyFont="1" applyFill="1" applyBorder="1" applyAlignment="1">
      <alignment horizontal="center" vertical="center"/>
    </xf>
    <xf numFmtId="180" fontId="3" fillId="2" borderId="20" xfId="6" applyNumberFormat="1" applyFont="1" applyFill="1" applyBorder="1" applyAlignment="1">
      <alignment horizontal="center" vertical="center"/>
    </xf>
    <xf numFmtId="49" fontId="3" fillId="2" borderId="20" xfId="0" applyNumberFormat="1" applyFont="1" applyFill="1" applyBorder="1" applyAlignment="1">
      <alignment horizontal="center" vertical="center"/>
    </xf>
    <xf numFmtId="172" fontId="3" fillId="2" borderId="20" xfId="7" applyFont="1" applyFill="1" applyBorder="1" applyAlignment="1">
      <alignment horizontal="justify" vertical="center" wrapText="1"/>
    </xf>
    <xf numFmtId="0" fontId="3" fillId="2" borderId="20" xfId="0" applyFont="1" applyFill="1" applyBorder="1" applyAlignment="1">
      <alignment horizontal="center"/>
    </xf>
    <xf numFmtId="9" fontId="3" fillId="2" borderId="20" xfId="0" applyNumberFormat="1" applyFont="1" applyFill="1" applyBorder="1" applyAlignment="1">
      <alignment horizontal="center" vertical="center"/>
    </xf>
    <xf numFmtId="172" fontId="3" fillId="2" borderId="20" xfId="7" applyFont="1" applyFill="1" applyBorder="1" applyAlignment="1">
      <alignment horizontal="center" vertical="center" wrapText="1"/>
    </xf>
    <xf numFmtId="0" fontId="9" fillId="2" borderId="20" xfId="0" applyFont="1" applyFill="1" applyBorder="1" applyAlignment="1">
      <alignment horizontal="justify" vertical="center"/>
    </xf>
    <xf numFmtId="0" fontId="3" fillId="0" borderId="20" xfId="0" applyFont="1" applyBorder="1"/>
    <xf numFmtId="0" fontId="3" fillId="2" borderId="20" xfId="0" applyFont="1" applyFill="1" applyBorder="1" applyAlignment="1">
      <alignment horizontal="justify" vertical="center"/>
    </xf>
    <xf numFmtId="0" fontId="3" fillId="2" borderId="20" xfId="0" applyFont="1" applyFill="1" applyBorder="1" applyAlignment="1">
      <alignment horizontal="justify"/>
    </xf>
    <xf numFmtId="0" fontId="3" fillId="2" borderId="20" xfId="0" applyFont="1" applyFill="1" applyBorder="1"/>
    <xf numFmtId="180" fontId="2" fillId="0" borderId="20" xfId="6" applyNumberFormat="1" applyFont="1" applyFill="1" applyBorder="1" applyAlignment="1">
      <alignment horizontal="center" vertical="center"/>
    </xf>
    <xf numFmtId="0" fontId="3" fillId="0" borderId="20" xfId="0" applyFont="1" applyBorder="1" applyAlignment="1">
      <alignment horizontal="center"/>
    </xf>
    <xf numFmtId="4" fontId="2" fillId="0" borderId="20" xfId="0" applyNumberFormat="1" applyFont="1" applyBorder="1" applyAlignment="1">
      <alignment horizontal="center" vertical="center"/>
    </xf>
    <xf numFmtId="168" fontId="3" fillId="0" borderId="20" xfId="0" applyNumberFormat="1" applyFont="1" applyBorder="1" applyAlignment="1">
      <alignment horizontal="center"/>
    </xf>
    <xf numFmtId="0" fontId="3" fillId="0" borderId="20" xfId="0" applyFont="1" applyBorder="1" applyAlignment="1">
      <alignment horizontal="justify" vertical="center"/>
    </xf>
    <xf numFmtId="0" fontId="3" fillId="0" borderId="0" xfId="0" applyFont="1" applyFill="1" applyAlignment="1">
      <alignment horizontal="justify" vertical="center" wrapText="1"/>
    </xf>
    <xf numFmtId="166" fontId="3" fillId="0" borderId="0" xfId="0" applyNumberFormat="1" applyFont="1" applyFill="1" applyAlignment="1">
      <alignment horizontal="center" vertical="center"/>
    </xf>
    <xf numFmtId="168" fontId="3" fillId="0" borderId="0" xfId="0" applyNumberFormat="1" applyFont="1" applyFill="1" applyAlignment="1">
      <alignment horizontal="center" vertical="center"/>
    </xf>
    <xf numFmtId="1" fontId="2" fillId="0" borderId="0" xfId="0" applyNumberFormat="1" applyFont="1"/>
    <xf numFmtId="0" fontId="0" fillId="0" borderId="0" xfId="0" applyAlignment="1">
      <alignment horizontal="justify" vertical="center"/>
    </xf>
    <xf numFmtId="9" fontId="18" fillId="2" borderId="0" xfId="2" applyFont="1" applyFill="1" applyAlignment="1">
      <alignment horizontal="center" vertical="center"/>
    </xf>
    <xf numFmtId="4" fontId="0" fillId="0" borderId="0" xfId="0" applyNumberFormat="1"/>
    <xf numFmtId="43" fontId="9" fillId="0" borderId="2" xfId="12" applyFont="1" applyFill="1" applyBorder="1" applyAlignment="1">
      <alignment horizontal="right" vertical="center" wrapText="1"/>
    </xf>
    <xf numFmtId="43" fontId="6" fillId="7" borderId="0" xfId="12" applyFont="1" applyFill="1" applyAlignment="1">
      <alignment horizontal="center" vertical="center"/>
    </xf>
    <xf numFmtId="43" fontId="9" fillId="0" borderId="2" xfId="12" applyFont="1" applyFill="1" applyBorder="1" applyAlignment="1">
      <alignment vertical="center"/>
    </xf>
    <xf numFmtId="43" fontId="6" fillId="6" borderId="18" xfId="12" applyFont="1" applyFill="1" applyBorder="1" applyAlignment="1">
      <alignment horizontal="center" vertical="center" wrapText="1"/>
    </xf>
    <xf numFmtId="43" fontId="3" fillId="0" borderId="8" xfId="12" applyFont="1" applyFill="1" applyBorder="1" applyAlignment="1">
      <alignment horizontal="center" vertical="center" wrapText="1"/>
    </xf>
    <xf numFmtId="43" fontId="6" fillId="6" borderId="0" xfId="12" applyFont="1" applyFill="1" applyAlignment="1">
      <alignment vertical="center" wrapText="1"/>
    </xf>
    <xf numFmtId="43" fontId="6" fillId="7" borderId="2" xfId="12" applyFont="1" applyFill="1" applyBorder="1" applyAlignment="1">
      <alignment vertical="center"/>
    </xf>
    <xf numFmtId="43" fontId="2" fillId="2" borderId="2" xfId="12" applyFont="1" applyFill="1" applyBorder="1" applyAlignment="1">
      <alignment horizontal="center" vertical="center"/>
    </xf>
    <xf numFmtId="43" fontId="9" fillId="0" borderId="2" xfId="12" applyFont="1" applyFill="1" applyBorder="1" applyAlignment="1">
      <alignment horizontal="center" vertical="center"/>
    </xf>
    <xf numFmtId="43" fontId="34" fillId="7" borderId="0" xfId="12" applyFont="1" applyFill="1" applyAlignment="1">
      <alignment horizontal="center" vertical="center"/>
    </xf>
    <xf numFmtId="43" fontId="34" fillId="6" borderId="18" xfId="12" applyFont="1" applyFill="1" applyBorder="1" applyAlignment="1">
      <alignment horizontal="center" vertical="center" wrapText="1"/>
    </xf>
    <xf numFmtId="43" fontId="34" fillId="6" borderId="0" xfId="12" applyFont="1" applyFill="1" applyAlignment="1">
      <alignment vertical="center" wrapText="1"/>
    </xf>
    <xf numFmtId="43" fontId="6" fillId="6" borderId="0" xfId="12" applyFont="1" applyFill="1" applyAlignment="1">
      <alignment horizontal="center" vertical="center" wrapText="1"/>
    </xf>
    <xf numFmtId="43" fontId="34" fillId="7" borderId="2" xfId="12" applyFont="1" applyFill="1" applyBorder="1" applyAlignment="1">
      <alignment vertical="center"/>
    </xf>
    <xf numFmtId="43" fontId="6" fillId="7" borderId="2" xfId="12" applyFont="1" applyFill="1" applyBorder="1" applyAlignment="1">
      <alignment horizontal="center" vertical="center"/>
    </xf>
    <xf numFmtId="43" fontId="6" fillId="0" borderId="2" xfId="12" applyFont="1" applyFill="1" applyBorder="1" applyAlignment="1">
      <alignment horizontal="center" vertical="center"/>
    </xf>
    <xf numFmtId="1" fontId="3" fillId="2" borderId="16" xfId="0" applyNumberFormat="1"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0" borderId="9" xfId="0" applyFont="1" applyBorder="1" applyAlignment="1">
      <alignment horizontal="justify" vertical="center" wrapText="1"/>
    </xf>
    <xf numFmtId="169" fontId="3" fillId="2" borderId="9" xfId="0" applyNumberFormat="1" applyFont="1" applyFill="1" applyBorder="1" applyAlignment="1">
      <alignment horizontal="center" vertical="center" wrapText="1"/>
    </xf>
    <xf numFmtId="169" fontId="3" fillId="2" borderId="17" xfId="0" applyNumberFormat="1" applyFont="1" applyFill="1" applyBorder="1" applyAlignment="1">
      <alignment horizontal="center" vertical="center" wrapText="1"/>
    </xf>
    <xf numFmtId="0" fontId="3" fillId="0" borderId="9"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Border="1" applyAlignment="1">
      <alignment horizontal="justify" vertical="center" wrapText="1"/>
    </xf>
    <xf numFmtId="1" fontId="2" fillId="2" borderId="8" xfId="0" applyNumberFormat="1" applyFont="1" applyFill="1" applyBorder="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1" fontId="3" fillId="2" borderId="20" xfId="0" applyNumberFormat="1" applyFont="1" applyFill="1" applyBorder="1" applyAlignment="1">
      <alignment horizontal="center" vertical="center" wrapText="1"/>
    </xf>
    <xf numFmtId="1" fontId="3" fillId="2" borderId="27"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20" xfId="0" applyFont="1" applyBorder="1" applyAlignment="1">
      <alignment horizontal="justify" vertical="center" wrapText="1"/>
    </xf>
    <xf numFmtId="169" fontId="3" fillId="2" borderId="18" xfId="0" applyNumberFormat="1" applyFont="1" applyFill="1" applyBorder="1" applyAlignment="1">
      <alignment horizontal="center" vertical="center" wrapText="1"/>
    </xf>
    <xf numFmtId="1" fontId="3" fillId="2" borderId="18" xfId="0" applyNumberFormat="1" applyFont="1" applyFill="1" applyBorder="1" applyAlignment="1">
      <alignment horizontal="center" vertical="center" wrapText="1"/>
    </xf>
    <xf numFmtId="9" fontId="3" fillId="2" borderId="18" xfId="2" applyFont="1" applyFill="1" applyBorder="1" applyAlignment="1">
      <alignment horizontal="center" vertical="center" wrapText="1"/>
    </xf>
    <xf numFmtId="1" fontId="3" fillId="2" borderId="9" xfId="0" applyNumberFormat="1" applyFont="1" applyFill="1" applyBorder="1" applyAlignment="1">
      <alignment horizontal="center" vertical="center"/>
    </xf>
    <xf numFmtId="0" fontId="9" fillId="0" borderId="2" xfId="0" applyFont="1" applyBorder="1" applyAlignment="1">
      <alignment horizontal="justify" vertical="center" wrapText="1"/>
    </xf>
    <xf numFmtId="0" fontId="3" fillId="2" borderId="2" xfId="0" applyFont="1" applyFill="1" applyBorder="1" applyAlignment="1">
      <alignment horizontal="justify" vertical="center" wrapText="1"/>
    </xf>
    <xf numFmtId="0" fontId="3" fillId="0" borderId="2" xfId="0" applyFont="1" applyBorder="1" applyAlignment="1">
      <alignment horizontal="center" vertical="center" wrapText="1"/>
    </xf>
    <xf numFmtId="0" fontId="3" fillId="2" borderId="18"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3" fillId="0" borderId="20" xfId="0" applyFont="1" applyFill="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169" fontId="3" fillId="2" borderId="2" xfId="0" applyNumberFormat="1" applyFont="1" applyFill="1" applyBorder="1" applyAlignment="1">
      <alignment horizontal="center" vertical="center" wrapText="1"/>
    </xf>
    <xf numFmtId="0" fontId="6" fillId="0" borderId="16"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1" fontId="3" fillId="2" borderId="2" xfId="0" applyNumberFormat="1" applyFont="1" applyFill="1" applyBorder="1" applyAlignment="1">
      <alignment horizontal="center" vertical="center" wrapText="1"/>
    </xf>
    <xf numFmtId="0" fontId="9" fillId="0" borderId="30" xfId="0" applyFont="1" applyFill="1" applyBorder="1" applyAlignment="1">
      <alignment horizontal="justify" vertical="center" wrapText="1"/>
    </xf>
    <xf numFmtId="0" fontId="9" fillId="0" borderId="34" xfId="0" applyFont="1" applyFill="1" applyBorder="1" applyAlignment="1">
      <alignment horizontal="justify" vertical="center" wrapText="1"/>
    </xf>
    <xf numFmtId="0" fontId="3" fillId="2" borderId="33" xfId="0" applyFont="1" applyFill="1" applyBorder="1" applyAlignment="1">
      <alignment horizontal="center" vertical="center"/>
    </xf>
    <xf numFmtId="0" fontId="3" fillId="2" borderId="20" xfId="0" applyFont="1" applyFill="1" applyBorder="1" applyAlignment="1">
      <alignment horizontal="center" vertical="center"/>
    </xf>
    <xf numFmtId="0" fontId="9" fillId="0" borderId="20" xfId="0" applyFont="1" applyFill="1" applyBorder="1" applyAlignment="1">
      <alignment horizontal="justify" vertical="center" wrapText="1"/>
    </xf>
    <xf numFmtId="0" fontId="2" fillId="0" borderId="0" xfId="0" applyFont="1" applyAlignment="1">
      <alignment horizontal="center" vertical="center"/>
    </xf>
    <xf numFmtId="1" fontId="3" fillId="2" borderId="20" xfId="0" applyNumberFormat="1" applyFont="1" applyFill="1" applyBorder="1" applyAlignment="1">
      <alignment horizontal="center" vertical="center"/>
    </xf>
    <xf numFmtId="0" fontId="3" fillId="2" borderId="6" xfId="0" applyFont="1" applyFill="1" applyBorder="1" applyAlignment="1">
      <alignment horizontal="justify" vertical="center" wrapText="1"/>
    </xf>
    <xf numFmtId="0" fontId="3" fillId="2" borderId="2" xfId="0" applyFont="1" applyFill="1" applyBorder="1" applyAlignment="1">
      <alignment horizontal="center" vertical="center"/>
    </xf>
    <xf numFmtId="0" fontId="3" fillId="0" borderId="18" xfId="0" applyFont="1" applyBorder="1" applyAlignment="1">
      <alignment horizontal="center" vertical="center"/>
    </xf>
    <xf numFmtId="0" fontId="9" fillId="0" borderId="30" xfId="5" applyNumberFormat="1" applyFont="1" applyFill="1" applyBorder="1">
      <alignment horizontal="center" vertical="center" wrapText="1"/>
    </xf>
    <xf numFmtId="0" fontId="9" fillId="0" borderId="2"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9" fillId="0" borderId="34" xfId="5" applyNumberFormat="1" applyFont="1" applyFill="1" applyBorder="1">
      <alignment horizontal="center" vertical="center" wrapText="1"/>
    </xf>
    <xf numFmtId="0" fontId="9" fillId="0" borderId="6"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45" xfId="5" applyNumberFormat="1" applyFont="1" applyFill="1" applyBorder="1">
      <alignment horizontal="center" vertical="center" wrapText="1"/>
    </xf>
    <xf numFmtId="0" fontId="3" fillId="2" borderId="0" xfId="0" applyFont="1" applyFill="1" applyAlignment="1">
      <alignment horizontal="center" vertical="center" wrapText="1"/>
    </xf>
    <xf numFmtId="0" fontId="6" fillId="0" borderId="2" xfId="0" applyFont="1" applyBorder="1" applyAlignment="1">
      <alignment horizontal="center" vertical="center"/>
    </xf>
    <xf numFmtId="168" fontId="3" fillId="0" borderId="2" xfId="0" applyNumberFormat="1" applyFont="1" applyBorder="1" applyAlignment="1">
      <alignment horizontal="center" vertical="center"/>
    </xf>
    <xf numFmtId="168" fontId="3" fillId="0" borderId="9" xfId="0" applyNumberFormat="1" applyFont="1" applyBorder="1" applyAlignment="1">
      <alignment horizontal="center" vertical="center"/>
    </xf>
    <xf numFmtId="168" fontId="3" fillId="0" borderId="18" xfId="0" applyNumberFormat="1" applyFont="1" applyBorder="1" applyAlignment="1">
      <alignment horizontal="center" vertical="center"/>
    </xf>
    <xf numFmtId="9" fontId="3" fillId="2" borderId="2" xfId="2" applyFont="1" applyFill="1" applyBorder="1" applyAlignment="1">
      <alignment horizontal="center" vertical="center"/>
    </xf>
    <xf numFmtId="0" fontId="9"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30" fillId="0" borderId="0" xfId="0" applyFont="1"/>
    <xf numFmtId="0" fontId="9" fillId="2" borderId="0" xfId="0" applyFont="1" applyFill="1" applyAlignment="1">
      <alignment horizontal="center"/>
    </xf>
    <xf numFmtId="0" fontId="9" fillId="2" borderId="0" xfId="0" applyFont="1" applyFill="1"/>
    <xf numFmtId="43" fontId="9" fillId="0" borderId="3" xfId="9" applyFont="1" applyBorder="1" applyAlignment="1">
      <alignment horizontal="center" vertical="center"/>
    </xf>
    <xf numFmtId="175" fontId="6" fillId="0" borderId="3" xfId="9" applyNumberFormat="1" applyFont="1" applyBorder="1" applyAlignment="1">
      <alignment horizontal="center" vertical="center"/>
    </xf>
    <xf numFmtId="0" fontId="9" fillId="0" borderId="0" xfId="0" applyFont="1" applyAlignment="1">
      <alignment horizontal="center"/>
    </xf>
    <xf numFmtId="166" fontId="6" fillId="3" borderId="2" xfId="0" applyNumberFormat="1" applyFont="1" applyFill="1" applyBorder="1" applyAlignment="1">
      <alignment horizontal="center" vertical="center" wrapText="1"/>
    </xf>
    <xf numFmtId="175" fontId="6" fillId="3" borderId="9" xfId="9" applyNumberFormat="1" applyFont="1" applyFill="1" applyBorder="1" applyAlignment="1">
      <alignment horizontal="center" vertical="center" wrapText="1"/>
    </xf>
    <xf numFmtId="14" fontId="6" fillId="3" borderId="9" xfId="0" applyNumberFormat="1" applyFont="1" applyFill="1" applyBorder="1" applyAlignment="1">
      <alignment horizontal="center" vertical="center" wrapText="1"/>
    </xf>
    <xf numFmtId="14" fontId="6" fillId="3" borderId="2" xfId="0" applyNumberFormat="1" applyFont="1" applyFill="1" applyBorder="1" applyAlignment="1">
      <alignment horizontal="center" vertical="center" wrapText="1"/>
    </xf>
    <xf numFmtId="0" fontId="2" fillId="6" borderId="10" xfId="0" applyFont="1" applyFill="1" applyBorder="1" applyAlignment="1">
      <alignment vertical="center"/>
    </xf>
    <xf numFmtId="0" fontId="2" fillId="6" borderId="20" xfId="0" applyFont="1" applyFill="1" applyBorder="1" applyAlignment="1">
      <alignment vertical="center"/>
    </xf>
    <xf numFmtId="164" fontId="2" fillId="7" borderId="2" xfId="0" applyNumberFormat="1" applyFont="1" applyFill="1" applyBorder="1" applyAlignment="1">
      <alignment horizontal="center" vertical="center"/>
    </xf>
    <xf numFmtId="1" fontId="2" fillId="7" borderId="2" xfId="0" applyNumberFormat="1" applyFont="1" applyFill="1" applyBorder="1" applyAlignment="1">
      <alignment horizontal="center" vertical="center"/>
    </xf>
    <xf numFmtId="4" fontId="20" fillId="15" borderId="2" xfId="0" applyNumberFormat="1" applyFont="1" applyFill="1" applyBorder="1" applyAlignment="1">
      <alignment horizontal="center" vertical="center" wrapText="1"/>
    </xf>
    <xf numFmtId="4" fontId="9" fillId="2" borderId="2" xfId="0" applyNumberFormat="1" applyFont="1" applyFill="1" applyBorder="1" applyAlignment="1">
      <alignment horizontal="right" vertical="center" wrapText="1"/>
    </xf>
    <xf numFmtId="4" fontId="20" fillId="2" borderId="2" xfId="0" applyNumberFormat="1" applyFont="1" applyFill="1" applyBorder="1" applyAlignment="1">
      <alignment horizontal="center" vertical="center" wrapText="1"/>
    </xf>
    <xf numFmtId="4" fontId="9" fillId="2" borderId="2" xfId="14" applyNumberFormat="1" applyFont="1" applyFill="1" applyBorder="1" applyAlignment="1">
      <alignment horizontal="right" vertical="center" wrapText="1"/>
    </xf>
    <xf numFmtId="4" fontId="20" fillId="2" borderId="12" xfId="0" applyNumberFormat="1" applyFont="1" applyFill="1" applyBorder="1" applyAlignment="1">
      <alignment horizontal="center" vertical="center" wrapText="1"/>
    </xf>
    <xf numFmtId="4" fontId="9" fillId="2" borderId="12" xfId="0" applyNumberFormat="1" applyFont="1" applyFill="1" applyBorder="1" applyAlignment="1">
      <alignment horizontal="right" vertical="center" wrapText="1"/>
    </xf>
    <xf numFmtId="4" fontId="20" fillId="15" borderId="12" xfId="0" applyNumberFormat="1" applyFont="1" applyFill="1" applyBorder="1" applyAlignment="1">
      <alignment horizontal="center" vertical="center" wrapText="1"/>
    </xf>
    <xf numFmtId="4" fontId="20" fillId="15" borderId="7" xfId="0" applyNumberFormat="1" applyFont="1" applyFill="1" applyBorder="1" applyAlignment="1">
      <alignment horizontal="center" vertical="center" wrapText="1"/>
    </xf>
    <xf numFmtId="4" fontId="3" fillId="2" borderId="2" xfId="18" applyNumberFormat="1" applyFont="1" applyFill="1" applyBorder="1" applyAlignment="1">
      <alignment horizontal="center" vertical="center" wrapText="1"/>
    </xf>
    <xf numFmtId="0" fontId="18" fillId="0" borderId="2" xfId="0" applyFont="1" applyBorder="1" applyAlignment="1">
      <alignment horizontal="center" vertical="center" wrapText="1"/>
    </xf>
    <xf numFmtId="43" fontId="9" fillId="2" borderId="2" xfId="9" applyFont="1" applyFill="1" applyBorder="1" applyAlignment="1" applyProtection="1">
      <alignment horizontal="right" vertical="center"/>
      <protection locked="0"/>
    </xf>
    <xf numFmtId="0" fontId="3" fillId="0" borderId="2" xfId="19" applyFont="1" applyBorder="1" applyAlignment="1">
      <alignment horizontal="center" vertical="center"/>
    </xf>
    <xf numFmtId="0" fontId="18" fillId="0" borderId="2" xfId="0" applyFont="1" applyBorder="1" applyAlignment="1">
      <alignment horizontal="justify" vertical="center" wrapText="1"/>
    </xf>
    <xf numFmtId="4" fontId="9" fillId="2" borderId="12" xfId="14" applyNumberFormat="1" applyFont="1" applyFill="1" applyBorder="1" applyAlignment="1">
      <alignment horizontal="right" vertical="center" wrapText="1"/>
    </xf>
    <xf numFmtId="4" fontId="3" fillId="2" borderId="2" xfId="18" applyNumberFormat="1" applyFont="1" applyFill="1" applyBorder="1" applyAlignment="1">
      <alignment horizontal="center" vertical="center"/>
    </xf>
    <xf numFmtId="0" fontId="6" fillId="7" borderId="17" xfId="0" applyFont="1" applyFill="1" applyBorder="1" applyAlignment="1">
      <alignment vertical="center"/>
    </xf>
    <xf numFmtId="0" fontId="3" fillId="7" borderId="18" xfId="0" applyFont="1" applyFill="1" applyBorder="1"/>
    <xf numFmtId="0" fontId="3" fillId="7" borderId="6" xfId="0" applyFont="1" applyFill="1" applyBorder="1" applyAlignment="1">
      <alignment horizontal="justify" vertical="center" wrapText="1"/>
    </xf>
    <xf numFmtId="0" fontId="3" fillId="7" borderId="2" xfId="0" applyFont="1" applyFill="1" applyBorder="1"/>
    <xf numFmtId="0" fontId="3" fillId="7" borderId="18" xfId="0" applyFont="1" applyFill="1" applyBorder="1" applyAlignment="1">
      <alignment horizontal="center"/>
    </xf>
    <xf numFmtId="165" fontId="3" fillId="7" borderId="2" xfId="0" applyNumberFormat="1" applyFont="1" applyFill="1" applyBorder="1" applyAlignment="1">
      <alignment horizontal="center" vertical="center"/>
    </xf>
    <xf numFmtId="43" fontId="3" fillId="7" borderId="18" xfId="0" applyNumberFormat="1" applyFont="1" applyFill="1" applyBorder="1" applyAlignment="1">
      <alignment horizontal="center" vertical="center"/>
    </xf>
    <xf numFmtId="4" fontId="9" fillId="7" borderId="2" xfId="0" applyNumberFormat="1" applyFont="1" applyFill="1" applyBorder="1" applyAlignment="1">
      <alignment horizontal="right" vertical="center"/>
    </xf>
    <xf numFmtId="4" fontId="9" fillId="7" borderId="12" xfId="0" applyNumberFormat="1" applyFont="1" applyFill="1" applyBorder="1" applyAlignment="1">
      <alignment horizontal="right" vertical="center"/>
    </xf>
    <xf numFmtId="4" fontId="3" fillId="7" borderId="2" xfId="0" applyNumberFormat="1" applyFont="1" applyFill="1" applyBorder="1"/>
    <xf numFmtId="9" fontId="3" fillId="7" borderId="2" xfId="2" applyFont="1" applyFill="1" applyBorder="1"/>
    <xf numFmtId="0" fontId="3" fillId="7" borderId="2" xfId="0" applyFont="1" applyFill="1" applyBorder="1" applyAlignment="1">
      <alignment horizontal="justify" vertical="center"/>
    </xf>
    <xf numFmtId="14" fontId="3" fillId="7" borderId="2" xfId="0" applyNumberFormat="1" applyFont="1" applyFill="1" applyBorder="1" applyAlignment="1">
      <alignment horizontal="center" vertical="center"/>
    </xf>
    <xf numFmtId="1" fontId="3" fillId="0" borderId="5" xfId="0" applyNumberFormat="1" applyFont="1" applyBorder="1"/>
    <xf numFmtId="1" fontId="3" fillId="0" borderId="7" xfId="0" applyNumberFormat="1" applyFont="1" applyBorder="1"/>
    <xf numFmtId="43" fontId="3" fillId="0" borderId="2" xfId="14" applyNumberFormat="1" applyFont="1" applyBorder="1" applyAlignment="1">
      <alignment vertical="center" wrapText="1"/>
    </xf>
    <xf numFmtId="4" fontId="9" fillId="2" borderId="2" xfId="18" applyNumberFormat="1" applyFont="1" applyFill="1" applyBorder="1" applyAlignment="1">
      <alignment horizontal="center" vertical="center" wrapText="1"/>
    </xf>
    <xf numFmtId="43" fontId="9" fillId="2" borderId="2" xfId="12" applyFont="1" applyFill="1" applyBorder="1" applyAlignment="1">
      <alignment horizontal="right" vertical="center"/>
    </xf>
    <xf numFmtId="43" fontId="9" fillId="2" borderId="0" xfId="12" applyFont="1" applyFill="1" applyAlignment="1">
      <alignment horizontal="right" vertical="center"/>
    </xf>
    <xf numFmtId="4" fontId="9" fillId="0" borderId="2" xfId="14" applyNumberFormat="1" applyFont="1" applyFill="1" applyBorder="1" applyAlignment="1">
      <alignment horizontal="right" vertical="center" wrapText="1"/>
    </xf>
    <xf numFmtId="14"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2" fillId="2" borderId="2" xfId="0" applyNumberFormat="1" applyFont="1" applyFill="1" applyBorder="1" applyAlignment="1">
      <alignment horizontal="right" vertical="center"/>
    </xf>
    <xf numFmtId="9" fontId="2" fillId="0" borderId="2" xfId="2" applyFont="1" applyFill="1" applyBorder="1" applyAlignment="1">
      <alignment horizontal="center" vertical="center"/>
    </xf>
    <xf numFmtId="43" fontId="3" fillId="2" borderId="0" xfId="0" applyNumberFormat="1" applyFont="1" applyFill="1" applyAlignment="1">
      <alignment vertical="center"/>
    </xf>
    <xf numFmtId="164" fontId="18" fillId="2" borderId="0" xfId="0" applyNumberFormat="1" applyFont="1" applyFill="1" applyAlignment="1">
      <alignment horizontal="center" vertical="center"/>
    </xf>
    <xf numFmtId="1" fontId="43" fillId="0" borderId="0" xfId="0" applyNumberFormat="1" applyFont="1"/>
    <xf numFmtId="0" fontId="18" fillId="2" borderId="0" xfId="0" applyFont="1" applyFill="1" applyBorder="1" applyAlignment="1">
      <alignment horizontal="justify" vertical="center"/>
    </xf>
    <xf numFmtId="172" fontId="3" fillId="0" borderId="0" xfId="16" applyFont="1" applyFill="1" applyBorder="1" applyAlignment="1">
      <alignment vertical="center"/>
    </xf>
    <xf numFmtId="43" fontId="9" fillId="0" borderId="0" xfId="9" applyFont="1" applyFill="1" applyBorder="1" applyAlignment="1" applyProtection="1">
      <alignment horizontal="right" vertical="center"/>
      <protection locked="0"/>
    </xf>
    <xf numFmtId="1" fontId="18" fillId="2" borderId="0" xfId="0" applyNumberFormat="1" applyFont="1" applyFill="1" applyBorder="1" applyAlignment="1">
      <alignment horizontal="center" vertical="center"/>
    </xf>
    <xf numFmtId="0" fontId="18" fillId="2" borderId="0" xfId="0" applyFont="1" applyFill="1" applyBorder="1" applyAlignment="1">
      <alignment horizontal="center" vertical="center"/>
    </xf>
    <xf numFmtId="43" fontId="9" fillId="2" borderId="0" xfId="9" applyFont="1" applyFill="1" applyBorder="1" applyAlignment="1" applyProtection="1">
      <alignment horizontal="right" vertical="center"/>
      <protection locked="0"/>
    </xf>
    <xf numFmtId="184" fontId="9" fillId="2" borderId="0" xfId="9" applyNumberFormat="1" applyFont="1" applyFill="1" applyBorder="1" applyAlignment="1" applyProtection="1">
      <alignment horizontal="right" vertical="center"/>
      <protection locked="0"/>
    </xf>
    <xf numFmtId="4" fontId="18" fillId="0" borderId="0" xfId="0" applyNumberFormat="1" applyFont="1"/>
    <xf numFmtId="4" fontId="18" fillId="2" borderId="0" xfId="0" applyNumberFormat="1" applyFont="1" applyFill="1"/>
    <xf numFmtId="4" fontId="9" fillId="0" borderId="62" xfId="0" applyNumberFormat="1" applyFont="1" applyBorder="1" applyAlignment="1">
      <alignment horizontal="center" vertical="center"/>
    </xf>
    <xf numFmtId="4" fontId="3" fillId="2" borderId="0" xfId="0" applyNumberFormat="1" applyFont="1" applyFill="1"/>
    <xf numFmtId="0" fontId="6" fillId="6" borderId="8" xfId="0" applyNumberFormat="1" applyFont="1" applyFill="1" applyBorder="1" applyAlignment="1">
      <alignment horizontal="left" vertical="center" wrapText="1"/>
    </xf>
    <xf numFmtId="0" fontId="6" fillId="6" borderId="5" xfId="0" applyNumberFormat="1" applyFont="1" applyFill="1" applyBorder="1" applyAlignment="1">
      <alignment horizontal="left" vertic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165" fontId="2" fillId="7" borderId="9" xfId="0" applyNumberFormat="1" applyFont="1" applyFill="1" applyBorder="1" applyAlignment="1">
      <alignment horizontal="center" vertical="center"/>
    </xf>
    <xf numFmtId="166" fontId="2" fillId="7" borderId="9" xfId="0" applyNumberFormat="1" applyFont="1" applyFill="1" applyBorder="1" applyAlignment="1">
      <alignment vertical="center"/>
    </xf>
    <xf numFmtId="164" fontId="2" fillId="7" borderId="9"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72" fontId="9" fillId="0" borderId="20" xfId="7" applyFont="1" applyFill="1" applyBorder="1" applyAlignment="1">
      <alignment horizontal="right" vertical="center"/>
    </xf>
    <xf numFmtId="0" fontId="3" fillId="0" borderId="34" xfId="0" applyFont="1" applyFill="1" applyBorder="1" applyAlignment="1">
      <alignment horizontal="center" vertical="center" wrapText="1"/>
    </xf>
    <xf numFmtId="1" fontId="2" fillId="2" borderId="0" xfId="0" applyNumberFormat="1" applyFont="1" applyFill="1" applyBorder="1" applyAlignment="1">
      <alignment vertical="center" textRotation="180" wrapText="1"/>
    </xf>
    <xf numFmtId="0" fontId="2" fillId="2" borderId="0" xfId="0" applyFont="1" applyFill="1" applyBorder="1" applyAlignment="1">
      <alignment horizontal="center" vertical="center" wrapText="1"/>
    </xf>
    <xf numFmtId="0" fontId="20" fillId="0" borderId="12" xfId="0" applyFont="1" applyFill="1" applyBorder="1" applyAlignment="1">
      <alignment vertical="center" wrapText="1"/>
    </xf>
    <xf numFmtId="0" fontId="20" fillId="0" borderId="20" xfId="0" applyFont="1" applyFill="1" applyBorder="1" applyAlignment="1">
      <alignment horizontal="center" vertical="center" wrapText="1"/>
    </xf>
    <xf numFmtId="0" fontId="20" fillId="0" borderId="7" xfId="0" applyFont="1" applyFill="1" applyBorder="1" applyAlignment="1">
      <alignment horizontal="center" vertical="center" wrapText="1"/>
    </xf>
    <xf numFmtId="172" fontId="9" fillId="0" borderId="21" xfId="7" applyFont="1" applyFill="1" applyBorder="1" applyAlignment="1">
      <alignment horizontal="right" vertical="center"/>
    </xf>
    <xf numFmtId="0" fontId="3" fillId="0" borderId="45" xfId="0" applyFont="1" applyFill="1" applyBorder="1" applyAlignment="1">
      <alignment horizontal="center" vertical="center" wrapText="1"/>
    </xf>
    <xf numFmtId="172" fontId="9" fillId="0" borderId="42" xfId="7" applyFont="1" applyFill="1" applyBorder="1" applyAlignment="1">
      <alignment horizontal="right" vertical="center"/>
    </xf>
    <xf numFmtId="172" fontId="9" fillId="0" borderId="2" xfId="7" applyFont="1" applyFill="1" applyBorder="1" applyAlignment="1">
      <alignment horizontal="right" vertical="center"/>
    </xf>
    <xf numFmtId="0" fontId="44" fillId="0" borderId="2" xfId="0" applyFont="1" applyFill="1" applyBorder="1" applyAlignment="1">
      <alignment horizontal="left" vertical="center" wrapText="1"/>
    </xf>
    <xf numFmtId="172" fontId="20" fillId="0" borderId="33" xfId="7" applyFont="1" applyFill="1" applyBorder="1" applyAlignment="1">
      <alignment horizontal="center" vertical="center" wrapText="1"/>
    </xf>
    <xf numFmtId="172" fontId="20" fillId="0" borderId="2" xfId="7" applyFont="1" applyFill="1" applyBorder="1" applyAlignment="1">
      <alignment horizontal="center" vertical="center" wrapText="1"/>
    </xf>
    <xf numFmtId="1" fontId="3" fillId="0" borderId="63" xfId="0" applyNumberFormat="1" applyFont="1" applyFill="1" applyBorder="1" applyAlignment="1">
      <alignment horizontal="center" vertical="center"/>
    </xf>
    <xf numFmtId="4" fontId="3" fillId="0" borderId="0" xfId="0" applyNumberFormat="1" applyFont="1" applyFill="1"/>
    <xf numFmtId="0" fontId="2" fillId="0" borderId="0" xfId="0" applyFont="1" applyFill="1" applyBorder="1" applyAlignment="1">
      <alignment horizontal="center" vertical="center" wrapText="1"/>
    </xf>
    <xf numFmtId="0" fontId="44" fillId="0" borderId="17" xfId="0" applyFont="1" applyFill="1" applyBorder="1" applyAlignment="1">
      <alignment horizontal="left" vertical="center" wrapText="1"/>
    </xf>
    <xf numFmtId="0" fontId="44" fillId="0" borderId="9" xfId="0" applyFont="1" applyFill="1" applyBorder="1" applyAlignment="1">
      <alignment horizontal="left" vertical="center" wrapText="1"/>
    </xf>
    <xf numFmtId="172" fontId="9" fillId="0" borderId="33" xfId="7" applyFont="1" applyFill="1" applyBorder="1" applyAlignment="1">
      <alignment horizontal="center" vertical="center" wrapText="1"/>
    </xf>
    <xf numFmtId="1" fontId="3" fillId="0" borderId="34" xfId="0" applyNumberFormat="1" applyFont="1" applyFill="1" applyBorder="1" applyAlignment="1">
      <alignment horizontal="center" vertical="center"/>
    </xf>
    <xf numFmtId="0" fontId="3" fillId="0" borderId="33" xfId="0" applyFont="1" applyFill="1" applyBorder="1" applyAlignment="1">
      <alignment vertical="center" wrapText="1"/>
    </xf>
    <xf numFmtId="172" fontId="9" fillId="0" borderId="57" xfId="7" applyFont="1" applyFill="1" applyBorder="1" applyAlignment="1">
      <alignment horizontal="center" vertical="center" wrapText="1"/>
    </xf>
    <xf numFmtId="9" fontId="3" fillId="2" borderId="6" xfId="2" applyFont="1" applyFill="1" applyBorder="1" applyAlignment="1">
      <alignment horizontal="center" vertical="center"/>
    </xf>
    <xf numFmtId="43" fontId="3" fillId="2" borderId="20" xfId="0" applyNumberFormat="1" applyFont="1" applyFill="1" applyBorder="1" applyAlignment="1">
      <alignment vertical="center"/>
    </xf>
    <xf numFmtId="0" fontId="3" fillId="0" borderId="12" xfId="0" applyFont="1" applyFill="1" applyBorder="1" applyAlignment="1">
      <alignment horizontal="justify" vertical="center" wrapText="1"/>
    </xf>
    <xf numFmtId="172" fontId="9" fillId="0" borderId="44" xfId="7" applyFont="1" applyFill="1" applyBorder="1" applyAlignment="1">
      <alignment horizontal="justify" vertical="center"/>
    </xf>
    <xf numFmtId="172" fontId="9" fillId="0" borderId="2" xfId="7" applyFont="1" applyFill="1" applyBorder="1" applyAlignment="1">
      <alignment horizontal="justify" vertical="center"/>
    </xf>
    <xf numFmtId="3" fontId="3" fillId="0" borderId="4"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9" fillId="0" borderId="18" xfId="0" applyNumberFormat="1" applyFont="1" applyFill="1" applyBorder="1" applyAlignment="1">
      <alignment horizontal="center" vertical="center"/>
    </xf>
    <xf numFmtId="9" fontId="9" fillId="0" borderId="18" xfId="0" applyNumberFormat="1" applyFont="1" applyFill="1" applyBorder="1" applyAlignment="1">
      <alignment horizontal="center" vertical="center"/>
    </xf>
    <xf numFmtId="3" fontId="9" fillId="0" borderId="18" xfId="0" applyNumberFormat="1" applyFont="1" applyFill="1" applyBorder="1" applyAlignment="1">
      <alignment horizontal="center" vertical="center" wrapText="1"/>
    </xf>
    <xf numFmtId="168" fontId="9" fillId="0" borderId="18" xfId="0" applyNumberFormat="1" applyFont="1" applyFill="1" applyBorder="1" applyAlignment="1">
      <alignment horizontal="center" vertical="center"/>
    </xf>
    <xf numFmtId="1" fontId="9" fillId="0" borderId="18" xfId="0" applyNumberFormat="1" applyFont="1" applyFill="1" applyBorder="1" applyAlignment="1">
      <alignment horizontal="justify" vertical="center" wrapText="1"/>
    </xf>
    <xf numFmtId="4" fontId="3" fillId="0" borderId="0" xfId="0" applyNumberFormat="1" applyFont="1"/>
    <xf numFmtId="172" fontId="20" fillId="0" borderId="9" xfId="7" applyFont="1" applyFill="1" applyBorder="1" applyAlignment="1">
      <alignment horizontal="right" vertical="center" wrapText="1"/>
    </xf>
    <xf numFmtId="172" fontId="9" fillId="0" borderId="9" xfId="7" applyFont="1" applyFill="1" applyBorder="1" applyAlignment="1">
      <alignment horizontal="right" vertical="center" wrapText="1"/>
    </xf>
    <xf numFmtId="1" fontId="3" fillId="0" borderId="45" xfId="0" applyNumberFormat="1" applyFont="1" applyFill="1" applyBorder="1" applyAlignment="1">
      <alignment horizontal="center" vertical="center"/>
    </xf>
    <xf numFmtId="172" fontId="20" fillId="0" borderId="2" xfId="7" applyFont="1" applyFill="1" applyBorder="1" applyAlignment="1">
      <alignment horizontal="right" vertical="center" wrapText="1"/>
    </xf>
    <xf numFmtId="172" fontId="9" fillId="0" borderId="2" xfId="7" applyFont="1" applyFill="1" applyBorder="1" applyAlignment="1">
      <alignment horizontal="right" vertical="center" wrapText="1"/>
    </xf>
    <xf numFmtId="0" fontId="6" fillId="7" borderId="1" xfId="0" applyNumberFormat="1" applyFont="1" applyFill="1" applyBorder="1" applyAlignment="1">
      <alignment horizontal="left" vertical="center" wrapText="1"/>
    </xf>
    <xf numFmtId="0" fontId="3" fillId="7" borderId="9" xfId="0" applyFont="1" applyFill="1" applyBorder="1" applyAlignment="1">
      <alignment horizontal="center"/>
    </xf>
    <xf numFmtId="165" fontId="3" fillId="7" borderId="9" xfId="0" applyNumberFormat="1" applyFont="1" applyFill="1" applyBorder="1" applyAlignment="1">
      <alignment horizontal="center" vertical="center"/>
    </xf>
    <xf numFmtId="43" fontId="3" fillId="7" borderId="9" xfId="0" applyNumberFormat="1" applyFont="1" applyFill="1" applyBorder="1" applyAlignment="1">
      <alignment vertical="center"/>
    </xf>
    <xf numFmtId="0" fontId="9" fillId="7" borderId="9" xfId="0" applyFont="1" applyFill="1" applyBorder="1" applyAlignment="1">
      <alignment horizontal="justify" vertical="center" wrapText="1"/>
    </xf>
    <xf numFmtId="172" fontId="3" fillId="7" borderId="16" xfId="7" applyFont="1" applyFill="1" applyBorder="1" applyAlignment="1">
      <alignment horizontal="center" vertical="center"/>
    </xf>
    <xf numFmtId="172" fontId="3" fillId="7" borderId="0" xfId="7" applyFont="1" applyFill="1" applyBorder="1" applyAlignment="1">
      <alignment horizontal="center" vertical="center"/>
    </xf>
    <xf numFmtId="1" fontId="3" fillId="7" borderId="30" xfId="0" applyNumberFormat="1" applyFont="1" applyFill="1" applyBorder="1" applyAlignment="1">
      <alignment horizontal="center" vertical="center"/>
    </xf>
    <xf numFmtId="0" fontId="3" fillId="7" borderId="21" xfId="0" applyFont="1" applyFill="1" applyBorder="1" applyAlignment="1">
      <alignment horizontal="center" vertical="center" wrapText="1"/>
    </xf>
    <xf numFmtId="3" fontId="3" fillId="7" borderId="12" xfId="0" applyNumberFormat="1" applyFont="1" applyFill="1" applyBorder="1" applyAlignment="1">
      <alignment horizontal="center"/>
    </xf>
    <xf numFmtId="3" fontId="3" fillId="7" borderId="2" xfId="0" applyNumberFormat="1" applyFont="1" applyFill="1" applyBorder="1" applyAlignment="1">
      <alignment horizontal="center"/>
    </xf>
    <xf numFmtId="9" fontId="3" fillId="7" borderId="2" xfId="0" applyNumberFormat="1" applyFont="1" applyFill="1" applyBorder="1" applyAlignment="1">
      <alignment horizontal="center"/>
    </xf>
    <xf numFmtId="168" fontId="3" fillId="7" borderId="2" xfId="0" applyNumberFormat="1" applyFont="1" applyFill="1" applyBorder="1" applyAlignment="1">
      <alignment horizontal="center" vertical="center"/>
    </xf>
    <xf numFmtId="168" fontId="3" fillId="7" borderId="2" xfId="0" applyNumberFormat="1" applyFont="1" applyFill="1" applyBorder="1" applyAlignment="1">
      <alignment horizontal="center"/>
    </xf>
    <xf numFmtId="172" fontId="3" fillId="0" borderId="34" xfId="7" applyFont="1" applyFill="1" applyBorder="1" applyAlignment="1">
      <alignment horizontal="center" vertical="center"/>
    </xf>
    <xf numFmtId="172" fontId="9" fillId="0" borderId="20" xfId="7" applyFont="1" applyFill="1" applyBorder="1" applyAlignment="1">
      <alignment horizontal="center" vertical="center"/>
    </xf>
    <xf numFmtId="172" fontId="3" fillId="0" borderId="20" xfId="7" applyFont="1" applyFill="1" applyBorder="1" applyAlignment="1">
      <alignment horizontal="center" vertical="center"/>
    </xf>
    <xf numFmtId="0" fontId="45" fillId="0" borderId="2" xfId="0" applyFont="1" applyFill="1" applyBorder="1" applyAlignment="1">
      <alignment horizontal="center" vertical="center" wrapText="1"/>
    </xf>
    <xf numFmtId="172" fontId="9" fillId="0" borderId="21" xfId="7" applyFont="1" applyFill="1" applyBorder="1" applyAlignment="1">
      <alignment horizontal="center" vertical="center"/>
    </xf>
    <xf numFmtId="172" fontId="3" fillId="0" borderId="21" xfId="7" applyFont="1" applyFill="1" applyBorder="1" applyAlignment="1">
      <alignment horizontal="center" vertical="center"/>
    </xf>
    <xf numFmtId="172" fontId="3" fillId="0" borderId="57" xfId="7" applyFont="1" applyFill="1" applyBorder="1" applyAlignment="1">
      <alignment horizontal="center" vertical="center"/>
    </xf>
    <xf numFmtId="172" fontId="9" fillId="0" borderId="2" xfId="7" applyFont="1" applyFill="1" applyBorder="1" applyAlignment="1">
      <alignment horizontal="center" vertical="center"/>
    </xf>
    <xf numFmtId="1" fontId="3" fillId="0" borderId="57" xfId="0" applyNumberFormat="1" applyFont="1" applyFill="1" applyBorder="1" applyAlignment="1">
      <alignment horizontal="center" vertical="center"/>
    </xf>
    <xf numFmtId="172" fontId="3" fillId="0" borderId="57" xfId="7" applyFont="1" applyFill="1" applyBorder="1" applyAlignment="1">
      <alignment horizontal="right" vertical="center"/>
    </xf>
    <xf numFmtId="172" fontId="3" fillId="0" borderId="2" xfId="7" applyFont="1" applyFill="1" applyBorder="1" applyAlignment="1">
      <alignment horizontal="right" vertical="center"/>
    </xf>
    <xf numFmtId="172" fontId="3" fillId="0" borderId="64" xfId="7" applyFont="1" applyFill="1" applyBorder="1" applyAlignment="1">
      <alignment horizontal="right" vertical="center"/>
    </xf>
    <xf numFmtId="172" fontId="9" fillId="0" borderId="2" xfId="7" applyFont="1" applyFill="1" applyBorder="1" applyAlignment="1">
      <alignment vertical="center"/>
    </xf>
    <xf numFmtId="172" fontId="3" fillId="0" borderId="9" xfId="7" applyFont="1" applyFill="1" applyBorder="1" applyAlignment="1">
      <alignment horizontal="right" vertical="center"/>
    </xf>
    <xf numFmtId="1" fontId="3" fillId="0" borderId="64" xfId="0" applyNumberFormat="1" applyFont="1" applyFill="1" applyBorder="1" applyAlignment="1">
      <alignment horizontal="center" vertical="center"/>
    </xf>
    <xf numFmtId="172" fontId="3" fillId="0" borderId="12" xfId="7" applyFont="1" applyFill="1" applyBorder="1" applyAlignment="1">
      <alignment horizontal="right" vertical="center"/>
    </xf>
    <xf numFmtId="0" fontId="3" fillId="0" borderId="2" xfId="0" applyFont="1" applyFill="1" applyBorder="1"/>
    <xf numFmtId="43" fontId="2" fillId="0" borderId="18" xfId="0" applyNumberFormat="1" applyFont="1" applyFill="1" applyBorder="1" applyAlignment="1">
      <alignment horizontal="center" vertical="center"/>
    </xf>
    <xf numFmtId="172" fontId="2" fillId="0" borderId="6" xfId="7" applyFont="1" applyFill="1" applyBorder="1" applyAlignment="1">
      <alignment horizontal="center" vertical="center"/>
    </xf>
    <xf numFmtId="1" fontId="3" fillId="0" borderId="3" xfId="0" applyNumberFormat="1" applyFont="1" applyFill="1" applyBorder="1" applyAlignment="1">
      <alignment horizontal="center" vertical="center"/>
    </xf>
    <xf numFmtId="0" fontId="3" fillId="0" borderId="27" xfId="0" applyFont="1" applyFill="1" applyBorder="1"/>
    <xf numFmtId="3" fontId="3" fillId="0" borderId="12" xfId="0" applyNumberFormat="1" applyFont="1" applyFill="1" applyBorder="1" applyAlignment="1">
      <alignment horizontal="center"/>
    </xf>
    <xf numFmtId="3" fontId="3" fillId="0" borderId="2" xfId="0" applyNumberFormat="1" applyFont="1" applyFill="1" applyBorder="1" applyAlignment="1">
      <alignment horizontal="center"/>
    </xf>
    <xf numFmtId="168" fontId="3" fillId="0" borderId="2" xfId="0" applyNumberFormat="1" applyFont="1" applyFill="1" applyBorder="1" applyAlignment="1">
      <alignment horizontal="center" vertical="center"/>
    </xf>
    <xf numFmtId="168" fontId="3" fillId="0" borderId="2" xfId="0" applyNumberFormat="1" applyFont="1" applyFill="1" applyBorder="1" applyAlignment="1">
      <alignment horizontal="center"/>
    </xf>
    <xf numFmtId="0" fontId="18" fillId="0" borderId="0" xfId="0" applyFont="1" applyFill="1" applyBorder="1" applyAlignment="1">
      <alignment horizontal="justify" vertical="center"/>
    </xf>
    <xf numFmtId="164" fontId="18" fillId="0" borderId="0" xfId="0" applyNumberFormat="1" applyFont="1" applyFill="1" applyBorder="1" applyAlignment="1">
      <alignment horizontal="center" vertical="center"/>
    </xf>
    <xf numFmtId="168" fontId="18" fillId="0" borderId="0" xfId="0" applyNumberFormat="1" applyFont="1" applyFill="1" applyAlignment="1">
      <alignment horizontal="center" vertical="center"/>
    </xf>
    <xf numFmtId="178" fontId="18" fillId="2" borderId="0" xfId="0" applyNumberFormat="1" applyFont="1" applyFill="1" applyAlignment="1">
      <alignment vertical="center"/>
    </xf>
    <xf numFmtId="4" fontId="46" fillId="0" borderId="0" xfId="0" applyNumberFormat="1" applyFont="1" applyFill="1" applyBorder="1" applyAlignment="1"/>
    <xf numFmtId="0" fontId="18" fillId="0" borderId="0" xfId="0" applyFont="1" applyBorder="1"/>
    <xf numFmtId="0" fontId="2" fillId="2" borderId="0" xfId="0" applyFont="1" applyFill="1" applyAlignment="1">
      <alignment horizontal="center" wrapText="1"/>
    </xf>
    <xf numFmtId="0" fontId="6" fillId="0" borderId="51" xfId="0" applyFont="1" applyBorder="1" applyAlignment="1">
      <alignment horizontal="center" vertical="center" wrapText="1"/>
    </xf>
    <xf numFmtId="0" fontId="6" fillId="0" borderId="53" xfId="0" applyFont="1" applyBorder="1" applyAlignment="1">
      <alignment horizontal="center" vertical="center"/>
    </xf>
    <xf numFmtId="0" fontId="6" fillId="0" borderId="60" xfId="0" applyFont="1" applyBorder="1" applyAlignment="1">
      <alignment horizontal="center" vertical="center"/>
    </xf>
    <xf numFmtId="0" fontId="6" fillId="0" borderId="0" xfId="0" applyFont="1" applyAlignment="1">
      <alignment horizontal="center" vertical="center" wrapText="1"/>
    </xf>
    <xf numFmtId="174" fontId="6" fillId="0" borderId="10" xfId="0" applyNumberFormat="1" applyFont="1" applyBorder="1" applyAlignment="1">
      <alignment horizontal="center" vertical="center"/>
    </xf>
    <xf numFmtId="0" fontId="3" fillId="0" borderId="16" xfId="0" applyFont="1" applyBorder="1" applyAlignment="1">
      <alignment horizontal="center" vertical="center"/>
    </xf>
    <xf numFmtId="17" fontId="6" fillId="0" borderId="10" xfId="0" applyNumberFormat="1" applyFont="1" applyBorder="1" applyAlignment="1">
      <alignment horizontal="center" vertical="center"/>
    </xf>
    <xf numFmtId="3" fontId="6" fillId="11" borderId="10"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176" fontId="6" fillId="0" borderId="3" xfId="8" applyFont="1" applyBorder="1" applyAlignment="1">
      <alignment horizontal="center" vertical="center"/>
    </xf>
    <xf numFmtId="172" fontId="9" fillId="0" borderId="3" xfId="16" applyFont="1" applyBorder="1" applyAlignment="1">
      <alignment horizontal="center" vertical="center"/>
    </xf>
    <xf numFmtId="4" fontId="6" fillId="0" borderId="3" xfId="8" applyNumberFormat="1" applyFont="1" applyBorder="1" applyAlignment="1">
      <alignment horizontal="center" vertical="center"/>
    </xf>
    <xf numFmtId="175" fontId="6" fillId="0" borderId="3" xfId="16" applyNumberFormat="1" applyFont="1" applyBorder="1" applyAlignment="1">
      <alignment horizontal="center" vertical="center"/>
    </xf>
    <xf numFmtId="9" fontId="6" fillId="0" borderId="3" xfId="2" applyFont="1" applyBorder="1" applyAlignment="1">
      <alignment horizontal="center" vertical="center"/>
    </xf>
    <xf numFmtId="0" fontId="9" fillId="0" borderId="16" xfId="0" applyFont="1" applyBorder="1" applyAlignment="1">
      <alignment horizontal="center" vertical="center"/>
    </xf>
    <xf numFmtId="0" fontId="3" fillId="2" borderId="16" xfId="0" applyFont="1" applyFill="1" applyBorder="1" applyAlignment="1">
      <alignment horizontal="center" vertical="center"/>
    </xf>
    <xf numFmtId="0" fontId="6" fillId="6" borderId="8" xfId="0" applyFont="1" applyFill="1" applyBorder="1" applyAlignment="1">
      <alignment horizontal="center" vertical="center" wrapText="1"/>
    </xf>
    <xf numFmtId="0" fontId="2" fillId="6" borderId="5" xfId="0" applyFont="1" applyFill="1" applyBorder="1" applyAlignment="1">
      <alignment horizontal="center" vertical="center"/>
    </xf>
    <xf numFmtId="0" fontId="2" fillId="6" borderId="5" xfId="0" applyFont="1" applyFill="1" applyBorder="1" applyAlignment="1">
      <alignment horizontal="center" vertical="center" wrapText="1"/>
    </xf>
    <xf numFmtId="165" fontId="2" fillId="6" borderId="5" xfId="0" applyNumberFormat="1" applyFont="1" applyFill="1" applyBorder="1" applyAlignment="1">
      <alignment horizontal="center" vertical="center"/>
    </xf>
    <xf numFmtId="176" fontId="2" fillId="6" borderId="5" xfId="8" applyFont="1" applyFill="1" applyBorder="1" applyAlignment="1">
      <alignment horizontal="center" vertical="center"/>
    </xf>
    <xf numFmtId="4" fontId="2" fillId="6" borderId="5" xfId="8" applyNumberFormat="1" applyFont="1" applyFill="1" applyBorder="1" applyAlignment="1">
      <alignment horizontal="center" vertical="center"/>
    </xf>
    <xf numFmtId="1" fontId="2" fillId="6" borderId="5" xfId="0" applyNumberFormat="1" applyFont="1" applyFill="1" applyBorder="1" applyAlignment="1">
      <alignment horizontal="center" vertical="center"/>
    </xf>
    <xf numFmtId="0" fontId="2" fillId="6" borderId="5" xfId="0" applyFont="1" applyFill="1" applyBorder="1" applyAlignment="1">
      <alignment horizontal="justify" vertical="center"/>
    </xf>
    <xf numFmtId="9" fontId="2" fillId="6" borderId="5" xfId="2" applyFont="1" applyFill="1" applyBorder="1" applyAlignment="1">
      <alignment horizontal="center" vertical="center"/>
    </xf>
    <xf numFmtId="168" fontId="2" fillId="6" borderId="5" xfId="0" applyNumberFormat="1" applyFont="1" applyFill="1" applyBorder="1" applyAlignment="1">
      <alignment horizontal="center" vertical="center"/>
    </xf>
    <xf numFmtId="0" fontId="2" fillId="6" borderId="7" xfId="0" applyFont="1" applyFill="1" applyBorder="1" applyAlignment="1">
      <alignment horizontal="center" vertical="center"/>
    </xf>
    <xf numFmtId="0" fontId="6" fillId="7" borderId="12" xfId="0" applyFont="1" applyFill="1" applyBorder="1" applyAlignment="1">
      <alignment horizontal="center" vertical="center" wrapText="1"/>
    </xf>
    <xf numFmtId="0" fontId="9" fillId="7" borderId="11" xfId="0" applyFont="1" applyFill="1" applyBorder="1" applyAlignment="1">
      <alignment horizontal="left" vertical="center"/>
    </xf>
    <xf numFmtId="0" fontId="2" fillId="7" borderId="11" xfId="0" applyFont="1" applyFill="1" applyBorder="1" applyAlignment="1">
      <alignment horizontal="center" vertical="center" wrapText="1"/>
    </xf>
    <xf numFmtId="176" fontId="2" fillId="7" borderId="11" xfId="8" applyFont="1" applyFill="1" applyBorder="1" applyAlignment="1">
      <alignment horizontal="center" vertical="center"/>
    </xf>
    <xf numFmtId="4" fontId="2" fillId="7" borderId="11" xfId="8" applyNumberFormat="1" applyFont="1" applyFill="1" applyBorder="1" applyAlignment="1">
      <alignment horizontal="center" vertical="center"/>
    </xf>
    <xf numFmtId="1" fontId="2" fillId="7" borderId="11" xfId="0" applyNumberFormat="1" applyFont="1" applyFill="1" applyBorder="1" applyAlignment="1">
      <alignment horizontal="center" vertical="center"/>
    </xf>
    <xf numFmtId="9" fontId="2" fillId="7" borderId="11" xfId="2" applyFont="1" applyFill="1" applyBorder="1" applyAlignment="1">
      <alignment horizontal="center" vertical="center"/>
    </xf>
    <xf numFmtId="0" fontId="2" fillId="7" borderId="12" xfId="0" applyFont="1" applyFill="1" applyBorder="1" applyAlignment="1">
      <alignment horizontal="center" vertical="center"/>
    </xf>
    <xf numFmtId="0" fontId="9" fillId="0" borderId="2" xfId="5" applyNumberFormat="1" applyFont="1" applyFill="1" applyBorder="1" applyAlignment="1">
      <alignment horizontal="justify" vertical="center" wrapText="1"/>
    </xf>
    <xf numFmtId="0" fontId="3" fillId="2" borderId="6" xfId="0" applyFont="1" applyFill="1" applyBorder="1" applyAlignment="1">
      <alignment horizontal="center" vertical="center" wrapText="1"/>
    </xf>
    <xf numFmtId="180" fontId="9" fillId="0" borderId="18" xfId="6" applyNumberFormat="1" applyFont="1" applyBorder="1" applyAlignment="1">
      <alignment horizontal="center" vertical="center"/>
    </xf>
    <xf numFmtId="4" fontId="9" fillId="2" borderId="2" xfId="6" applyNumberFormat="1" applyFont="1" applyFill="1" applyBorder="1" applyAlignment="1">
      <alignment horizontal="center" vertical="center"/>
    </xf>
    <xf numFmtId="4" fontId="9" fillId="2" borderId="18" xfId="6" applyNumberFormat="1" applyFont="1" applyFill="1" applyBorder="1" applyAlignment="1">
      <alignment horizontal="center" vertical="center"/>
    </xf>
    <xf numFmtId="0" fontId="3" fillId="0" borderId="8" xfId="0" applyFont="1" applyBorder="1" applyAlignment="1">
      <alignment horizontal="center" vertical="center"/>
    </xf>
    <xf numFmtId="4" fontId="3" fillId="0" borderId="12" xfId="8" applyNumberFormat="1" applyFont="1" applyBorder="1" applyAlignment="1">
      <alignment horizontal="center" vertical="center"/>
    </xf>
    <xf numFmtId="9" fontId="3" fillId="0" borderId="7" xfId="2" applyFont="1" applyBorder="1" applyAlignment="1">
      <alignment horizontal="center" vertical="center"/>
    </xf>
    <xf numFmtId="0" fontId="2" fillId="7" borderId="2" xfId="0" applyFont="1" applyFill="1" applyBorder="1" applyAlignment="1">
      <alignment horizontal="center" vertical="center" wrapText="1"/>
    </xf>
    <xf numFmtId="180" fontId="2" fillId="7" borderId="11" xfId="6" applyNumberFormat="1" applyFont="1" applyFill="1" applyBorder="1" applyAlignment="1">
      <alignment horizontal="center" vertical="center"/>
    </xf>
    <xf numFmtId="4" fontId="2" fillId="7" borderId="11" xfId="6" applyNumberFormat="1" applyFont="1" applyFill="1" applyBorder="1" applyAlignment="1">
      <alignment horizontal="center" vertical="center"/>
    </xf>
    <xf numFmtId="4" fontId="2" fillId="7" borderId="12" xfId="8" applyNumberFormat="1" applyFont="1" applyFill="1" applyBorder="1" applyAlignment="1">
      <alignment horizontal="center" vertical="center"/>
    </xf>
    <xf numFmtId="4" fontId="2" fillId="7" borderId="2" xfId="8" applyNumberFormat="1" applyFont="1" applyFill="1" applyBorder="1" applyAlignment="1">
      <alignment horizontal="center" vertical="center"/>
    </xf>
    <xf numFmtId="0" fontId="2" fillId="7" borderId="12" xfId="0" applyFont="1" applyFill="1" applyBorder="1" applyAlignment="1">
      <alignment horizontal="center" vertical="center" wrapText="1"/>
    </xf>
    <xf numFmtId="1" fontId="3" fillId="0" borderId="16" xfId="0" applyNumberFormat="1"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7" xfId="2" applyNumberFormat="1" applyFont="1" applyBorder="1" applyAlignment="1">
      <alignment horizontal="center" vertical="center"/>
    </xf>
    <xf numFmtId="4" fontId="3" fillId="2" borderId="2" xfId="6"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xf>
    <xf numFmtId="4" fontId="9" fillId="2" borderId="21" xfId="0" applyNumberFormat="1" applyFont="1" applyFill="1" applyBorder="1" applyAlignment="1">
      <alignment horizontal="center" vertical="center"/>
    </xf>
    <xf numFmtId="1" fontId="3" fillId="0" borderId="34" xfId="0" applyNumberFormat="1" applyFont="1" applyBorder="1" applyAlignment="1">
      <alignment horizontal="center" vertical="center"/>
    </xf>
    <xf numFmtId="1" fontId="2" fillId="0" borderId="34" xfId="0" applyNumberFormat="1" applyFont="1" applyBorder="1" applyAlignment="1">
      <alignment horizontal="center" vertical="center"/>
    </xf>
    <xf numFmtId="4" fontId="9" fillId="2" borderId="20" xfId="0" applyNumberFormat="1" applyFont="1" applyFill="1" applyBorder="1" applyAlignment="1">
      <alignment horizontal="center" vertical="center"/>
    </xf>
    <xf numFmtId="4" fontId="9" fillId="2" borderId="2" xfId="6" applyNumberFormat="1" applyFont="1" applyFill="1" applyBorder="1" applyAlignment="1">
      <alignment horizontal="center" vertical="center" wrapText="1"/>
    </xf>
    <xf numFmtId="4" fontId="9" fillId="2" borderId="27" xfId="0" applyNumberFormat="1" applyFont="1" applyFill="1" applyBorder="1" applyAlignment="1">
      <alignment horizontal="center" vertical="center"/>
    </xf>
    <xf numFmtId="0" fontId="2" fillId="7" borderId="5" xfId="0" applyFont="1" applyFill="1" applyBorder="1" applyAlignment="1">
      <alignment horizontal="center" vertical="center" wrapText="1"/>
    </xf>
    <xf numFmtId="0" fontId="6" fillId="7" borderId="5" xfId="0" applyFont="1" applyFill="1" applyBorder="1" applyAlignment="1">
      <alignment horizontal="center" vertical="center" wrapText="1"/>
    </xf>
    <xf numFmtId="180" fontId="2" fillId="7" borderId="5" xfId="6" applyNumberFormat="1" applyFont="1" applyFill="1" applyBorder="1" applyAlignment="1">
      <alignment horizontal="center" vertical="center"/>
    </xf>
    <xf numFmtId="4" fontId="2" fillId="7" borderId="5" xfId="6" applyNumberFormat="1" applyFont="1" applyFill="1" applyBorder="1" applyAlignment="1">
      <alignment horizontal="center" vertical="center"/>
    </xf>
    <xf numFmtId="1" fontId="2" fillId="7" borderId="5" xfId="0" applyNumberFormat="1" applyFont="1" applyFill="1" applyBorder="1" applyAlignment="1">
      <alignment horizontal="center" vertical="center"/>
    </xf>
    <xf numFmtId="4" fontId="2" fillId="7" borderId="12" xfId="6" applyNumberFormat="1" applyFont="1" applyFill="1" applyBorder="1" applyAlignment="1">
      <alignment horizontal="center" vertical="center"/>
    </xf>
    <xf numFmtId="4" fontId="2" fillId="7" borderId="2" xfId="6" applyNumberFormat="1" applyFont="1" applyFill="1" applyBorder="1" applyAlignment="1">
      <alignment horizontal="center" vertical="center"/>
    </xf>
    <xf numFmtId="0" fontId="2" fillId="7" borderId="7" xfId="0" applyFont="1" applyFill="1" applyBorder="1" applyAlignment="1">
      <alignment horizontal="center" vertical="center" wrapText="1"/>
    </xf>
    <xf numFmtId="4" fontId="9" fillId="2" borderId="34" xfId="0" applyNumberFormat="1" applyFont="1" applyFill="1" applyBorder="1" applyAlignment="1">
      <alignment horizontal="center" vertical="center"/>
    </xf>
    <xf numFmtId="4" fontId="9" fillId="2" borderId="33" xfId="0" applyNumberFormat="1" applyFont="1" applyFill="1" applyBorder="1" applyAlignment="1">
      <alignment horizontal="center" vertical="center"/>
    </xf>
    <xf numFmtId="0" fontId="2" fillId="7" borderId="3" xfId="0" applyFont="1" applyFill="1" applyBorder="1" applyAlignment="1">
      <alignment horizontal="center" vertical="center" wrapText="1"/>
    </xf>
    <xf numFmtId="180" fontId="2" fillId="7" borderId="3" xfId="6" applyNumberFormat="1" applyFont="1" applyFill="1" applyBorder="1" applyAlignment="1">
      <alignment horizontal="center" vertical="center"/>
    </xf>
    <xf numFmtId="4" fontId="2" fillId="7" borderId="3" xfId="6" applyNumberFormat="1" applyFont="1" applyFill="1" applyBorder="1" applyAlignment="1">
      <alignment horizontal="center" vertical="center"/>
    </xf>
    <xf numFmtId="1" fontId="2" fillId="7" borderId="3" xfId="0" applyNumberFormat="1" applyFont="1" applyFill="1" applyBorder="1" applyAlignment="1">
      <alignment horizontal="center" vertical="center"/>
    </xf>
    <xf numFmtId="0" fontId="2" fillId="7" borderId="10" xfId="0" applyFont="1" applyFill="1" applyBorder="1" applyAlignment="1">
      <alignment horizontal="center" vertical="center"/>
    </xf>
    <xf numFmtId="0" fontId="2" fillId="7" borderId="3" xfId="0" applyFont="1" applyFill="1" applyBorder="1" applyAlignment="1">
      <alignment horizontal="center" vertical="center"/>
    </xf>
    <xf numFmtId="168" fontId="2" fillId="7" borderId="3" xfId="0" applyNumberFormat="1" applyFont="1" applyFill="1" applyBorder="1" applyAlignment="1">
      <alignment horizontal="center" vertical="center"/>
    </xf>
    <xf numFmtId="0" fontId="2" fillId="7" borderId="4" xfId="0" applyFont="1" applyFill="1" applyBorder="1" applyAlignment="1">
      <alignment horizontal="center" vertical="center" wrapText="1"/>
    </xf>
    <xf numFmtId="0" fontId="6" fillId="7" borderId="7" xfId="0" applyFont="1" applyFill="1" applyBorder="1" applyAlignment="1">
      <alignment horizontal="center" vertical="center" wrapText="1"/>
    </xf>
    <xf numFmtId="4" fontId="9" fillId="0" borderId="2" xfId="0" applyNumberFormat="1" applyFont="1" applyFill="1" applyBorder="1" applyAlignment="1">
      <alignment horizontal="center" vertical="center"/>
    </xf>
    <xf numFmtId="0" fontId="6" fillId="6" borderId="17" xfId="0" applyFont="1" applyFill="1" applyBorder="1" applyAlignment="1">
      <alignment horizontal="center" vertical="center" wrapText="1"/>
    </xf>
    <xf numFmtId="0" fontId="6" fillId="6" borderId="11" xfId="0" applyFont="1" applyFill="1" applyBorder="1" applyAlignment="1">
      <alignment horizontal="center" vertical="center" wrapText="1"/>
    </xf>
    <xf numFmtId="180" fontId="2" fillId="6" borderId="11" xfId="6" applyNumberFormat="1" applyFont="1" applyFill="1" applyBorder="1" applyAlignment="1">
      <alignment horizontal="center" vertical="center"/>
    </xf>
    <xf numFmtId="4" fontId="2" fillId="6" borderId="11" xfId="6" applyNumberFormat="1" applyFont="1" applyFill="1" applyBorder="1" applyAlignment="1">
      <alignment horizontal="center" vertical="center"/>
    </xf>
    <xf numFmtId="4" fontId="2" fillId="6" borderId="12" xfId="6" applyNumberFormat="1" applyFont="1" applyFill="1" applyBorder="1" applyAlignment="1">
      <alignment horizontal="center" vertical="center"/>
    </xf>
    <xf numFmtId="4" fontId="2" fillId="6" borderId="2" xfId="6" applyNumberFormat="1" applyFont="1" applyFill="1" applyBorder="1" applyAlignment="1">
      <alignment horizontal="center" vertical="center"/>
    </xf>
    <xf numFmtId="0" fontId="2" fillId="6" borderId="2"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10" fontId="3" fillId="2" borderId="2" xfId="2" applyNumberFormat="1" applyFont="1" applyFill="1" applyBorder="1" applyAlignment="1">
      <alignment horizontal="center" vertical="center"/>
    </xf>
    <xf numFmtId="180" fontId="9" fillId="0" borderId="9" xfId="6" applyNumberFormat="1" applyFont="1" applyBorder="1" applyAlignment="1">
      <alignment horizontal="center" vertical="center"/>
    </xf>
    <xf numFmtId="4" fontId="3" fillId="0" borderId="2" xfId="6" applyNumberFormat="1" applyFont="1" applyBorder="1" applyAlignment="1">
      <alignment horizontal="center" vertical="center"/>
    </xf>
    <xf numFmtId="9" fontId="2" fillId="0" borderId="2" xfId="2" applyFont="1" applyBorder="1" applyAlignment="1">
      <alignment horizontal="center" vertical="center"/>
    </xf>
    <xf numFmtId="169" fontId="3" fillId="2" borderId="10" xfId="0" applyNumberFormat="1" applyFont="1" applyFill="1" applyBorder="1" applyAlignment="1">
      <alignment horizontal="center" vertical="center" wrapText="1"/>
    </xf>
    <xf numFmtId="1" fontId="3" fillId="0" borderId="6" xfId="0" applyNumberFormat="1" applyFont="1" applyBorder="1" applyAlignment="1">
      <alignment horizontal="center" vertical="center"/>
    </xf>
    <xf numFmtId="4" fontId="3" fillId="0" borderId="12" xfId="6" applyNumberFormat="1" applyFont="1" applyBorder="1" applyAlignment="1">
      <alignment horizontal="center" vertical="center"/>
    </xf>
    <xf numFmtId="9" fontId="2" fillId="0" borderId="5" xfId="2" applyFont="1" applyBorder="1" applyAlignment="1">
      <alignment horizontal="center" vertical="center"/>
    </xf>
    <xf numFmtId="169" fontId="3" fillId="2" borderId="8" xfId="0" applyNumberFormat="1" applyFont="1" applyFill="1" applyBorder="1" applyAlignment="1">
      <alignment horizontal="center" vertical="center" wrapText="1"/>
    </xf>
    <xf numFmtId="0" fontId="2" fillId="6" borderId="12" xfId="0" applyFont="1" applyFill="1" applyBorder="1" applyAlignment="1">
      <alignment horizontal="center" vertical="center" wrapText="1"/>
    </xf>
    <xf numFmtId="4" fontId="20" fillId="2" borderId="2" xfId="0" applyNumberFormat="1" applyFont="1" applyFill="1" applyBorder="1" applyAlignment="1">
      <alignment horizontal="center" vertical="center"/>
    </xf>
    <xf numFmtId="0" fontId="9" fillId="0" borderId="2" xfId="9" applyNumberFormat="1" applyFont="1" applyFill="1" applyBorder="1" applyAlignment="1">
      <alignment horizontal="center" vertical="center" wrapText="1"/>
    </xf>
    <xf numFmtId="0" fontId="9" fillId="2" borderId="2" xfId="5" applyNumberFormat="1" applyFont="1" applyFill="1" applyBorder="1" applyAlignment="1">
      <alignment horizontal="justify" vertical="center" wrapText="1"/>
    </xf>
    <xf numFmtId="180" fontId="9" fillId="0" borderId="2" xfId="6" applyNumberFormat="1" applyFont="1" applyBorder="1" applyAlignment="1">
      <alignment horizontal="center" vertical="center"/>
    </xf>
    <xf numFmtId="4" fontId="9" fillId="0" borderId="2" xfId="6" applyNumberFormat="1" applyFont="1" applyBorder="1" applyAlignment="1">
      <alignment horizontal="center" vertical="center"/>
    </xf>
    <xf numFmtId="0" fontId="3" fillId="0" borderId="33" xfId="0" applyFont="1" applyBorder="1" applyAlignment="1">
      <alignment horizontal="center" vertical="center"/>
    </xf>
    <xf numFmtId="4" fontId="2" fillId="7" borderId="0" xfId="6" applyNumberFormat="1" applyFont="1" applyFill="1" applyAlignment="1">
      <alignment horizontal="center" vertical="center"/>
    </xf>
    <xf numFmtId="4" fontId="3" fillId="2" borderId="20" xfId="6" applyNumberFormat="1" applyFont="1" applyFill="1"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center" vertical="center"/>
    </xf>
    <xf numFmtId="0" fontId="3" fillId="0" borderId="6" xfId="0" applyFont="1" applyBorder="1" applyAlignment="1">
      <alignment horizontal="center" vertical="center"/>
    </xf>
    <xf numFmtId="0" fontId="2" fillId="0" borderId="18" xfId="0" applyFont="1" applyBorder="1" applyAlignment="1">
      <alignment horizontal="center" vertical="center"/>
    </xf>
    <xf numFmtId="0" fontId="6" fillId="7" borderId="1" xfId="0" applyFont="1" applyFill="1" applyBorder="1" applyAlignment="1">
      <alignment horizontal="center" vertical="center" wrapText="1"/>
    </xf>
    <xf numFmtId="180" fontId="2" fillId="7" borderId="0" xfId="6" applyNumberFormat="1" applyFont="1" applyFill="1" applyAlignment="1">
      <alignment horizontal="center" vertical="center"/>
    </xf>
    <xf numFmtId="4" fontId="9" fillId="2" borderId="20" xfId="6" applyNumberFormat="1" applyFont="1" applyFill="1" applyBorder="1" applyAlignment="1">
      <alignment horizontal="center" vertical="center"/>
    </xf>
    <xf numFmtId="170" fontId="9" fillId="0" borderId="20" xfId="5" applyFont="1" applyFill="1" applyBorder="1" applyAlignment="1">
      <alignment horizontal="justify" vertical="center" wrapText="1"/>
    </xf>
    <xf numFmtId="10" fontId="3" fillId="2" borderId="29" xfId="2" applyNumberFormat="1" applyFont="1" applyFill="1" applyBorder="1" applyAlignment="1">
      <alignment horizontal="center" vertical="center"/>
    </xf>
    <xf numFmtId="170" fontId="9" fillId="0" borderId="57" xfId="5" applyFont="1" applyFill="1" applyBorder="1" applyAlignment="1">
      <alignment horizontal="justify" vertical="center" wrapText="1"/>
    </xf>
    <xf numFmtId="4" fontId="9" fillId="2" borderId="27" xfId="6" applyNumberFormat="1" applyFont="1" applyFill="1" applyBorder="1" applyAlignment="1">
      <alignment horizontal="center" vertical="center"/>
    </xf>
    <xf numFmtId="10" fontId="3" fillId="2" borderId="33" xfId="2" applyNumberFormat="1" applyFont="1" applyFill="1" applyBorder="1" applyAlignment="1">
      <alignment horizontal="center" vertical="center"/>
    </xf>
    <xf numFmtId="170" fontId="9" fillId="0" borderId="34" xfId="5" applyFont="1" applyFill="1" applyBorder="1" applyAlignment="1">
      <alignment horizontal="justify" vertical="center" wrapText="1"/>
    </xf>
    <xf numFmtId="0" fontId="2" fillId="6" borderId="11" xfId="0" applyFont="1" applyFill="1" applyBorder="1" applyAlignment="1">
      <alignment horizontal="center" vertical="center" wrapText="1"/>
    </xf>
    <xf numFmtId="180" fontId="2" fillId="6" borderId="3" xfId="6" applyNumberFormat="1" applyFont="1" applyFill="1" applyBorder="1" applyAlignment="1">
      <alignment horizontal="center" vertical="center"/>
    </xf>
    <xf numFmtId="0" fontId="2" fillId="6" borderId="3" xfId="0" applyFont="1" applyFill="1" applyBorder="1" applyAlignment="1">
      <alignment horizontal="justify" vertical="center" wrapText="1"/>
    </xf>
    <xf numFmtId="4" fontId="9" fillId="2" borderId="34" xfId="6" applyNumberFormat="1" applyFont="1" applyFill="1" applyBorder="1" applyAlignment="1">
      <alignment horizontal="center" vertical="center"/>
    </xf>
    <xf numFmtId="4" fontId="3" fillId="2" borderId="21" xfId="6" applyNumberFormat="1" applyFont="1" applyFill="1" applyBorder="1" applyAlignment="1">
      <alignment horizontal="center" vertical="center"/>
    </xf>
    <xf numFmtId="4" fontId="9" fillId="2" borderId="12" xfId="6" applyNumberFormat="1" applyFont="1" applyFill="1" applyBorder="1" applyAlignment="1">
      <alignment horizontal="center" vertical="center"/>
    </xf>
    <xf numFmtId="180" fontId="6" fillId="0" borderId="2" xfId="6" applyNumberFormat="1" applyFont="1" applyBorder="1" applyAlignment="1">
      <alignment horizontal="center" vertical="center"/>
    </xf>
    <xf numFmtId="4" fontId="6" fillId="0" borderId="2" xfId="6" applyNumberFormat="1" applyFont="1" applyBorder="1" applyAlignment="1">
      <alignment horizontal="center" vertical="center"/>
    </xf>
    <xf numFmtId="4" fontId="6" fillId="2" borderId="2" xfId="6" applyNumberFormat="1" applyFont="1" applyFill="1" applyBorder="1" applyAlignment="1">
      <alignment horizontal="center" vertical="center"/>
    </xf>
    <xf numFmtId="0" fontId="3" fillId="0" borderId="10" xfId="0" applyFont="1" applyBorder="1" applyAlignment="1">
      <alignment horizontal="center" vertical="center"/>
    </xf>
    <xf numFmtId="4" fontId="6" fillId="0" borderId="12" xfId="6" applyNumberFormat="1" applyFont="1" applyBorder="1" applyAlignment="1">
      <alignment horizontal="center" vertical="center"/>
    </xf>
    <xf numFmtId="0" fontId="3" fillId="0" borderId="0" xfId="0" applyFont="1" applyFill="1" applyAlignment="1">
      <alignment horizontal="center" vertical="center"/>
    </xf>
    <xf numFmtId="176" fontId="3" fillId="2" borderId="0" xfId="8" applyFont="1" applyFill="1" applyAlignment="1">
      <alignment horizontal="center" vertical="center"/>
    </xf>
    <xf numFmtId="4" fontId="3" fillId="0" borderId="0" xfId="8" applyNumberFormat="1" applyFont="1" applyFill="1" applyAlignment="1">
      <alignment horizontal="center" vertical="center"/>
    </xf>
    <xf numFmtId="4" fontId="3" fillId="0" borderId="0" xfId="8" applyNumberFormat="1" applyFont="1" applyAlignment="1">
      <alignment horizontal="center" vertical="center"/>
    </xf>
    <xf numFmtId="9" fontId="3" fillId="0" borderId="0" xfId="2" applyFont="1" applyAlignment="1">
      <alignment horizontal="center" vertical="center"/>
    </xf>
    <xf numFmtId="43" fontId="3" fillId="2" borderId="0" xfId="0" applyNumberFormat="1" applyFont="1" applyFill="1" applyAlignment="1">
      <alignment horizontal="center" vertical="center" wrapText="1"/>
    </xf>
    <xf numFmtId="166" fontId="3" fillId="2" borderId="3" xfId="0" applyNumberFormat="1" applyFont="1" applyFill="1" applyBorder="1" applyAlignment="1">
      <alignment horizontal="center" vertical="center"/>
    </xf>
    <xf numFmtId="0" fontId="3" fillId="2" borderId="3" xfId="0" applyFont="1" applyFill="1" applyBorder="1" applyAlignment="1">
      <alignment horizontal="center" vertical="center"/>
    </xf>
    <xf numFmtId="4" fontId="3" fillId="2" borderId="0" xfId="8" applyNumberFormat="1" applyFont="1" applyFill="1" applyAlignment="1">
      <alignment horizontal="center" vertical="center"/>
    </xf>
    <xf numFmtId="176" fontId="3" fillId="0" borderId="0" xfId="8" applyFont="1" applyAlignment="1">
      <alignment horizontal="center" vertical="center"/>
    </xf>
    <xf numFmtId="4" fontId="9" fillId="0" borderId="33" xfId="6" applyNumberFormat="1" applyFont="1" applyFill="1" applyBorder="1" applyAlignment="1">
      <alignment horizontal="center" vertical="center"/>
    </xf>
    <xf numFmtId="0" fontId="3" fillId="2" borderId="9" xfId="0" applyFont="1" applyFill="1" applyBorder="1" applyAlignment="1">
      <alignment horizontal="center" vertical="center"/>
    </xf>
    <xf numFmtId="0" fontId="2" fillId="2" borderId="0" xfId="0" applyFont="1" applyFill="1" applyAlignment="1">
      <alignment horizontal="center"/>
    </xf>
    <xf numFmtId="0" fontId="3" fillId="2" borderId="2"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9" fillId="2" borderId="20" xfId="5" applyNumberFormat="1"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27" xfId="5" applyNumberFormat="1" applyFont="1" applyFill="1" applyBorder="1" applyAlignment="1">
      <alignment horizontal="center" vertical="center" wrapText="1"/>
    </xf>
    <xf numFmtId="0" fontId="3" fillId="2" borderId="0" xfId="0" applyFont="1" applyFill="1" applyAlignment="1">
      <alignment horizontal="center" vertical="center" wrapText="1"/>
    </xf>
    <xf numFmtId="9" fontId="9" fillId="0" borderId="23" xfId="2" applyFont="1" applyBorder="1" applyAlignment="1">
      <alignment horizontal="center" vertical="center" wrapText="1"/>
    </xf>
    <xf numFmtId="9" fontId="9" fillId="0" borderId="27" xfId="2" applyFont="1" applyBorder="1" applyAlignment="1">
      <alignment horizontal="center" vertical="center" wrapText="1"/>
    </xf>
    <xf numFmtId="0" fontId="3" fillId="0" borderId="2"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9" fillId="0" borderId="21" xfId="0" applyFont="1" applyBorder="1" applyAlignment="1">
      <alignment horizontal="justify" vertical="center" wrapText="1"/>
    </xf>
    <xf numFmtId="0" fontId="9" fillId="0" borderId="18" xfId="0" applyFont="1" applyBorder="1" applyAlignment="1">
      <alignment horizontal="center" vertical="center" wrapText="1"/>
    </xf>
    <xf numFmtId="0" fontId="9" fillId="0" borderId="9" xfId="0" applyFont="1" applyBorder="1" applyAlignment="1">
      <alignment horizontal="justify" vertical="center" wrapText="1"/>
    </xf>
    <xf numFmtId="0" fontId="9" fillId="0" borderId="33" xfId="0" applyFont="1" applyBorder="1" applyAlignment="1">
      <alignment horizontal="center" vertical="center" wrapText="1"/>
    </xf>
    <xf numFmtId="0" fontId="9" fillId="0" borderId="20" xfId="0" applyFont="1" applyBorder="1" applyAlignment="1">
      <alignment horizontal="justify" vertical="center" wrapText="1"/>
    </xf>
    <xf numFmtId="0" fontId="9" fillId="0" borderId="4" xfId="0" applyFont="1" applyBorder="1" applyAlignment="1">
      <alignment horizontal="center" vertical="center" wrapText="1"/>
    </xf>
    <xf numFmtId="0" fontId="9" fillId="2" borderId="20" xfId="0" applyFont="1" applyFill="1" applyBorder="1" applyAlignment="1">
      <alignment horizontal="justify" vertical="center" wrapText="1"/>
    </xf>
    <xf numFmtId="0" fontId="9" fillId="0" borderId="2" xfId="0" applyFont="1" applyBorder="1" applyAlignment="1">
      <alignment horizontal="justify" vertical="center" wrapText="1"/>
    </xf>
    <xf numFmtId="0" fontId="6" fillId="7" borderId="8" xfId="0" applyFont="1" applyFill="1" applyBorder="1" applyAlignment="1">
      <alignment horizontal="left" vertical="center"/>
    </xf>
    <xf numFmtId="0" fontId="6" fillId="7" borderId="5" xfId="0" applyFont="1" applyFill="1" applyBorder="1" applyAlignment="1">
      <alignment horizontal="left" vertical="center"/>
    </xf>
    <xf numFmtId="0" fontId="6" fillId="7" borderId="0" xfId="0" applyFont="1" applyFill="1" applyAlignment="1">
      <alignment horizontal="center" vertical="center"/>
    </xf>
    <xf numFmtId="0" fontId="6" fillId="7" borderId="10" xfId="0" applyFont="1" applyFill="1" applyBorder="1" applyAlignment="1">
      <alignment horizontal="left" vertical="center"/>
    </xf>
    <xf numFmtId="0" fontId="6" fillId="7" borderId="11" xfId="0" applyFont="1" applyFill="1" applyBorder="1" applyAlignment="1">
      <alignment horizontal="left" vertical="center"/>
    </xf>
    <xf numFmtId="0" fontId="6" fillId="6" borderId="11" xfId="0" applyFont="1" applyFill="1" applyBorder="1" applyAlignment="1">
      <alignment horizontal="left" vertical="center"/>
    </xf>
    <xf numFmtId="0" fontId="6" fillId="0" borderId="6" xfId="0" applyFont="1" applyBorder="1" applyAlignment="1">
      <alignment horizontal="center" vertical="center" wrapText="1"/>
    </xf>
    <xf numFmtId="0" fontId="6" fillId="0" borderId="0" xfId="0" applyFont="1" applyAlignment="1">
      <alignment horizontal="center" vertical="center"/>
    </xf>
    <xf numFmtId="0" fontId="6" fillId="7" borderId="9"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justify" vertical="center" wrapText="1"/>
    </xf>
    <xf numFmtId="0" fontId="9" fillId="2" borderId="16" xfId="0" applyFont="1" applyFill="1" applyBorder="1" applyAlignment="1">
      <alignment horizontal="justify" vertical="center" wrapText="1"/>
    </xf>
    <xf numFmtId="0" fontId="9" fillId="2" borderId="2" xfId="0" applyFont="1" applyFill="1" applyBorder="1" applyAlignment="1">
      <alignment horizontal="justify" vertical="center" wrapText="1"/>
    </xf>
    <xf numFmtId="0" fontId="9" fillId="0" borderId="0" xfId="0" applyFont="1" applyAlignment="1">
      <alignment horizontal="justify" vertical="center" wrapText="1"/>
    </xf>
    <xf numFmtId="1" fontId="9" fillId="0" borderId="21" xfId="0" applyNumberFormat="1" applyFont="1" applyBorder="1" applyAlignment="1">
      <alignment horizontal="center" vertical="center" wrapText="1"/>
    </xf>
    <xf numFmtId="0" fontId="9" fillId="2" borderId="20" xfId="0" applyFont="1" applyFill="1" applyBorder="1" applyAlignment="1">
      <alignment horizontal="center" vertical="center" wrapText="1"/>
    </xf>
    <xf numFmtId="0" fontId="6" fillId="7" borderId="18" xfId="0" applyFont="1" applyFill="1" applyBorder="1" applyAlignment="1">
      <alignment horizontal="left" vertical="center" wrapText="1"/>
    </xf>
    <xf numFmtId="0" fontId="9" fillId="2" borderId="6" xfId="0" applyFont="1" applyFill="1" applyBorder="1" applyAlignment="1">
      <alignment horizontal="justify" vertical="center" wrapText="1"/>
    </xf>
    <xf numFmtId="0" fontId="9" fillId="0" borderId="8" xfId="0" applyFont="1" applyBorder="1" applyAlignment="1">
      <alignment horizontal="justify" vertical="center" wrapText="1"/>
    </xf>
    <xf numFmtId="0" fontId="9" fillId="2" borderId="16" xfId="0" applyFont="1" applyFill="1" applyBorder="1" applyAlignment="1">
      <alignment horizontal="center" vertical="center" wrapText="1"/>
    </xf>
    <xf numFmtId="0" fontId="9" fillId="2" borderId="33" xfId="0" applyFont="1" applyFill="1" applyBorder="1" applyAlignment="1">
      <alignment horizontal="justify" vertical="center" wrapText="1"/>
    </xf>
    <xf numFmtId="0" fontId="9" fillId="0" borderId="28" xfId="0" applyFont="1" applyFill="1" applyBorder="1" applyAlignment="1">
      <alignment horizontal="justify" vertical="center" wrapText="1"/>
    </xf>
    <xf numFmtId="0" fontId="9" fillId="2" borderId="29" xfId="0" applyFont="1" applyFill="1" applyBorder="1" applyAlignment="1">
      <alignment horizontal="justify" vertical="center" wrapText="1"/>
    </xf>
    <xf numFmtId="0" fontId="6" fillId="2" borderId="5"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9" fillId="2" borderId="20" xfId="5" applyNumberFormat="1" applyFont="1" applyFill="1" applyBorder="1">
      <alignment horizontal="center" vertical="center" wrapText="1"/>
    </xf>
    <xf numFmtId="0" fontId="9" fillId="2" borderId="2" xfId="5" applyNumberFormat="1" applyFont="1" applyFill="1" applyBorder="1">
      <alignment horizontal="center" vertical="center" wrapText="1"/>
    </xf>
    <xf numFmtId="0" fontId="9" fillId="2" borderId="2" xfId="9" applyNumberFormat="1" applyFont="1" applyFill="1" applyBorder="1" applyAlignment="1">
      <alignment horizontal="center" vertical="center" wrapText="1"/>
    </xf>
    <xf numFmtId="0" fontId="9" fillId="2" borderId="21" xfId="5" applyNumberFormat="1" applyFont="1" applyFill="1" applyBorder="1">
      <alignment horizontal="center" vertical="center" wrapText="1"/>
    </xf>
    <xf numFmtId="0" fontId="9" fillId="2" borderId="33" xfId="5" applyNumberFormat="1" applyFont="1" applyFill="1" applyBorder="1" applyAlignment="1">
      <alignment horizontal="center" vertical="center" wrapText="1"/>
    </xf>
    <xf numFmtId="172" fontId="3" fillId="2" borderId="21" xfId="14" applyNumberFormat="1" applyFont="1" applyFill="1" applyBorder="1" applyAlignment="1">
      <alignment horizontal="right" vertical="center" wrapText="1"/>
    </xf>
    <xf numFmtId="172" fontId="3" fillId="2" borderId="33" xfId="14" applyNumberFormat="1" applyFont="1" applyFill="1" applyBorder="1" applyAlignment="1">
      <alignment horizontal="right" vertical="center" wrapText="1"/>
    </xf>
    <xf numFmtId="172" fontId="3" fillId="2" borderId="4" xfId="14" applyNumberFormat="1" applyFont="1" applyFill="1" applyBorder="1" applyAlignment="1">
      <alignment horizontal="right" vertical="center" wrapText="1"/>
    </xf>
    <xf numFmtId="172" fontId="20" fillId="2" borderId="2" xfId="14" applyNumberFormat="1" applyFont="1" applyFill="1" applyBorder="1" applyAlignment="1">
      <alignment horizontal="right" vertical="center" wrapText="1"/>
    </xf>
    <xf numFmtId="172" fontId="3" fillId="2" borderId="12" xfId="14" applyNumberFormat="1" applyFont="1" applyFill="1" applyBorder="1" applyAlignment="1">
      <alignment horizontal="right" vertical="center" wrapText="1"/>
    </xf>
    <xf numFmtId="172" fontId="20" fillId="2" borderId="9" xfId="14" applyNumberFormat="1" applyFont="1" applyFill="1" applyBorder="1" applyAlignment="1">
      <alignment horizontal="right" vertical="center" wrapText="1"/>
    </xf>
    <xf numFmtId="172" fontId="9" fillId="2" borderId="2" xfId="16" applyFont="1" applyFill="1" applyBorder="1" applyAlignment="1" applyProtection="1">
      <alignment horizontal="center" vertical="center"/>
      <protection locked="0"/>
    </xf>
    <xf numFmtId="172" fontId="9" fillId="2" borderId="20" xfId="14" applyNumberFormat="1" applyFont="1" applyFill="1" applyBorder="1" applyAlignment="1">
      <alignment horizontal="right" vertical="center" wrapText="1"/>
    </xf>
    <xf numFmtId="172" fontId="9" fillId="2" borderId="27" xfId="14" applyNumberFormat="1" applyFont="1" applyFill="1" applyBorder="1" applyAlignment="1">
      <alignment horizontal="right" vertical="center" wrapText="1"/>
    </xf>
    <xf numFmtId="172" fontId="3" fillId="2" borderId="2" xfId="14" applyNumberFormat="1" applyFont="1" applyFill="1" applyBorder="1" applyAlignment="1">
      <alignment horizontal="right" vertical="center" wrapText="1"/>
    </xf>
    <xf numFmtId="172" fontId="3" fillId="2" borderId="9" xfId="14" applyNumberFormat="1" applyFont="1" applyFill="1" applyBorder="1" applyAlignment="1">
      <alignment horizontal="right" vertical="center" wrapText="1"/>
    </xf>
    <xf numFmtId="172" fontId="9" fillId="2" borderId="2" xfId="14" applyNumberFormat="1" applyFont="1" applyFill="1" applyBorder="1" applyAlignment="1" applyProtection="1">
      <alignment horizontal="right" vertical="center" wrapText="1"/>
      <protection locked="0"/>
    </xf>
    <xf numFmtId="172" fontId="9" fillId="2" borderId="21" xfId="14" applyNumberFormat="1" applyFont="1" applyFill="1" applyBorder="1" applyAlignment="1" applyProtection="1">
      <alignment horizontal="right" vertical="center" wrapText="1"/>
      <protection locked="0"/>
    </xf>
    <xf numFmtId="172" fontId="9" fillId="2" borderId="45" xfId="14" applyNumberFormat="1" applyFont="1" applyFill="1" applyBorder="1" applyAlignment="1" applyProtection="1">
      <alignment horizontal="right" vertical="center" wrapText="1"/>
      <protection locked="0"/>
    </xf>
    <xf numFmtId="172" fontId="9" fillId="2" borderId="29" xfId="14" applyNumberFormat="1" applyFont="1" applyFill="1" applyBorder="1" applyAlignment="1" applyProtection="1">
      <alignment horizontal="right" vertical="center" wrapText="1"/>
      <protection locked="0"/>
    </xf>
    <xf numFmtId="172" fontId="9" fillId="2" borderId="27" xfId="14" applyNumberFormat="1" applyFont="1" applyFill="1" applyBorder="1" applyAlignment="1" applyProtection="1">
      <alignment horizontal="right" vertical="center" wrapText="1"/>
      <protection locked="0"/>
    </xf>
    <xf numFmtId="172" fontId="9" fillId="2" borderId="33" xfId="14" applyNumberFormat="1" applyFont="1" applyFill="1" applyBorder="1" applyAlignment="1" applyProtection="1">
      <alignment horizontal="right" vertical="center" wrapText="1"/>
      <protection locked="0"/>
    </xf>
    <xf numFmtId="172" fontId="9" fillId="2" borderId="20" xfId="14" applyNumberFormat="1" applyFont="1" applyFill="1" applyBorder="1" applyAlignment="1" applyProtection="1">
      <alignment horizontal="right" vertical="center" wrapText="1"/>
      <protection locked="0"/>
    </xf>
    <xf numFmtId="172" fontId="9" fillId="2" borderId="57" xfId="14" applyNumberFormat="1" applyFont="1" applyFill="1" applyBorder="1" applyAlignment="1" applyProtection="1">
      <alignment horizontal="right" vertical="center" wrapText="1"/>
      <protection locked="0"/>
    </xf>
    <xf numFmtId="10" fontId="9" fillId="0" borderId="23" xfId="2" applyNumberFormat="1" applyFont="1" applyFill="1" applyBorder="1" applyAlignment="1">
      <alignment horizontal="center" vertical="center" wrapText="1"/>
    </xf>
    <xf numFmtId="0" fontId="25" fillId="0" borderId="60" xfId="0" applyFont="1" applyBorder="1" applyAlignment="1">
      <alignment horizontal="right" vertical="center"/>
    </xf>
    <xf numFmtId="0" fontId="11" fillId="0" borderId="0" xfId="0" applyFont="1"/>
    <xf numFmtId="174" fontId="25" fillId="0" borderId="61" xfId="0" applyNumberFormat="1" applyFont="1" applyBorder="1" applyAlignment="1">
      <alignment horizontal="right" vertical="center"/>
    </xf>
    <xf numFmtId="17" fontId="25" fillId="0" borderId="61" xfId="0" applyNumberFormat="1" applyFont="1" applyBorder="1" applyAlignment="1">
      <alignment horizontal="right" vertical="center"/>
    </xf>
    <xf numFmtId="3" fontId="25" fillId="11" borderId="61" xfId="0" applyNumberFormat="1" applyFont="1" applyFill="1" applyBorder="1" applyAlignment="1">
      <alignment horizontal="right" vertical="center" wrapText="1"/>
    </xf>
    <xf numFmtId="43" fontId="10" fillId="0" borderId="3" xfId="9" applyFont="1" applyBorder="1" applyAlignment="1">
      <alignment horizontal="center" vertical="center"/>
    </xf>
    <xf numFmtId="175" fontId="25" fillId="0" borderId="3" xfId="9" applyNumberFormat="1" applyFont="1" applyBorder="1" applyAlignment="1">
      <alignment horizontal="center" vertical="center"/>
    </xf>
    <xf numFmtId="175" fontId="25" fillId="0" borderId="3" xfId="9" applyNumberFormat="1" applyFont="1" applyBorder="1" applyAlignment="1">
      <alignment horizontal="justify" vertical="center" wrapText="1"/>
    </xf>
    <xf numFmtId="164" fontId="2" fillId="3" borderId="17" xfId="0" applyNumberFormat="1" applyFont="1" applyFill="1" applyBorder="1" applyAlignment="1">
      <alignment vertical="center" wrapText="1"/>
    </xf>
    <xf numFmtId="164" fontId="2" fillId="3" borderId="18" xfId="0" applyNumberFormat="1" applyFont="1" applyFill="1" applyBorder="1" applyAlignment="1">
      <alignment vertical="center" wrapText="1"/>
    </xf>
    <xf numFmtId="0" fontId="11" fillId="0" borderId="0" xfId="0" applyFont="1" applyBorder="1"/>
    <xf numFmtId="0" fontId="6" fillId="7" borderId="7" xfId="0" applyNumberFormat="1" applyFont="1" applyFill="1" applyBorder="1" applyAlignment="1">
      <alignment horizontal="left" vertical="center" wrapText="1"/>
    </xf>
    <xf numFmtId="0" fontId="2" fillId="7" borderId="9" xfId="0" applyFont="1" applyFill="1" applyBorder="1" applyAlignment="1">
      <alignment horizontal="justify" vertical="center" wrapText="1"/>
    </xf>
    <xf numFmtId="0" fontId="11" fillId="2" borderId="0" xfId="0" applyFont="1" applyFill="1" applyBorder="1"/>
    <xf numFmtId="4" fontId="9" fillId="0" borderId="12" xfId="9" applyNumberFormat="1" applyFont="1" applyFill="1" applyBorder="1" applyAlignment="1">
      <alignment vertical="center"/>
    </xf>
    <xf numFmtId="4" fontId="9" fillId="2" borderId="9" xfId="9" applyNumberFormat="1" applyFont="1" applyFill="1" applyBorder="1" applyAlignment="1">
      <alignment horizontal="right" vertical="center"/>
    </xf>
    <xf numFmtId="4" fontId="9" fillId="2" borderId="2" xfId="9" applyNumberFormat="1" applyFont="1" applyFill="1" applyBorder="1" applyAlignment="1">
      <alignment horizontal="right" vertical="center"/>
    </xf>
    <xf numFmtId="1" fontId="5" fillId="2" borderId="0" xfId="0" applyNumberFormat="1" applyFont="1" applyFill="1" applyBorder="1" applyAlignment="1">
      <alignment vertical="center" textRotation="180" wrapText="1"/>
    </xf>
    <xf numFmtId="4" fontId="9" fillId="2" borderId="7" xfId="9" applyNumberFormat="1" applyFont="1" applyFill="1" applyBorder="1" applyAlignment="1">
      <alignment vertical="center"/>
    </xf>
    <xf numFmtId="172" fontId="3" fillId="2" borderId="2" xfId="7" applyFont="1" applyFill="1" applyBorder="1" applyAlignment="1">
      <alignment vertical="center"/>
    </xf>
    <xf numFmtId="4" fontId="9" fillId="0" borderId="7" xfId="9" applyNumberFormat="1" applyFont="1" applyFill="1" applyBorder="1" applyAlignment="1">
      <alignment vertical="center"/>
    </xf>
    <xf numFmtId="4" fontId="9" fillId="2" borderId="7" xfId="9" applyNumberFormat="1" applyFont="1" applyFill="1" applyBorder="1" applyAlignment="1">
      <alignment horizontal="right" vertical="center"/>
    </xf>
    <xf numFmtId="4" fontId="3" fillId="2" borderId="2" xfId="0" applyNumberFormat="1" applyFont="1" applyFill="1" applyBorder="1" applyAlignment="1">
      <alignment vertical="center"/>
    </xf>
    <xf numFmtId="4" fontId="9" fillId="0" borderId="9" xfId="9" applyNumberFormat="1" applyFont="1" applyFill="1" applyBorder="1" applyAlignment="1">
      <alignment vertical="center"/>
    </xf>
    <xf numFmtId="4" fontId="9" fillId="0" borderId="9" xfId="9" applyNumberFormat="1" applyFont="1" applyFill="1" applyBorder="1" applyAlignment="1">
      <alignment horizontal="right" vertical="center"/>
    </xf>
    <xf numFmtId="4" fontId="2" fillId="0" borderId="2" xfId="0" applyNumberFormat="1" applyFont="1" applyFill="1" applyBorder="1" applyAlignment="1">
      <alignment horizontal="center" vertical="center"/>
    </xf>
    <xf numFmtId="0" fontId="11" fillId="0" borderId="0" xfId="0" applyFont="1" applyFill="1"/>
    <xf numFmtId="1" fontId="11" fillId="0" borderId="0" xfId="0" applyNumberFormat="1" applyFont="1"/>
    <xf numFmtId="0" fontId="11" fillId="2" borderId="0" xfId="0" applyFont="1" applyFill="1" applyAlignment="1">
      <alignment horizontal="center"/>
    </xf>
    <xf numFmtId="0" fontId="11" fillId="2" borderId="0" xfId="0" applyFont="1" applyFill="1" applyAlignment="1">
      <alignment horizontal="justify" vertical="center"/>
    </xf>
    <xf numFmtId="165" fontId="11" fillId="2" borderId="0" xfId="0" applyNumberFormat="1" applyFont="1" applyFill="1" applyAlignment="1">
      <alignment horizontal="center" vertical="center"/>
    </xf>
    <xf numFmtId="166" fontId="11" fillId="2" borderId="0" xfId="0" applyNumberFormat="1" applyFont="1" applyFill="1" applyAlignment="1">
      <alignment vertical="center"/>
    </xf>
    <xf numFmtId="164" fontId="11" fillId="2" borderId="0" xfId="0" applyNumberFormat="1" applyFont="1" applyFill="1" applyAlignment="1">
      <alignment horizontal="center" vertical="center"/>
    </xf>
    <xf numFmtId="1" fontId="11" fillId="2" borderId="0" xfId="0" applyNumberFormat="1" applyFont="1" applyFill="1" applyAlignment="1">
      <alignment horizontal="center" vertical="center"/>
    </xf>
    <xf numFmtId="0" fontId="11" fillId="2" borderId="0" xfId="0" applyFont="1" applyFill="1" applyAlignment="1">
      <alignment horizontal="center" vertical="center"/>
    </xf>
    <xf numFmtId="0" fontId="11" fillId="0" borderId="0" xfId="0" applyFont="1" applyAlignment="1">
      <alignment horizontal="justify" vertical="center" wrapText="1"/>
    </xf>
    <xf numFmtId="168" fontId="11" fillId="0" borderId="0" xfId="0" applyNumberFormat="1" applyFont="1" applyFill="1" applyAlignment="1">
      <alignment horizontal="center" vertical="center"/>
    </xf>
    <xf numFmtId="168" fontId="11" fillId="0" borderId="0" xfId="0" applyNumberFormat="1" applyFont="1" applyAlignment="1">
      <alignment horizontal="center"/>
    </xf>
    <xf numFmtId="0" fontId="11" fillId="0" borderId="0" xfId="0" applyFont="1" applyAlignment="1">
      <alignment horizontal="justify" vertical="center"/>
    </xf>
    <xf numFmtId="178" fontId="11" fillId="2" borderId="0" xfId="0" applyNumberFormat="1" applyFont="1" applyFill="1" applyAlignment="1">
      <alignment vertical="center"/>
    </xf>
    <xf numFmtId="164" fontId="11" fillId="2" borderId="0" xfId="0" applyNumberFormat="1" applyFont="1" applyFill="1" applyAlignment="1">
      <alignment vertical="center"/>
    </xf>
    <xf numFmtId="0" fontId="5" fillId="2" borderId="0" xfId="0" applyFont="1" applyFill="1" applyAlignment="1">
      <alignment horizontal="center" wrapText="1"/>
    </xf>
    <xf numFmtId="0" fontId="9" fillId="2" borderId="12" xfId="0" applyFont="1" applyFill="1" applyBorder="1" applyAlignment="1">
      <alignment horizontal="center" vertical="center" wrapText="1"/>
    </xf>
    <xf numFmtId="180" fontId="3" fillId="2" borderId="2" xfId="6" applyNumberFormat="1" applyFont="1" applyFill="1" applyBorder="1" applyAlignment="1">
      <alignment vertical="center"/>
    </xf>
    <xf numFmtId="0" fontId="9" fillId="2" borderId="30"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9" fillId="2" borderId="10" xfId="5" applyNumberFormat="1" applyFont="1" applyFill="1" applyBorder="1">
      <alignment horizontal="center" vertical="center" wrapText="1"/>
    </xf>
    <xf numFmtId="0" fontId="33" fillId="2" borderId="2" xfId="0" applyFont="1" applyFill="1" applyBorder="1" applyAlignment="1">
      <alignment horizontal="center" vertical="center" wrapText="1"/>
    </xf>
    <xf numFmtId="2" fontId="33" fillId="2" borderId="2"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6" xfId="0" applyFont="1" applyFill="1" applyBorder="1" applyAlignment="1">
      <alignment horizontal="center" vertical="center" wrapText="1"/>
    </xf>
    <xf numFmtId="1" fontId="2" fillId="3" borderId="18" xfId="0" applyNumberFormat="1" applyFont="1" applyFill="1" applyBorder="1" applyAlignment="1">
      <alignment horizontal="center" vertical="center" wrapText="1"/>
    </xf>
    <xf numFmtId="165" fontId="2" fillId="3" borderId="16" xfId="0" applyNumberFormat="1" applyFont="1" applyFill="1" applyBorder="1" applyAlignment="1">
      <alignment horizontal="center" vertical="center" wrapText="1"/>
    </xf>
    <xf numFmtId="166" fontId="2" fillId="3" borderId="16" xfId="0" applyNumberFormat="1"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0" fontId="3" fillId="2" borderId="20" xfId="0" applyFont="1" applyFill="1" applyBorder="1" applyAlignment="1">
      <alignment horizontal="center" vertical="center" wrapText="1"/>
    </xf>
    <xf numFmtId="1" fontId="3" fillId="2" borderId="16" xfId="0" applyNumberFormat="1" applyFont="1" applyFill="1" applyBorder="1" applyAlignment="1">
      <alignment horizontal="center" vertical="center" wrapText="1"/>
    </xf>
    <xf numFmtId="0" fontId="3" fillId="0" borderId="20" xfId="0" applyFont="1" applyBorder="1" applyAlignment="1">
      <alignment horizontal="center" vertical="center" wrapText="1"/>
    </xf>
    <xf numFmtId="0" fontId="3" fillId="2" borderId="18" xfId="0" applyFont="1" applyFill="1" applyBorder="1" applyAlignment="1">
      <alignment horizontal="center" vertical="center" wrapText="1"/>
    </xf>
    <xf numFmtId="1" fontId="3" fillId="2" borderId="9" xfId="0" applyNumberFormat="1" applyFont="1" applyFill="1" applyBorder="1" applyAlignment="1">
      <alignment horizontal="center" vertical="center" wrapText="1"/>
    </xf>
    <xf numFmtId="168" fontId="3" fillId="0" borderId="18" xfId="0" applyNumberFormat="1" applyFont="1" applyFill="1" applyBorder="1" applyAlignment="1">
      <alignment horizontal="center" vertical="center"/>
    </xf>
    <xf numFmtId="0" fontId="3" fillId="2" borderId="3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8" xfId="0" applyFont="1" applyFill="1" applyBorder="1" applyAlignment="1">
      <alignment horizontal="justify" vertical="center" wrapText="1"/>
    </xf>
    <xf numFmtId="0" fontId="3" fillId="0" borderId="33" xfId="0" applyFont="1" applyBorder="1" applyAlignment="1">
      <alignment horizontal="center" vertical="center" wrapText="1"/>
    </xf>
    <xf numFmtId="0" fontId="3" fillId="2" borderId="33" xfId="0" applyFont="1" applyFill="1" applyBorder="1" applyAlignment="1">
      <alignment horizontal="center" vertical="center" wrapText="1"/>
    </xf>
    <xf numFmtId="0" fontId="5" fillId="2" borderId="0" xfId="0" applyFont="1" applyFill="1" applyAlignment="1">
      <alignment horizontal="center"/>
    </xf>
    <xf numFmtId="1" fontId="3" fillId="0" borderId="9"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20" xfId="0" applyFont="1" applyFill="1" applyBorder="1" applyAlignment="1" applyProtection="1">
      <alignment horizontal="justify" vertical="center" wrapText="1"/>
      <protection locked="0"/>
    </xf>
    <xf numFmtId="0" fontId="3" fillId="2" borderId="21" xfId="0" applyFont="1" applyFill="1" applyBorder="1" applyAlignment="1" applyProtection="1">
      <alignment horizontal="justify" vertical="center" wrapText="1"/>
      <protection locked="0"/>
    </xf>
    <xf numFmtId="0" fontId="3" fillId="2" borderId="1" xfId="0" applyFont="1" applyFill="1" applyBorder="1" applyAlignment="1" applyProtection="1">
      <alignment horizontal="justify" vertical="center" wrapText="1"/>
      <protection locked="0"/>
    </xf>
    <xf numFmtId="164" fontId="2" fillId="3" borderId="2" xfId="0" applyNumberFormat="1" applyFont="1" applyFill="1" applyBorder="1" applyAlignment="1">
      <alignment horizontal="center" vertical="center" wrapText="1"/>
    </xf>
    <xf numFmtId="0" fontId="25" fillId="0" borderId="5" xfId="0" applyFont="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3" fillId="0" borderId="2" xfId="0" applyFont="1" applyBorder="1" applyAlignment="1">
      <alignment horizontal="left" vertical="center"/>
    </xf>
    <xf numFmtId="0" fontId="23" fillId="0" borderId="2" xfId="0" applyFont="1" applyBorder="1" applyAlignment="1">
      <alignment horizontal="right" vertical="center"/>
    </xf>
    <xf numFmtId="0" fontId="30" fillId="2" borderId="0" xfId="0" applyFont="1" applyFill="1"/>
    <xf numFmtId="0" fontId="23" fillId="0" borderId="2" xfId="0" applyFont="1" applyBorder="1" applyAlignment="1">
      <alignment horizontal="right" vertical="center" wrapText="1"/>
    </xf>
    <xf numFmtId="3" fontId="23" fillId="0" borderId="2" xfId="0" applyNumberFormat="1" applyFont="1" applyBorder="1" applyAlignment="1">
      <alignment horizontal="right" vertical="center" wrapText="1"/>
    </xf>
    <xf numFmtId="0" fontId="6" fillId="0" borderId="3" xfId="0" applyFont="1" applyBorder="1" applyAlignment="1">
      <alignment vertical="center"/>
    </xf>
    <xf numFmtId="0" fontId="6" fillId="0" borderId="3" xfId="0" applyFont="1" applyBorder="1" applyAlignment="1">
      <alignment horizontal="left" vertical="center" wrapText="1"/>
    </xf>
    <xf numFmtId="178" fontId="6" fillId="0" borderId="0" xfId="0" applyNumberFormat="1" applyFont="1" applyAlignment="1">
      <alignment horizontal="right" vertical="center"/>
    </xf>
    <xf numFmtId="0" fontId="6" fillId="0" borderId="4" xfId="0" applyFont="1" applyBorder="1" applyAlignment="1">
      <alignment vertical="center"/>
    </xf>
    <xf numFmtId="0" fontId="6" fillId="12" borderId="2" xfId="0" applyFont="1" applyFill="1" applyBorder="1" applyAlignment="1">
      <alignment horizontal="center" vertical="center" wrapText="1"/>
    </xf>
    <xf numFmtId="49" fontId="6" fillId="12" borderId="2" xfId="0" applyNumberFormat="1" applyFont="1" applyFill="1" applyBorder="1" applyAlignment="1">
      <alignment horizontal="center" vertical="center" wrapText="1"/>
    </xf>
    <xf numFmtId="168" fontId="6" fillId="3" borderId="2" xfId="0" applyNumberFormat="1" applyFont="1" applyFill="1" applyBorder="1" applyAlignment="1">
      <alignment horizontal="center" vertical="center" wrapText="1"/>
    </xf>
    <xf numFmtId="3" fontId="6" fillId="3" borderId="2" xfId="0" applyNumberFormat="1" applyFont="1" applyFill="1" applyBorder="1" applyAlignment="1">
      <alignment horizontal="center" vertical="center" wrapText="1"/>
    </xf>
    <xf numFmtId="0" fontId="6" fillId="6" borderId="8" xfId="0" applyFont="1" applyFill="1" applyBorder="1" applyAlignment="1">
      <alignment vertical="center"/>
    </xf>
    <xf numFmtId="165" fontId="6" fillId="6" borderId="11" xfId="0" applyNumberFormat="1" applyFont="1" applyFill="1" applyBorder="1" applyAlignment="1">
      <alignment horizontal="center" vertical="center"/>
    </xf>
    <xf numFmtId="166" fontId="6" fillId="6" borderId="11" xfId="0" applyNumberFormat="1" applyFont="1" applyFill="1" applyBorder="1" applyAlignment="1">
      <alignment horizontal="center" vertical="center"/>
    </xf>
    <xf numFmtId="0" fontId="6" fillId="6" borderId="11" xfId="0" applyFont="1" applyFill="1" applyBorder="1" applyAlignment="1">
      <alignment horizontal="left" vertical="center" wrapText="1"/>
    </xf>
    <xf numFmtId="166" fontId="6" fillId="6" borderId="29" xfId="0" applyNumberFormat="1" applyFont="1" applyFill="1" applyBorder="1" applyAlignment="1">
      <alignment horizontal="center" vertical="center"/>
    </xf>
    <xf numFmtId="178" fontId="6" fillId="6" borderId="18" xfId="0" applyNumberFormat="1" applyFont="1" applyFill="1" applyBorder="1" applyAlignment="1">
      <alignment horizontal="right" vertical="center"/>
    </xf>
    <xf numFmtId="168" fontId="6" fillId="6" borderId="11" xfId="0" applyNumberFormat="1" applyFont="1" applyFill="1" applyBorder="1" applyAlignment="1">
      <alignment horizontal="center" vertical="center"/>
    </xf>
    <xf numFmtId="0" fontId="6" fillId="6" borderId="12" xfId="0" applyFont="1" applyFill="1" applyBorder="1" applyAlignment="1">
      <alignment horizontal="justify" vertical="center"/>
    </xf>
    <xf numFmtId="1" fontId="6" fillId="2" borderId="8" xfId="0"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6" fillId="7" borderId="0" xfId="0" applyFont="1" applyFill="1" applyAlignment="1">
      <alignment horizontal="center" vertical="center" wrapText="1"/>
    </xf>
    <xf numFmtId="165" fontId="6" fillId="7" borderId="0" xfId="0" applyNumberFormat="1" applyFont="1" applyFill="1" applyAlignment="1">
      <alignment horizontal="center" vertical="center"/>
    </xf>
    <xf numFmtId="166" fontId="6" fillId="7" borderId="0" xfId="0" applyNumberFormat="1" applyFont="1" applyFill="1" applyAlignment="1">
      <alignment horizontal="center" vertical="center"/>
    </xf>
    <xf numFmtId="166" fontId="6" fillId="7" borderId="20" xfId="0" applyNumberFormat="1" applyFont="1" applyFill="1" applyBorder="1" applyAlignment="1">
      <alignment horizontal="center" vertical="center"/>
    </xf>
    <xf numFmtId="178" fontId="6" fillId="7" borderId="0" xfId="0" applyNumberFormat="1" applyFont="1" applyFill="1" applyAlignment="1">
      <alignment horizontal="right" vertical="center"/>
    </xf>
    <xf numFmtId="1" fontId="6" fillId="7" borderId="0" xfId="0" applyNumberFormat="1" applyFont="1" applyFill="1" applyAlignment="1">
      <alignment horizontal="center" vertical="center"/>
    </xf>
    <xf numFmtId="168" fontId="6" fillId="7" borderId="0" xfId="0" applyNumberFormat="1" applyFont="1" applyFill="1" applyAlignment="1">
      <alignment horizontal="center" vertical="center"/>
    </xf>
    <xf numFmtId="0" fontId="6" fillId="7" borderId="1" xfId="0" applyFont="1" applyFill="1" applyBorder="1" applyAlignment="1">
      <alignment horizontal="justify" vertical="center"/>
    </xf>
    <xf numFmtId="1" fontId="9" fillId="2" borderId="16"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1" fontId="9" fillId="0" borderId="34" xfId="0" applyNumberFormat="1" applyFont="1" applyBorder="1" applyAlignment="1">
      <alignment horizontal="center" vertical="center" wrapText="1"/>
    </xf>
    <xf numFmtId="3" fontId="9" fillId="2" borderId="29" xfId="0" applyNumberFormat="1" applyFont="1" applyFill="1" applyBorder="1" applyAlignment="1">
      <alignment horizontal="left" vertical="center" wrapText="1"/>
    </xf>
    <xf numFmtId="3" fontId="9" fillId="2" borderId="33" xfId="0" applyNumberFormat="1" applyFont="1" applyFill="1" applyBorder="1" applyAlignment="1">
      <alignment horizontal="left" vertical="center" wrapText="1"/>
    </xf>
    <xf numFmtId="1" fontId="9" fillId="0" borderId="34" xfId="0" applyNumberFormat="1" applyFont="1" applyFill="1" applyBorder="1" applyAlignment="1">
      <alignment horizontal="center" vertical="center" wrapText="1"/>
    </xf>
    <xf numFmtId="1" fontId="6" fillId="2" borderId="8" xfId="0" applyNumberFormat="1" applyFont="1" applyFill="1" applyBorder="1" applyAlignment="1">
      <alignment vertical="center" wrapText="1"/>
    </xf>
    <xf numFmtId="1" fontId="6" fillId="2" borderId="5" xfId="0" applyNumberFormat="1" applyFont="1" applyFill="1" applyBorder="1" applyAlignment="1">
      <alignment vertical="center" wrapText="1"/>
    </xf>
    <xf numFmtId="1" fontId="6" fillId="2" borderId="7" xfId="0" applyNumberFormat="1" applyFont="1" applyFill="1" applyBorder="1" applyAlignment="1">
      <alignment vertical="center" wrapText="1"/>
    </xf>
    <xf numFmtId="0" fontId="6" fillId="7" borderId="12" xfId="0" applyFont="1" applyFill="1" applyBorder="1" applyAlignment="1">
      <alignment horizontal="left" vertical="center" wrapText="1"/>
    </xf>
    <xf numFmtId="168" fontId="6" fillId="7" borderId="5" xfId="0" applyNumberFormat="1" applyFont="1" applyFill="1" applyBorder="1" applyAlignment="1">
      <alignment horizontal="center" vertical="center"/>
    </xf>
    <xf numFmtId="0" fontId="6" fillId="7" borderId="7" xfId="0" applyFont="1" applyFill="1" applyBorder="1" applyAlignment="1">
      <alignment horizontal="justify" vertical="center" wrapText="1"/>
    </xf>
    <xf numFmtId="1" fontId="6" fillId="2" borderId="16" xfId="0" applyNumberFormat="1" applyFont="1" applyFill="1" applyBorder="1" applyAlignment="1">
      <alignment vertical="center" wrapText="1"/>
    </xf>
    <xf numFmtId="1" fontId="6" fillId="2" borderId="0" xfId="0" applyNumberFormat="1" applyFont="1" applyFill="1" applyAlignment="1">
      <alignment vertical="center" wrapText="1"/>
    </xf>
    <xf numFmtId="1" fontId="6" fillId="2" borderId="1" xfId="0" applyNumberFormat="1" applyFont="1" applyFill="1" applyBorder="1" applyAlignment="1">
      <alignment vertical="center" wrapText="1"/>
    </xf>
    <xf numFmtId="0" fontId="9" fillId="2" borderId="5" xfId="0" applyFont="1" applyFill="1" applyBorder="1" applyAlignment="1">
      <alignment vertical="center" wrapText="1"/>
    </xf>
    <xf numFmtId="0" fontId="9" fillId="2" borderId="33" xfId="0" applyFont="1" applyFill="1" applyBorder="1" applyAlignment="1">
      <alignment horizontal="left" vertical="center" wrapText="1"/>
    </xf>
    <xf numFmtId="0" fontId="9" fillId="2" borderId="0" xfId="0" applyFont="1" applyFill="1" applyAlignment="1">
      <alignment vertical="center" wrapText="1"/>
    </xf>
    <xf numFmtId="0" fontId="9" fillId="2" borderId="8" xfId="0" applyFont="1" applyFill="1" applyBorder="1" applyAlignment="1">
      <alignment vertical="center" wrapText="1"/>
    </xf>
    <xf numFmtId="0" fontId="9" fillId="2" borderId="7" xfId="0" applyFont="1" applyFill="1" applyBorder="1" applyAlignment="1">
      <alignment vertical="center" wrapText="1"/>
    </xf>
    <xf numFmtId="0" fontId="9" fillId="0" borderId="33" xfId="0" applyFont="1" applyFill="1" applyBorder="1" applyAlignment="1">
      <alignment horizontal="left" vertical="center" wrapText="1"/>
    </xf>
    <xf numFmtId="1" fontId="6" fillId="2" borderId="6" xfId="0" applyNumberFormat="1" applyFont="1" applyFill="1" applyBorder="1" applyAlignment="1">
      <alignment vertical="center" wrapText="1"/>
    </xf>
    <xf numFmtId="1" fontId="6" fillId="2" borderId="3" xfId="0" applyNumberFormat="1" applyFont="1" applyFill="1" applyBorder="1" applyAlignment="1">
      <alignment vertical="center" wrapText="1"/>
    </xf>
    <xf numFmtId="1" fontId="9" fillId="0" borderId="45" xfId="0" applyNumberFormat="1" applyFont="1" applyFill="1" applyBorder="1" applyAlignment="1">
      <alignment horizontal="center" vertical="center" wrapText="1"/>
    </xf>
    <xf numFmtId="0" fontId="6" fillId="7" borderId="4" xfId="0" applyFont="1" applyFill="1" applyBorder="1" applyAlignment="1">
      <alignment horizontal="justify" vertical="center" wrapText="1"/>
    </xf>
    <xf numFmtId="0" fontId="9" fillId="7" borderId="3" xfId="0" applyFont="1" applyFill="1" applyBorder="1" applyAlignment="1">
      <alignment horizontal="center" vertical="center"/>
    </xf>
    <xf numFmtId="0" fontId="6" fillId="7" borderId="3" xfId="0" applyFont="1" applyFill="1" applyBorder="1" applyAlignment="1">
      <alignment horizontal="left" vertical="center" wrapText="1"/>
    </xf>
    <xf numFmtId="1" fontId="6" fillId="7" borderId="2" xfId="0" applyNumberFormat="1" applyFont="1" applyFill="1" applyBorder="1" applyAlignment="1">
      <alignment horizontal="center" vertical="center"/>
    </xf>
    <xf numFmtId="168" fontId="6" fillId="7" borderId="11" xfId="0" applyNumberFormat="1" applyFont="1" applyFill="1" applyBorder="1" applyAlignment="1">
      <alignment horizontal="center" vertical="center"/>
    </xf>
    <xf numFmtId="0" fontId="6" fillId="7" borderId="12" xfId="0" applyFont="1" applyFill="1" applyBorder="1" applyAlignment="1">
      <alignment horizontal="justify" vertical="center" wrapText="1"/>
    </xf>
    <xf numFmtId="1" fontId="9" fillId="0" borderId="30" xfId="0" applyNumberFormat="1" applyFont="1" applyFill="1" applyBorder="1" applyAlignment="1">
      <alignment horizontal="center" vertical="center" wrapText="1"/>
    </xf>
    <xf numFmtId="1" fontId="9" fillId="0" borderId="0" xfId="0" applyNumberFormat="1" applyFont="1"/>
    <xf numFmtId="0" fontId="9" fillId="2" borderId="8" xfId="0" applyFont="1" applyFill="1" applyBorder="1" applyAlignment="1">
      <alignment horizontal="left" vertical="center" wrapText="1"/>
    </xf>
    <xf numFmtId="0" fontId="9" fillId="0" borderId="16" xfId="0" applyFont="1" applyBorder="1" applyAlignment="1">
      <alignment horizontal="center"/>
    </xf>
    <xf numFmtId="0" fontId="9" fillId="0" borderId="1" xfId="0" applyFont="1" applyBorder="1" applyAlignment="1">
      <alignment horizontal="center"/>
    </xf>
    <xf numFmtId="0" fontId="9" fillId="0" borderId="16" xfId="0" applyFont="1" applyBorder="1"/>
    <xf numFmtId="0" fontId="9" fillId="0" borderId="1" xfId="0" applyFont="1" applyBorder="1"/>
    <xf numFmtId="0" fontId="9" fillId="2" borderId="28" xfId="0" applyFont="1" applyFill="1" applyBorder="1" applyAlignment="1">
      <alignment horizontal="justify" vertical="center" wrapText="1"/>
    </xf>
    <xf numFmtId="0" fontId="9" fillId="0" borderId="6" xfId="0" applyFont="1" applyBorder="1"/>
    <xf numFmtId="0" fontId="6" fillId="7" borderId="10" xfId="0" applyFont="1" applyFill="1" applyBorder="1" applyAlignment="1">
      <alignment horizontal="left" vertical="center" wrapText="1"/>
    </xf>
    <xf numFmtId="1" fontId="6" fillId="7" borderId="11" xfId="0" applyNumberFormat="1" applyFont="1" applyFill="1" applyBorder="1" applyAlignment="1">
      <alignment horizontal="center" vertical="center"/>
    </xf>
    <xf numFmtId="0" fontId="9" fillId="2" borderId="27" xfId="0" applyFont="1" applyFill="1" applyBorder="1" applyAlignment="1">
      <alignment horizontal="left" vertical="center" wrapText="1"/>
    </xf>
    <xf numFmtId="1" fontId="9" fillId="0" borderId="30" xfId="0" applyNumberFormat="1" applyFont="1" applyBorder="1" applyAlignment="1">
      <alignment horizontal="center" vertical="center" wrapText="1"/>
    </xf>
    <xf numFmtId="0" fontId="9" fillId="2" borderId="20" xfId="0" applyFont="1" applyFill="1" applyBorder="1" applyAlignment="1">
      <alignment horizontal="left" vertical="center" wrapText="1"/>
    </xf>
    <xf numFmtId="0" fontId="9" fillId="2" borderId="21" xfId="0" applyFont="1" applyFill="1" applyBorder="1" applyAlignment="1">
      <alignment horizontal="left" vertical="center" wrapText="1"/>
    </xf>
    <xf numFmtId="1" fontId="9" fillId="0" borderId="45" xfId="0" applyNumberFormat="1" applyFont="1" applyBorder="1" applyAlignment="1">
      <alignment horizontal="center" vertical="center" wrapText="1"/>
    </xf>
    <xf numFmtId="0" fontId="6" fillId="7" borderId="11" xfId="0" applyFont="1" applyFill="1" applyBorder="1" applyAlignment="1">
      <alignment horizontal="left" vertical="center" wrapText="1"/>
    </xf>
    <xf numFmtId="1" fontId="6" fillId="2" borderId="44" xfId="0" applyNumberFormat="1" applyFont="1" applyFill="1" applyBorder="1" applyAlignment="1">
      <alignment vertical="center" wrapText="1"/>
    </xf>
    <xf numFmtId="171" fontId="9" fillId="2" borderId="0" xfId="6" applyFont="1" applyFill="1" applyAlignment="1">
      <alignment horizontal="justify" vertical="center" wrapText="1"/>
    </xf>
    <xf numFmtId="0" fontId="9" fillId="2" borderId="0" xfId="0" applyFont="1" applyFill="1" applyAlignment="1">
      <alignment horizontal="justify" vertical="center" wrapText="1"/>
    </xf>
    <xf numFmtId="43" fontId="9" fillId="0" borderId="2" xfId="9" applyFont="1" applyFill="1" applyBorder="1" applyAlignment="1" applyProtection="1">
      <alignment horizontal="right" vertical="center"/>
      <protection locked="0"/>
    </xf>
    <xf numFmtId="0" fontId="9" fillId="2" borderId="9"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29" xfId="0" applyFont="1" applyFill="1" applyBorder="1" applyAlignment="1">
      <alignment horizontal="left" vertical="center" wrapText="1"/>
    </xf>
    <xf numFmtId="1" fontId="6" fillId="2" borderId="29" xfId="0" applyNumberFormat="1" applyFont="1" applyFill="1" applyBorder="1" applyAlignment="1">
      <alignment vertical="center" wrapText="1"/>
    </xf>
    <xf numFmtId="1" fontId="6" fillId="2" borderId="63" xfId="0" applyNumberFormat="1" applyFont="1" applyFill="1" applyBorder="1" applyAlignment="1">
      <alignment vertical="center" wrapText="1"/>
    </xf>
    <xf numFmtId="1" fontId="6" fillId="2" borderId="4" xfId="0" applyNumberFormat="1" applyFont="1" applyFill="1" applyBorder="1" applyAlignment="1">
      <alignment vertical="center" wrapText="1"/>
    </xf>
    <xf numFmtId="0" fontId="6" fillId="6" borderId="3" xfId="0" applyFont="1" applyFill="1" applyBorder="1" applyAlignment="1">
      <alignment vertical="center"/>
    </xf>
    <xf numFmtId="0" fontId="6" fillId="6" borderId="3" xfId="0" applyFont="1" applyFill="1" applyBorder="1" applyAlignment="1">
      <alignment horizontal="left" vertical="center" wrapText="1"/>
    </xf>
    <xf numFmtId="168" fontId="6" fillId="6" borderId="3" xfId="0" applyNumberFormat="1" applyFont="1" applyFill="1" applyBorder="1" applyAlignment="1">
      <alignment horizontal="center" vertical="center"/>
    </xf>
    <xf numFmtId="0" fontId="6" fillId="6" borderId="4" xfId="0" applyFont="1" applyFill="1" applyBorder="1" applyAlignment="1">
      <alignment horizontal="justify" vertical="center" wrapText="1"/>
    </xf>
    <xf numFmtId="0" fontId="6" fillId="7" borderId="3" xfId="0" applyFont="1" applyFill="1" applyBorder="1" applyAlignment="1">
      <alignment vertical="center"/>
    </xf>
    <xf numFmtId="168" fontId="6" fillId="7" borderId="3" xfId="0" applyNumberFormat="1" applyFont="1" applyFill="1" applyBorder="1" applyAlignment="1">
      <alignment horizontal="center" vertical="center"/>
    </xf>
    <xf numFmtId="1" fontId="9" fillId="0" borderId="16" xfId="0" applyNumberFormat="1" applyFont="1" applyBorder="1"/>
    <xf numFmtId="0" fontId="9" fillId="2" borderId="2" xfId="0" applyFont="1" applyFill="1" applyBorder="1" applyAlignment="1">
      <alignment horizontal="left" vertical="center" wrapText="1"/>
    </xf>
    <xf numFmtId="1" fontId="9" fillId="2" borderId="34" xfId="0" applyNumberFormat="1" applyFont="1" applyFill="1" applyBorder="1" applyAlignment="1">
      <alignment horizontal="center" vertical="center" wrapText="1"/>
    </xf>
    <xf numFmtId="1" fontId="9" fillId="2" borderId="9" xfId="6" applyNumberFormat="1" applyFont="1" applyFill="1" applyBorder="1" applyAlignment="1">
      <alignment horizontal="center" vertical="center" wrapText="1"/>
    </xf>
    <xf numFmtId="0" fontId="9" fillId="2" borderId="6" xfId="0" applyFont="1" applyFill="1" applyBorder="1" applyAlignment="1">
      <alignment horizontal="left" vertical="center" wrapText="1"/>
    </xf>
    <xf numFmtId="1" fontId="9" fillId="2" borderId="18" xfId="6" applyNumberFormat="1" applyFont="1" applyFill="1" applyBorder="1" applyAlignment="1">
      <alignment horizontal="center" vertical="center" wrapText="1"/>
    </xf>
    <xf numFmtId="1" fontId="9" fillId="2" borderId="17" xfId="6" applyNumberFormat="1" applyFont="1" applyFill="1" applyBorder="1" applyAlignment="1">
      <alignment horizontal="center" vertical="center" wrapText="1"/>
    </xf>
    <xf numFmtId="1" fontId="6" fillId="2" borderId="16"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9" fontId="6" fillId="7" borderId="0" xfId="2" applyFont="1" applyFill="1" applyAlignment="1">
      <alignment horizontal="center" vertical="center"/>
    </xf>
    <xf numFmtId="0" fontId="9" fillId="0" borderId="5" xfId="0" applyFont="1" applyBorder="1"/>
    <xf numFmtId="0" fontId="9" fillId="2" borderId="10"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0" xfId="0" applyFont="1" applyFill="1"/>
    <xf numFmtId="0" fontId="9" fillId="0" borderId="10" xfId="0" applyFont="1" applyFill="1" applyBorder="1" applyAlignment="1">
      <alignment horizontal="left" vertical="center" wrapText="1"/>
    </xf>
    <xf numFmtId="171" fontId="9" fillId="0" borderId="0" xfId="6" applyFont="1" applyFill="1" applyAlignment="1">
      <alignment horizontal="justify" vertical="center"/>
    </xf>
    <xf numFmtId="171" fontId="9" fillId="0" borderId="0" xfId="6" applyFont="1" applyAlignment="1">
      <alignment horizontal="justify" vertical="center"/>
    </xf>
    <xf numFmtId="171" fontId="9" fillId="0" borderId="0" xfId="0" applyNumberFormat="1" applyFont="1"/>
    <xf numFmtId="176" fontId="9" fillId="0" borderId="0" xfId="0" applyNumberFormat="1" applyFont="1" applyFill="1"/>
    <xf numFmtId="178" fontId="9" fillId="0" borderId="0" xfId="0" applyNumberFormat="1" applyFont="1"/>
    <xf numFmtId="0" fontId="9" fillId="0" borderId="8" xfId="0" applyFont="1" applyFill="1" applyBorder="1" applyAlignment="1">
      <alignment horizontal="left" vertical="center" wrapText="1"/>
    </xf>
    <xf numFmtId="171" fontId="9" fillId="0" borderId="0" xfId="0" applyNumberFormat="1" applyFont="1" applyFill="1"/>
    <xf numFmtId="1" fontId="9" fillId="0" borderId="6" xfId="0" applyNumberFormat="1" applyFont="1" applyBorder="1"/>
    <xf numFmtId="0" fontId="9" fillId="0" borderId="3" xfId="0" applyFont="1" applyBorder="1"/>
    <xf numFmtId="0" fontId="9" fillId="0" borderId="4" xfId="0" applyFont="1" applyBorder="1"/>
    <xf numFmtId="9" fontId="6" fillId="6" borderId="11" xfId="2" applyFont="1" applyFill="1" applyBorder="1" applyAlignment="1">
      <alignment horizontal="center" vertical="center"/>
    </xf>
    <xf numFmtId="1" fontId="6" fillId="6" borderId="92" xfId="0" applyNumberFormat="1" applyFont="1" applyFill="1" applyBorder="1" applyAlignment="1">
      <alignment horizontal="center" vertical="center"/>
    </xf>
    <xf numFmtId="0" fontId="6" fillId="7" borderId="4" xfId="0" applyFont="1" applyFill="1" applyBorder="1" applyAlignment="1">
      <alignment horizontal="center" vertical="center"/>
    </xf>
    <xf numFmtId="0" fontId="9" fillId="0" borderId="7" xfId="0" applyFont="1" applyBorder="1"/>
    <xf numFmtId="1" fontId="9" fillId="0" borderId="34" xfId="0" applyNumberFormat="1" applyFont="1" applyBorder="1" applyAlignment="1">
      <alignment horizontal="center" vertical="center"/>
    </xf>
    <xf numFmtId="0" fontId="9" fillId="0" borderId="42" xfId="0" applyFont="1" applyBorder="1" applyAlignment="1">
      <alignment horizontal="center" vertical="center" wrapText="1"/>
    </xf>
    <xf numFmtId="1" fontId="9" fillId="0" borderId="20" xfId="0" applyNumberFormat="1" applyFont="1" applyBorder="1" applyAlignment="1">
      <alignment horizontal="center" vertical="center" wrapText="1"/>
    </xf>
    <xf numFmtId="0" fontId="9" fillId="2" borderId="10" xfId="0" applyFont="1" applyFill="1" applyBorder="1" applyAlignment="1">
      <alignment horizontal="justify" vertical="center" wrapText="1"/>
    </xf>
    <xf numFmtId="1" fontId="9" fillId="0" borderId="3" xfId="0" applyNumberFormat="1" applyFont="1" applyBorder="1"/>
    <xf numFmtId="1" fontId="9" fillId="0" borderId="4" xfId="0" applyNumberFormat="1" applyFont="1" applyBorder="1"/>
    <xf numFmtId="1" fontId="9" fillId="0" borderId="11" xfId="0" applyNumberFormat="1" applyFont="1" applyBorder="1"/>
    <xf numFmtId="1" fontId="9" fillId="0" borderId="12" xfId="0" applyNumberFormat="1" applyFont="1" applyBorder="1"/>
    <xf numFmtId="0" fontId="9" fillId="0" borderId="2" xfId="0" applyFont="1" applyBorder="1" applyAlignment="1">
      <alignment horizontal="center"/>
    </xf>
    <xf numFmtId="0" fontId="9" fillId="0" borderId="10" xfId="0" applyFont="1" applyBorder="1" applyAlignment="1">
      <alignment horizontal="center"/>
    </xf>
    <xf numFmtId="0" fontId="9" fillId="2" borderId="20" xfId="0" applyFont="1" applyFill="1" applyBorder="1"/>
    <xf numFmtId="0" fontId="9" fillId="2" borderId="27" xfId="0" applyFont="1" applyFill="1" applyBorder="1"/>
    <xf numFmtId="0" fontId="9" fillId="2" borderId="20" xfId="0" applyFont="1" applyFill="1" applyBorder="1" applyAlignment="1">
      <alignment horizontal="center"/>
    </xf>
    <xf numFmtId="165" fontId="9" fillId="2" borderId="20" xfId="0" applyNumberFormat="1" applyFont="1" applyFill="1" applyBorder="1" applyAlignment="1">
      <alignment horizontal="center" vertical="center"/>
    </xf>
    <xf numFmtId="0" fontId="9" fillId="0" borderId="20" xfId="0" applyFont="1" applyBorder="1" applyAlignment="1">
      <alignment horizontal="left" vertical="center" wrapText="1"/>
    </xf>
    <xf numFmtId="44" fontId="6" fillId="0" borderId="20" xfId="14" applyFont="1" applyBorder="1" applyAlignment="1">
      <alignment horizontal="center" vertical="center"/>
    </xf>
    <xf numFmtId="1" fontId="9" fillId="2" borderId="20" xfId="0" applyNumberFormat="1" applyFont="1" applyFill="1" applyBorder="1" applyAlignment="1">
      <alignment horizontal="center" vertical="center"/>
    </xf>
    <xf numFmtId="0" fontId="9" fillId="0" borderId="20" xfId="0" applyFont="1" applyBorder="1" applyAlignment="1">
      <alignment horizontal="center"/>
    </xf>
    <xf numFmtId="0" fontId="9" fillId="0" borderId="89" xfId="0" applyFont="1" applyBorder="1" applyAlignment="1">
      <alignment horizontal="center"/>
    </xf>
    <xf numFmtId="0" fontId="9" fillId="0" borderId="12" xfId="0" applyFont="1" applyBorder="1" applyAlignment="1">
      <alignment horizontal="center"/>
    </xf>
    <xf numFmtId="168" fontId="9" fillId="0" borderId="2" xfId="0" applyNumberFormat="1" applyFont="1" applyBorder="1" applyAlignment="1">
      <alignment horizontal="center" vertical="center"/>
    </xf>
    <xf numFmtId="168" fontId="9" fillId="0" borderId="2" xfId="0" applyNumberFormat="1" applyFont="1" applyBorder="1" applyAlignment="1">
      <alignment horizontal="center"/>
    </xf>
    <xf numFmtId="0" fontId="9" fillId="0" borderId="2" xfId="0" applyFont="1" applyBorder="1" applyAlignment="1">
      <alignment horizontal="justify" vertical="center"/>
    </xf>
    <xf numFmtId="165" fontId="9" fillId="2" borderId="0" xfId="0" applyNumberFormat="1" applyFont="1" applyFill="1" applyAlignment="1">
      <alignment horizontal="center" vertical="center"/>
    </xf>
    <xf numFmtId="166" fontId="9" fillId="2" borderId="0" xfId="0" applyNumberFormat="1" applyFont="1" applyFill="1" applyAlignment="1">
      <alignment horizontal="center" vertical="center"/>
    </xf>
    <xf numFmtId="0" fontId="9" fillId="2" borderId="0" xfId="0" applyFont="1" applyFill="1" applyAlignment="1">
      <alignment horizontal="left" vertical="center" wrapText="1"/>
    </xf>
    <xf numFmtId="178" fontId="9" fillId="2" borderId="0" xfId="0" applyNumberFormat="1" applyFont="1" applyFill="1" applyAlignment="1">
      <alignment horizontal="center" vertical="center"/>
    </xf>
    <xf numFmtId="178" fontId="9" fillId="2" borderId="0" xfId="0" applyNumberFormat="1" applyFont="1" applyFill="1" applyAlignment="1">
      <alignment horizontal="right" vertical="center"/>
    </xf>
    <xf numFmtId="178" fontId="9" fillId="0" borderId="0" xfId="0" applyNumberFormat="1" applyFont="1" applyAlignment="1" applyProtection="1">
      <alignment horizontal="right" vertical="center"/>
      <protection locked="0"/>
    </xf>
    <xf numFmtId="1" fontId="9" fillId="2" borderId="0" xfId="0" applyNumberFormat="1" applyFont="1" applyFill="1" applyAlignment="1">
      <alignment horizontal="center" vertical="center"/>
    </xf>
    <xf numFmtId="168" fontId="9" fillId="0" borderId="0" xfId="0" applyNumberFormat="1" applyFont="1" applyAlignment="1">
      <alignment horizontal="center" vertical="center"/>
    </xf>
    <xf numFmtId="168" fontId="9" fillId="0" borderId="0" xfId="0" applyNumberFormat="1" applyFont="1" applyAlignment="1">
      <alignment horizontal="center"/>
    </xf>
    <xf numFmtId="0" fontId="9" fillId="0" borderId="0" xfId="0" applyFont="1" applyAlignment="1">
      <alignment horizontal="justify" vertical="center"/>
    </xf>
    <xf numFmtId="165" fontId="9" fillId="0" borderId="0" xfId="0" applyNumberFormat="1" applyFont="1" applyAlignment="1">
      <alignment horizontal="center" vertical="center"/>
    </xf>
    <xf numFmtId="4" fontId="6" fillId="0" borderId="0" xfId="0" applyNumberFormat="1" applyFont="1" applyAlignment="1">
      <alignment horizontal="center"/>
    </xf>
    <xf numFmtId="0" fontId="9" fillId="0" borderId="0" xfId="0" applyFont="1" applyAlignment="1">
      <alignment horizontal="left" vertical="center" wrapText="1"/>
    </xf>
    <xf numFmtId="185" fontId="9" fillId="2" borderId="0" xfId="0" applyNumberFormat="1" applyFont="1" applyFill="1" applyAlignment="1">
      <alignment horizontal="justify" vertical="center" wrapText="1"/>
    </xf>
    <xf numFmtId="166" fontId="9" fillId="0" borderId="0" xfId="0" applyNumberFormat="1" applyFont="1" applyAlignment="1">
      <alignment horizontal="center" vertical="center"/>
    </xf>
    <xf numFmtId="178" fontId="9" fillId="0" borderId="0" xfId="14" applyNumberFormat="1" applyFont="1" applyAlignment="1" applyProtection="1">
      <alignment horizontal="right" vertical="center"/>
      <protection locked="0"/>
    </xf>
    <xf numFmtId="166" fontId="9" fillId="2" borderId="3" xfId="0" applyNumberFormat="1" applyFont="1" applyFill="1" applyBorder="1" applyAlignment="1">
      <alignment vertical="center"/>
    </xf>
    <xf numFmtId="0" fontId="9" fillId="2" borderId="3" xfId="0" applyFont="1" applyFill="1" applyBorder="1" applyAlignment="1">
      <alignment horizontal="justify" vertical="center"/>
    </xf>
    <xf numFmtId="0" fontId="9" fillId="0" borderId="3" xfId="0" applyFont="1" applyBorder="1" applyAlignment="1">
      <alignment horizontal="center"/>
    </xf>
    <xf numFmtId="178" fontId="9" fillId="0" borderId="0" xfId="0" applyNumberFormat="1" applyFont="1" applyAlignment="1">
      <alignment horizontal="right"/>
    </xf>
    <xf numFmtId="0" fontId="6" fillId="0" borderId="0" xfId="0" applyFont="1"/>
    <xf numFmtId="0" fontId="9" fillId="2" borderId="0" xfId="0" applyFont="1" applyFill="1" applyAlignment="1">
      <alignment horizontal="justify" vertical="center"/>
    </xf>
    <xf numFmtId="44" fontId="9" fillId="0" borderId="0" xfId="0" applyNumberFormat="1" applyFont="1" applyAlignment="1">
      <alignment horizontal="center"/>
    </xf>
    <xf numFmtId="166" fontId="9" fillId="2" borderId="0" xfId="0" applyNumberFormat="1" applyFont="1" applyFill="1" applyAlignment="1">
      <alignment vertical="center"/>
    </xf>
    <xf numFmtId="178" fontId="9" fillId="0" borderId="0" xfId="0" applyNumberFormat="1" applyFont="1" applyAlignment="1">
      <alignment horizontal="right" vertical="center"/>
    </xf>
    <xf numFmtId="1" fontId="30" fillId="0" borderId="0" xfId="0" applyNumberFormat="1" applyFont="1"/>
    <xf numFmtId="0" fontId="30" fillId="0" borderId="0" xfId="0" applyFont="1" applyAlignment="1">
      <alignment horizontal="center"/>
    </xf>
    <xf numFmtId="0" fontId="30" fillId="2" borderId="0" xfId="0" applyFont="1" applyFill="1" applyAlignment="1">
      <alignment horizontal="justify" vertical="center" wrapText="1"/>
    </xf>
    <xf numFmtId="0" fontId="30" fillId="2" borderId="0" xfId="0" applyFont="1" applyFill="1" applyAlignment="1">
      <alignment horizontal="center" vertical="center" wrapText="1"/>
    </xf>
    <xf numFmtId="0" fontId="30" fillId="2" borderId="0" xfId="0" applyFont="1" applyFill="1" applyAlignment="1">
      <alignment horizontal="center"/>
    </xf>
    <xf numFmtId="165" fontId="30" fillId="2" borderId="0" xfId="0" applyNumberFormat="1" applyFont="1" applyFill="1" applyAlignment="1">
      <alignment horizontal="center" vertical="center"/>
    </xf>
    <xf numFmtId="166" fontId="30" fillId="2" borderId="0" xfId="0" applyNumberFormat="1" applyFont="1" applyFill="1" applyAlignment="1">
      <alignment horizontal="center" vertical="center"/>
    </xf>
    <xf numFmtId="0" fontId="30" fillId="2" borderId="0" xfId="0" applyFont="1" applyFill="1" applyAlignment="1">
      <alignment horizontal="left" vertical="center" wrapText="1"/>
    </xf>
    <xf numFmtId="166" fontId="30" fillId="0" borderId="0" xfId="0" applyNumberFormat="1" applyFont="1" applyAlignment="1">
      <alignment horizontal="center" vertical="center"/>
    </xf>
    <xf numFmtId="178" fontId="30" fillId="0" borderId="0" xfId="0" applyNumberFormat="1" applyFont="1" applyAlignment="1">
      <alignment horizontal="right" vertical="center"/>
    </xf>
    <xf numFmtId="1" fontId="30" fillId="2" borderId="0" xfId="0" applyNumberFormat="1" applyFont="1" applyFill="1" applyAlignment="1">
      <alignment horizontal="center" vertical="center"/>
    </xf>
    <xf numFmtId="168" fontId="30" fillId="0" borderId="0" xfId="0" applyNumberFormat="1" applyFont="1" applyAlignment="1">
      <alignment horizontal="center" vertical="center"/>
    </xf>
    <xf numFmtId="168" fontId="30" fillId="0" borderId="0" xfId="0" applyNumberFormat="1" applyFont="1" applyAlignment="1">
      <alignment horizontal="center"/>
    </xf>
    <xf numFmtId="0" fontId="30" fillId="0" borderId="0" xfId="0" applyFont="1" applyAlignment="1">
      <alignment horizontal="justify" vertical="center"/>
    </xf>
    <xf numFmtId="178" fontId="30" fillId="2" borderId="0" xfId="0" applyNumberFormat="1" applyFont="1" applyFill="1" applyAlignment="1">
      <alignment horizontal="right" vertical="center"/>
    </xf>
    <xf numFmtId="0" fontId="9" fillId="2" borderId="2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9" fillId="0" borderId="20" xfId="0" applyFont="1" applyBorder="1" applyAlignment="1">
      <alignment horizontal="center" vertical="center" wrapText="1"/>
    </xf>
    <xf numFmtId="0" fontId="3" fillId="2" borderId="9"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2" borderId="2" xfId="0" applyFont="1" applyFill="1" applyBorder="1" applyAlignment="1">
      <alignment horizontal="center" vertical="center" wrapText="1"/>
    </xf>
    <xf numFmtId="0" fontId="3" fillId="0" borderId="2" xfId="0" applyFont="1" applyBorder="1" applyAlignment="1">
      <alignment horizontal="justify" vertical="center" wrapText="1"/>
    </xf>
    <xf numFmtId="0" fontId="2" fillId="3"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9" fillId="0" borderId="21"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18" xfId="0" applyFont="1" applyBorder="1" applyAlignment="1">
      <alignment horizontal="center" vertical="center" wrapText="1"/>
    </xf>
    <xf numFmtId="0" fontId="9" fillId="0" borderId="9" xfId="0" applyFont="1" applyBorder="1" applyAlignment="1">
      <alignment horizontal="justify" vertical="center" wrapText="1"/>
    </xf>
    <xf numFmtId="0" fontId="9" fillId="0" borderId="18" xfId="0" applyFont="1" applyBorder="1" applyAlignment="1">
      <alignment horizontal="justify" vertical="center" wrapText="1"/>
    </xf>
    <xf numFmtId="0" fontId="9" fillId="0" borderId="33" xfId="0" applyFont="1" applyBorder="1" applyAlignment="1">
      <alignment horizontal="justify"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2" borderId="33" xfId="0" applyFont="1" applyFill="1" applyBorder="1" applyAlignment="1">
      <alignment horizontal="center" vertical="center" wrapText="1"/>
    </xf>
    <xf numFmtId="0" fontId="9" fillId="0" borderId="20"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168" fontId="3" fillId="0" borderId="2" xfId="0" applyNumberFormat="1" applyFont="1" applyBorder="1" applyAlignment="1">
      <alignment horizontal="center" vertical="center"/>
    </xf>
    <xf numFmtId="0" fontId="9" fillId="0" borderId="20" xfId="0" applyFont="1" applyBorder="1" applyAlignment="1">
      <alignment horizontal="center" vertical="center"/>
    </xf>
    <xf numFmtId="0" fontId="9" fillId="0" borderId="9" xfId="0" applyFont="1" applyFill="1" applyBorder="1" applyAlignment="1">
      <alignment horizontal="center" vertical="center"/>
    </xf>
    <xf numFmtId="0" fontId="9" fillId="0" borderId="21" xfId="0" applyFont="1" applyFill="1" applyBorder="1" applyAlignment="1">
      <alignment horizontal="justify" vertical="center" wrapText="1"/>
    </xf>
    <xf numFmtId="0" fontId="9" fillId="0" borderId="2" xfId="0" applyFont="1" applyFill="1" applyBorder="1" applyAlignment="1">
      <alignment horizontal="justify" vertical="center" wrapText="1"/>
    </xf>
    <xf numFmtId="1" fontId="3" fillId="0" borderId="18" xfId="0" applyNumberFormat="1"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21"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8" xfId="0" applyFont="1" applyBorder="1" applyAlignment="1">
      <alignment horizontal="justify" vertical="center" wrapText="1"/>
    </xf>
    <xf numFmtId="0" fontId="9" fillId="0" borderId="16" xfId="0" applyFont="1" applyBorder="1" applyAlignment="1">
      <alignment horizontal="justify" vertical="center" wrapText="1"/>
    </xf>
    <xf numFmtId="9" fontId="9" fillId="0" borderId="18" xfId="2" applyFont="1" applyFill="1" applyBorder="1" applyAlignment="1">
      <alignment horizontal="center" vertical="center"/>
    </xf>
    <xf numFmtId="0" fontId="9" fillId="0" borderId="6" xfId="0" applyFont="1" applyBorder="1" applyAlignment="1">
      <alignment horizontal="justify" vertical="center" wrapText="1"/>
    </xf>
    <xf numFmtId="0" fontId="9" fillId="0" borderId="27" xfId="0" applyFont="1" applyBorder="1" applyAlignment="1">
      <alignment horizontal="center" vertical="center" wrapText="1"/>
    </xf>
    <xf numFmtId="0" fontId="9" fillId="0" borderId="20" xfId="0" applyFont="1" applyFill="1" applyBorder="1" applyAlignment="1">
      <alignment horizontal="center" vertical="center" wrapText="1"/>
    </xf>
    <xf numFmtId="1" fontId="9" fillId="0" borderId="27" xfId="0" applyNumberFormat="1" applyFont="1" applyBorder="1" applyAlignment="1">
      <alignment horizontal="center" vertical="center"/>
    </xf>
    <xf numFmtId="3" fontId="9" fillId="0" borderId="9" xfId="0" applyNumberFormat="1" applyFont="1" applyBorder="1" applyAlignment="1">
      <alignment horizontal="justify" vertical="center" wrapText="1"/>
    </xf>
    <xf numFmtId="3" fontId="9" fillId="0" borderId="17" xfId="0" applyNumberFormat="1" applyFont="1" applyBorder="1" applyAlignment="1">
      <alignment horizontal="justify" vertical="center" wrapText="1"/>
    </xf>
    <xf numFmtId="0" fontId="9" fillId="0" borderId="20"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21" xfId="0" applyFont="1" applyBorder="1" applyAlignment="1">
      <alignment horizontal="center" vertical="center"/>
    </xf>
    <xf numFmtId="0" fontId="9" fillId="0" borderId="27" xfId="0" applyFont="1" applyBorder="1" applyAlignment="1">
      <alignment horizontal="center" vertical="center"/>
    </xf>
    <xf numFmtId="0" fontId="3" fillId="0" borderId="18" xfId="0" applyFont="1" applyBorder="1" applyAlignment="1">
      <alignment horizontal="justify" vertical="center" wrapText="1"/>
    </xf>
    <xf numFmtId="1" fontId="9" fillId="0" borderId="20" xfId="0" applyNumberFormat="1" applyFont="1" applyBorder="1" applyAlignment="1">
      <alignment horizontal="center" vertical="center"/>
    </xf>
    <xf numFmtId="0" fontId="9" fillId="0" borderId="34"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9" fillId="0" borderId="0" xfId="0" applyFont="1" applyAlignment="1">
      <alignment horizontal="center" vertical="center" wrapText="1"/>
    </xf>
    <xf numFmtId="0" fontId="3" fillId="0" borderId="2"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9" fillId="0" borderId="3" xfId="0" applyFont="1" applyBorder="1" applyAlignment="1">
      <alignment horizontal="justify" vertical="center" wrapText="1"/>
    </xf>
    <xf numFmtId="0" fontId="9" fillId="0" borderId="45" xfId="0" applyFont="1" applyFill="1" applyBorder="1" applyAlignment="1">
      <alignment horizontal="center" vertical="center" wrapText="1"/>
    </xf>
    <xf numFmtId="172" fontId="9" fillId="0" borderId="2" xfId="7" applyFont="1" applyFill="1" applyBorder="1" applyAlignment="1">
      <alignment horizontal="center" vertical="center" wrapText="1"/>
    </xf>
    <xf numFmtId="172" fontId="9" fillId="0" borderId="20" xfId="7" applyFont="1" applyFill="1" applyBorder="1" applyAlignment="1">
      <alignment horizontal="center" vertical="center" wrapText="1"/>
    </xf>
    <xf numFmtId="0" fontId="9" fillId="0" borderId="20" xfId="0" applyFont="1" applyFill="1" applyBorder="1" applyAlignment="1">
      <alignment horizontal="center" vertical="center"/>
    </xf>
    <xf numFmtId="0" fontId="9" fillId="0" borderId="2" xfId="0" applyFont="1" applyFill="1" applyBorder="1" applyAlignment="1">
      <alignment horizontal="center" vertical="center"/>
    </xf>
    <xf numFmtId="0" fontId="2" fillId="0" borderId="33" xfId="0" applyFont="1" applyBorder="1" applyAlignment="1">
      <alignment horizontal="center" vertical="center" wrapText="1"/>
    </xf>
    <xf numFmtId="0" fontId="3" fillId="2" borderId="30"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2" fillId="7" borderId="0" xfId="0" applyFont="1" applyFill="1" applyAlignment="1">
      <alignment horizontal="center" vertical="center" wrapText="1"/>
    </xf>
    <xf numFmtId="0" fontId="3" fillId="0" borderId="57" xfId="0" applyFont="1" applyBorder="1" applyAlignment="1">
      <alignment horizontal="center" vertical="center" wrapText="1"/>
    </xf>
    <xf numFmtId="0" fontId="20" fillId="0" borderId="57" xfId="0" applyFont="1" applyBorder="1" applyAlignment="1">
      <alignment horizontal="center" vertical="center" wrapText="1"/>
    </xf>
    <xf numFmtId="0" fontId="20" fillId="0" borderId="33" xfId="0" applyFont="1" applyBorder="1" applyAlignment="1">
      <alignment horizontal="center" vertical="center" wrapText="1"/>
    </xf>
    <xf numFmtId="1" fontId="3" fillId="0" borderId="48" xfId="0" applyNumberFormat="1" applyFont="1" applyBorder="1" applyAlignment="1">
      <alignment horizontal="center" vertical="center"/>
    </xf>
    <xf numFmtId="43" fontId="3" fillId="7" borderId="18" xfId="12" applyFont="1" applyFill="1" applyBorder="1" applyAlignment="1">
      <alignment vertical="center" wrapText="1"/>
    </xf>
    <xf numFmtId="43" fontId="9" fillId="0" borderId="18" xfId="12" applyFont="1" applyFill="1" applyBorder="1" applyAlignment="1">
      <alignment horizontal="center" vertical="center" wrapText="1"/>
    </xf>
    <xf numFmtId="43" fontId="6" fillId="0" borderId="18" xfId="12" applyFont="1" applyFill="1" applyBorder="1" applyAlignment="1">
      <alignment vertical="center"/>
    </xf>
    <xf numFmtId="43" fontId="3" fillId="0" borderId="20" xfId="12" applyFont="1" applyFill="1" applyBorder="1" applyAlignment="1">
      <alignment horizontal="center" vertical="center"/>
    </xf>
    <xf numFmtId="43" fontId="3" fillId="0" borderId="20" xfId="12" applyFont="1" applyBorder="1" applyAlignment="1">
      <alignment horizontal="center" vertical="center"/>
    </xf>
    <xf numFmtId="43" fontId="3" fillId="7" borderId="18" xfId="12" applyFont="1" applyFill="1" applyBorder="1" applyAlignment="1">
      <alignment horizontal="center" vertical="center" wrapText="1"/>
    </xf>
    <xf numFmtId="43" fontId="3" fillId="0" borderId="2" xfId="12" applyFont="1" applyFill="1" applyBorder="1" applyAlignment="1">
      <alignment horizontal="center" vertical="center"/>
    </xf>
    <xf numFmtId="43" fontId="9" fillId="0" borderId="10" xfId="12" applyFont="1" applyFill="1" applyBorder="1" applyAlignment="1">
      <alignment horizontal="right" vertical="center" wrapText="1"/>
    </xf>
    <xf numFmtId="43" fontId="9" fillId="0" borderId="6" xfId="12" applyFont="1" applyFill="1" applyBorder="1" applyAlignment="1">
      <alignment horizontal="right" vertical="center" wrapText="1"/>
    </xf>
    <xf numFmtId="43" fontId="9" fillId="0" borderId="11" xfId="12" applyFont="1" applyFill="1" applyBorder="1" applyAlignment="1">
      <alignment horizontal="right" vertical="center" wrapText="1"/>
    </xf>
    <xf numFmtId="43" fontId="9" fillId="0" borderId="16" xfId="12" applyFont="1" applyFill="1" applyBorder="1" applyAlignment="1">
      <alignment horizontal="right" vertical="center" wrapText="1"/>
    </xf>
    <xf numFmtId="43" fontId="3" fillId="0" borderId="20" xfId="12" applyFont="1" applyFill="1" applyBorder="1" applyAlignment="1">
      <alignment horizontal="center" vertical="center" wrapText="1"/>
    </xf>
    <xf numFmtId="43" fontId="3" fillId="0" borderId="27" xfId="12" applyFont="1" applyFill="1" applyBorder="1" applyAlignment="1">
      <alignment horizontal="center" vertical="center" wrapText="1"/>
    </xf>
    <xf numFmtId="43" fontId="3" fillId="0" borderId="4" xfId="12" applyFont="1" applyFill="1" applyBorder="1" applyAlignment="1">
      <alignment horizontal="center" vertical="center" wrapText="1"/>
    </xf>
    <xf numFmtId="43" fontId="3" fillId="0" borderId="18" xfId="12" applyFont="1" applyFill="1" applyBorder="1" applyAlignment="1">
      <alignment horizontal="center" vertical="center" wrapText="1"/>
    </xf>
    <xf numFmtId="43" fontId="3" fillId="0" borderId="1" xfId="12" applyFont="1" applyFill="1" applyBorder="1" applyAlignment="1">
      <alignment horizontal="center" vertical="center" wrapText="1"/>
    </xf>
    <xf numFmtId="43" fontId="3" fillId="2" borderId="21" xfId="12" applyFont="1" applyFill="1" applyBorder="1" applyAlignment="1">
      <alignment vertical="center" wrapText="1"/>
    </xf>
    <xf numFmtId="43" fontId="3" fillId="2" borderId="1" xfId="12" applyFont="1" applyFill="1" applyBorder="1" applyAlignment="1">
      <alignment horizontal="center" vertical="center" wrapText="1"/>
    </xf>
    <xf numFmtId="43" fontId="3" fillId="0" borderId="2" xfId="12" applyFont="1" applyFill="1" applyBorder="1" applyAlignment="1">
      <alignment vertical="center" wrapText="1"/>
    </xf>
    <xf numFmtId="43" fontId="3" fillId="0" borderId="2" xfId="12" applyFont="1" applyFill="1" applyBorder="1" applyAlignment="1">
      <alignment horizontal="center" vertical="center" wrapText="1"/>
    </xf>
    <xf numFmtId="43" fontId="3" fillId="2" borderId="2" xfId="12" applyFont="1" applyFill="1" applyBorder="1" applyAlignment="1">
      <alignment horizontal="center" vertical="center" wrapText="1"/>
    </xf>
    <xf numFmtId="43" fontId="3" fillId="2" borderId="4" xfId="12" applyFont="1" applyFill="1" applyBorder="1" applyAlignment="1">
      <alignment horizontal="center" vertical="center" wrapText="1"/>
    </xf>
    <xf numFmtId="43" fontId="9" fillId="0" borderId="27" xfId="12" applyFont="1" applyFill="1" applyBorder="1" applyAlignment="1">
      <alignment horizontal="right" vertical="center" wrapText="1"/>
    </xf>
    <xf numFmtId="43" fontId="9" fillId="0" borderId="20" xfId="12" applyFont="1" applyFill="1" applyBorder="1" applyAlignment="1">
      <alignment horizontal="right" vertical="center" wrapText="1"/>
    </xf>
    <xf numFmtId="43" fontId="9" fillId="0" borderId="33" xfId="12" applyFont="1" applyFill="1" applyBorder="1" applyAlignment="1">
      <alignment horizontal="right" vertical="center" wrapText="1"/>
    </xf>
    <xf numFmtId="43" fontId="9" fillId="0" borderId="21" xfId="12" applyFont="1" applyFill="1" applyBorder="1" applyAlignment="1">
      <alignment horizontal="right" vertical="center" wrapText="1"/>
    </xf>
    <xf numFmtId="43" fontId="2" fillId="7" borderId="18" xfId="12" applyFont="1" applyFill="1" applyBorder="1" applyAlignment="1">
      <alignment horizontal="center" vertical="center" textRotation="180" wrapText="1"/>
    </xf>
    <xf numFmtId="9" fontId="2" fillId="0" borderId="18" xfId="2" applyFont="1" applyFill="1" applyBorder="1" applyAlignment="1">
      <alignment horizontal="center" vertical="center"/>
    </xf>
    <xf numFmtId="0" fontId="2" fillId="6" borderId="5" xfId="0" applyFont="1" applyFill="1" applyBorder="1" applyAlignment="1">
      <alignment horizontal="left" vertical="center"/>
    </xf>
    <xf numFmtId="166" fontId="2" fillId="6" borderId="5" xfId="0" applyNumberFormat="1" applyFont="1" applyFill="1" applyBorder="1" applyAlignment="1">
      <alignment vertical="center"/>
    </xf>
    <xf numFmtId="0" fontId="2" fillId="6" borderId="5" xfId="0" applyFont="1" applyFill="1" applyBorder="1" applyAlignment="1">
      <alignment horizontal="justify" vertical="center" wrapText="1"/>
    </xf>
    <xf numFmtId="166" fontId="2" fillId="6" borderId="5" xfId="0" applyNumberFormat="1" applyFont="1" applyFill="1" applyBorder="1" applyAlignment="1">
      <alignment horizontal="center" vertical="center"/>
    </xf>
    <xf numFmtId="10" fontId="2" fillId="6" borderId="5" xfId="0" applyNumberFormat="1" applyFont="1" applyFill="1" applyBorder="1" applyAlignment="1">
      <alignment horizontal="center" vertical="center"/>
    </xf>
    <xf numFmtId="0" fontId="2" fillId="6" borderId="7" xfId="0" applyFont="1" applyFill="1" applyBorder="1" applyAlignment="1">
      <alignment horizontal="justify" vertical="center"/>
    </xf>
    <xf numFmtId="1" fontId="2" fillId="0" borderId="8"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7" borderId="11" xfId="0" applyFont="1" applyFill="1" applyBorder="1" applyAlignment="1">
      <alignment horizontal="left" vertical="center"/>
    </xf>
    <xf numFmtId="166" fontId="2" fillId="7" borderId="5" xfId="0" applyNumberFormat="1" applyFont="1" applyFill="1" applyBorder="1" applyAlignment="1">
      <alignment vertical="center"/>
    </xf>
    <xf numFmtId="172" fontId="2" fillId="7" borderId="5" xfId="0" applyNumberFormat="1" applyFont="1" applyFill="1" applyBorder="1" applyAlignment="1">
      <alignment horizontal="justify" vertical="center" wrapText="1"/>
    </xf>
    <xf numFmtId="166" fontId="2" fillId="7" borderId="5" xfId="0" applyNumberFormat="1" applyFont="1" applyFill="1" applyBorder="1" applyAlignment="1">
      <alignment horizontal="center" vertical="center"/>
    </xf>
    <xf numFmtId="10" fontId="2" fillId="7" borderId="11" xfId="0" applyNumberFormat="1" applyFont="1" applyFill="1" applyBorder="1" applyAlignment="1">
      <alignment horizontal="center" vertical="center"/>
    </xf>
    <xf numFmtId="0" fontId="2" fillId="7" borderId="12" xfId="0" applyFont="1" applyFill="1" applyBorder="1" applyAlignment="1">
      <alignment horizontal="justify" vertical="center"/>
    </xf>
    <xf numFmtId="1" fontId="9" fillId="0" borderId="16" xfId="0" applyNumberFormat="1" applyFont="1" applyBorder="1" applyAlignment="1">
      <alignment horizontal="center"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180" fontId="9" fillId="0" borderId="20" xfId="6" applyNumberFormat="1" applyFont="1" applyFill="1" applyBorder="1" applyAlignment="1">
      <alignment vertical="center"/>
    </xf>
    <xf numFmtId="180" fontId="9" fillId="0" borderId="34" xfId="6" applyNumberFormat="1" applyFont="1" applyFill="1" applyBorder="1" applyAlignment="1">
      <alignment vertical="center"/>
    </xf>
    <xf numFmtId="0" fontId="9" fillId="0" borderId="34" xfId="0" applyFont="1" applyFill="1" applyBorder="1" applyAlignment="1">
      <alignment horizontal="center" vertical="center" wrapText="1"/>
    </xf>
    <xf numFmtId="0" fontId="9" fillId="0" borderId="0" xfId="0" applyFont="1" applyAlignment="1">
      <alignment vertical="center" wrapText="1"/>
    </xf>
    <xf numFmtId="0" fontId="9" fillId="0" borderId="1" xfId="0" applyFont="1" applyBorder="1" applyAlignment="1">
      <alignment vertical="center" wrapText="1"/>
    </xf>
    <xf numFmtId="180" fontId="9" fillId="0" borderId="21" xfId="6" applyNumberFormat="1" applyFont="1" applyFill="1" applyBorder="1" applyAlignment="1">
      <alignment vertical="center"/>
    </xf>
    <xf numFmtId="180" fontId="9" fillId="0" borderId="45" xfId="6" applyNumberFormat="1" applyFont="1" applyFill="1" applyBorder="1" applyAlignment="1">
      <alignment vertical="center"/>
    </xf>
    <xf numFmtId="43" fontId="9" fillId="0" borderId="20" xfId="0" applyNumberFormat="1" applyFont="1" applyFill="1" applyBorder="1" applyAlignment="1">
      <alignment vertical="center"/>
    </xf>
    <xf numFmtId="180" fontId="9" fillId="0" borderId="0" xfId="6" applyNumberFormat="1" applyFont="1" applyFill="1" applyBorder="1" applyAlignment="1">
      <alignment horizontal="justify" vertical="center" wrapText="1"/>
    </xf>
    <xf numFmtId="180" fontId="9" fillId="0" borderId="2" xfId="6" applyNumberFormat="1" applyFont="1" applyFill="1" applyBorder="1" applyAlignment="1">
      <alignment vertical="center"/>
    </xf>
    <xf numFmtId="180" fontId="9" fillId="0" borderId="21" xfId="6" applyNumberFormat="1" applyFont="1" applyFill="1" applyBorder="1" applyAlignment="1">
      <alignment horizontal="justify" vertical="center" wrapText="1"/>
    </xf>
    <xf numFmtId="180" fontId="9" fillId="0" borderId="23" xfId="6" applyNumberFormat="1" applyFont="1" applyFill="1" applyBorder="1" applyAlignment="1">
      <alignment vertical="center"/>
    </xf>
    <xf numFmtId="180" fontId="9" fillId="0" borderId="27" xfId="6" applyNumberFormat="1" applyFont="1" applyFill="1" applyBorder="1" applyAlignment="1">
      <alignment vertical="center"/>
    </xf>
    <xf numFmtId="172" fontId="9" fillId="0" borderId="2" xfId="16" applyFont="1" applyFill="1" applyBorder="1" applyAlignment="1">
      <alignment horizontal="justify" vertical="center" wrapText="1"/>
    </xf>
    <xf numFmtId="180" fontId="9" fillId="0" borderId="2" xfId="6" applyNumberFormat="1" applyFont="1" applyFill="1" applyBorder="1" applyAlignment="1" applyProtection="1">
      <alignment horizontal="right" vertical="center"/>
      <protection locked="0"/>
    </xf>
    <xf numFmtId="180" fontId="9" fillId="0" borderId="27" xfId="6" applyNumberFormat="1" applyFont="1" applyFill="1" applyBorder="1" applyAlignment="1">
      <alignment horizontal="justify" vertical="center" wrapText="1"/>
    </xf>
    <xf numFmtId="43" fontId="9" fillId="0" borderId="2" xfId="9" applyFont="1" applyFill="1" applyBorder="1" applyAlignment="1">
      <alignment horizontal="justify" vertical="center" wrapText="1"/>
    </xf>
    <xf numFmtId="180" fontId="9" fillId="0" borderId="20" xfId="6" applyNumberFormat="1" applyFont="1" applyFill="1" applyBorder="1" applyAlignment="1">
      <alignment horizontal="justify" vertical="center" wrapText="1"/>
    </xf>
    <xf numFmtId="3" fontId="9" fillId="0" borderId="17" xfId="0" applyNumberFormat="1" applyFont="1" applyBorder="1" applyAlignment="1">
      <alignment vertical="center"/>
    </xf>
    <xf numFmtId="180" fontId="9" fillId="0" borderId="2" xfId="6" applyNumberFormat="1" applyFont="1" applyFill="1" applyBorder="1" applyAlignment="1">
      <alignment horizontal="justify" vertical="center" wrapText="1"/>
    </xf>
    <xf numFmtId="43" fontId="9" fillId="0" borderId="2" xfId="9" applyFont="1" applyFill="1" applyBorder="1" applyAlignment="1">
      <alignment horizontal="center" vertical="center"/>
    </xf>
    <xf numFmtId="0" fontId="9" fillId="0" borderId="10" xfId="0" applyFont="1" applyBorder="1" applyAlignment="1">
      <alignment horizontal="justify" vertical="center" wrapText="1"/>
    </xf>
    <xf numFmtId="3" fontId="9" fillId="0" borderId="2" xfId="7" applyNumberFormat="1" applyFont="1" applyFill="1" applyBorder="1" applyAlignment="1">
      <alignment horizontal="center" vertical="center"/>
    </xf>
    <xf numFmtId="9" fontId="9" fillId="0" borderId="20" xfId="2" applyFont="1" applyFill="1" applyBorder="1" applyAlignment="1">
      <alignment horizontal="center" vertical="center"/>
    </xf>
    <xf numFmtId="180" fontId="9" fillId="0" borderId="33" xfId="6" applyNumberFormat="1" applyFont="1" applyFill="1" applyBorder="1" applyAlignment="1">
      <alignment vertical="center"/>
    </xf>
    <xf numFmtId="1" fontId="9" fillId="0" borderId="29" xfId="0" applyNumberFormat="1" applyFont="1" applyFill="1" applyBorder="1" applyAlignment="1">
      <alignment horizontal="center" vertical="center"/>
    </xf>
    <xf numFmtId="180" fontId="9" fillId="0" borderId="42" xfId="6" applyNumberFormat="1" applyFont="1" applyFill="1" applyBorder="1" applyAlignment="1">
      <alignment vertical="center"/>
    </xf>
    <xf numFmtId="1" fontId="9" fillId="0" borderId="21" xfId="0" applyNumberFormat="1" applyFont="1" applyFill="1" applyBorder="1" applyAlignment="1">
      <alignment horizontal="center" vertical="center"/>
    </xf>
    <xf numFmtId="0" fontId="9" fillId="0" borderId="12" xfId="0" applyFont="1" applyBorder="1" applyAlignment="1">
      <alignment horizontal="justify" vertical="center" wrapText="1"/>
    </xf>
    <xf numFmtId="1" fontId="9" fillId="0" borderId="29" xfId="0" applyNumberFormat="1" applyFont="1" applyBorder="1" applyAlignment="1">
      <alignment horizontal="center" vertical="center"/>
    </xf>
    <xf numFmtId="49" fontId="9" fillId="0" borderId="17" xfId="0" applyNumberFormat="1" applyFont="1" applyBorder="1" applyAlignment="1">
      <alignment horizontal="center" vertical="center"/>
    </xf>
    <xf numFmtId="3" fontId="9" fillId="0" borderId="18" xfId="0" applyNumberFormat="1" applyFont="1" applyBorder="1" applyAlignment="1">
      <alignment vertical="center"/>
    </xf>
    <xf numFmtId="0" fontId="9" fillId="0" borderId="8" xfId="9" applyNumberFormat="1" applyFont="1" applyFill="1" applyBorder="1" applyAlignment="1">
      <alignment horizontal="justify" vertical="center" wrapText="1"/>
    </xf>
    <xf numFmtId="180" fontId="9" fillId="0" borderId="30" xfId="6" applyNumberFormat="1" applyFont="1" applyFill="1" applyBorder="1" applyAlignment="1">
      <alignment horizontal="justify" vertical="center" wrapText="1"/>
    </xf>
    <xf numFmtId="180" fontId="9" fillId="0" borderId="2" xfId="6" applyNumberFormat="1" applyFont="1" applyFill="1" applyBorder="1" applyAlignment="1" applyProtection="1">
      <alignment horizontal="right" vertical="center" wrapText="1"/>
      <protection locked="0"/>
    </xf>
    <xf numFmtId="43" fontId="9" fillId="0" borderId="2" xfId="9" applyFont="1" applyFill="1" applyBorder="1" applyAlignment="1" applyProtection="1">
      <alignment horizontal="right" vertical="center" wrapText="1"/>
      <protection locked="0"/>
    </xf>
    <xf numFmtId="0" fontId="9" fillId="0" borderId="10" xfId="0" applyFont="1" applyBorder="1" applyAlignment="1">
      <alignment horizontal="center" vertical="center" wrapText="1"/>
    </xf>
    <xf numFmtId="4" fontId="9" fillId="0" borderId="20" xfId="0" applyNumberFormat="1" applyFont="1" applyFill="1" applyBorder="1" applyAlignment="1">
      <alignment horizontal="right" vertical="center" wrapText="1"/>
    </xf>
    <xf numFmtId="180" fontId="9" fillId="0" borderId="20" xfId="6" applyNumberFormat="1" applyFont="1" applyFill="1" applyBorder="1" applyAlignment="1">
      <alignment horizontal="right" vertical="center" wrapText="1"/>
    </xf>
    <xf numFmtId="172" fontId="9" fillId="0" borderId="2" xfId="16" applyFont="1" applyFill="1" applyBorder="1" applyAlignment="1">
      <alignment horizontal="right" vertical="center" wrapText="1"/>
    </xf>
    <xf numFmtId="4" fontId="9" fillId="0" borderId="27" xfId="0" applyNumberFormat="1" applyFont="1" applyFill="1" applyBorder="1" applyAlignment="1">
      <alignment horizontal="right" vertical="center" wrapText="1"/>
    </xf>
    <xf numFmtId="39" fontId="9" fillId="0" borderId="20" xfId="0" applyNumberFormat="1" applyFont="1" applyFill="1" applyBorder="1" applyAlignment="1">
      <alignment horizontal="right" vertical="center" wrapText="1"/>
    </xf>
    <xf numFmtId="3" fontId="9" fillId="0" borderId="37" xfId="0" applyNumberFormat="1" applyFont="1" applyBorder="1" applyAlignment="1">
      <alignment vertical="center"/>
    </xf>
    <xf numFmtId="172" fontId="3" fillId="0" borderId="2" xfId="16" applyFont="1" applyFill="1" applyBorder="1" applyAlignment="1">
      <alignment vertical="center"/>
    </xf>
    <xf numFmtId="1" fontId="9" fillId="0" borderId="42" xfId="0" applyNumberFormat="1" applyFont="1" applyBorder="1" applyAlignment="1">
      <alignment horizontal="center" vertical="center"/>
    </xf>
    <xf numFmtId="167" fontId="9" fillId="0" borderId="10" xfId="3" applyFont="1" applyBorder="1" applyAlignment="1">
      <alignment horizontal="justify" vertical="center" wrapText="1"/>
    </xf>
    <xf numFmtId="3" fontId="9" fillId="0" borderId="2" xfId="3" applyNumberFormat="1" applyFont="1" applyBorder="1" applyAlignment="1">
      <alignment horizontal="center" vertical="center" wrapText="1"/>
    </xf>
    <xf numFmtId="167" fontId="9" fillId="0" borderId="8" xfId="3" applyFont="1" applyBorder="1" applyAlignment="1">
      <alignment horizontal="justify" vertical="center" wrapText="1"/>
    </xf>
    <xf numFmtId="3" fontId="9" fillId="0" borderId="2" xfId="3" applyNumberFormat="1" applyFont="1" applyFill="1" applyBorder="1" applyAlignment="1">
      <alignment horizontal="center" vertical="center" wrapText="1"/>
    </xf>
    <xf numFmtId="180" fontId="9" fillId="0" borderId="33" xfId="6" applyNumberFormat="1" applyFont="1" applyFill="1" applyBorder="1" applyAlignment="1">
      <alignment horizontal="center" vertical="center"/>
    </xf>
    <xf numFmtId="180" fontId="9" fillId="0" borderId="18" xfId="6" applyNumberFormat="1" applyFont="1" applyFill="1" applyBorder="1" applyAlignment="1">
      <alignment vertical="center"/>
    </xf>
    <xf numFmtId="180" fontId="9" fillId="0" borderId="17" xfId="6" applyNumberFormat="1" applyFont="1" applyFill="1" applyBorder="1" applyAlignment="1">
      <alignment vertical="center"/>
    </xf>
    <xf numFmtId="1" fontId="9" fillId="0" borderId="17" xfId="0" applyNumberFormat="1" applyFont="1" applyBorder="1" applyAlignment="1">
      <alignment horizontal="center" vertical="center"/>
    </xf>
    <xf numFmtId="3" fontId="9" fillId="0" borderId="2" xfId="0" applyNumberFormat="1" applyFont="1" applyBorder="1" applyAlignment="1">
      <alignment horizontal="center" vertical="center"/>
    </xf>
    <xf numFmtId="3" fontId="9" fillId="0" borderId="10" xfId="0" applyNumberFormat="1" applyFont="1" applyBorder="1" applyAlignment="1">
      <alignment vertical="center"/>
    </xf>
    <xf numFmtId="43" fontId="9" fillId="0" borderId="2" xfId="0" applyNumberFormat="1" applyFont="1" applyBorder="1" applyAlignment="1">
      <alignment horizontal="center" vertical="center"/>
    </xf>
    <xf numFmtId="0" fontId="9" fillId="0" borderId="2" xfId="0" applyNumberFormat="1" applyFont="1" applyBorder="1" applyAlignment="1">
      <alignment horizontal="center" vertical="center"/>
    </xf>
    <xf numFmtId="168" fontId="9" fillId="0" borderId="7" xfId="0" applyNumberFormat="1" applyFont="1" applyBorder="1" applyAlignment="1">
      <alignment horizontal="center" vertical="center"/>
    </xf>
    <xf numFmtId="169" fontId="9" fillId="0" borderId="9" xfId="0" applyNumberFormat="1" applyFont="1" applyBorder="1" applyAlignment="1">
      <alignment horizontal="center" vertical="center" wrapText="1"/>
    </xf>
    <xf numFmtId="4" fontId="6" fillId="7" borderId="2" xfId="7" applyNumberFormat="1" applyFont="1" applyFill="1" applyBorder="1" applyAlignment="1">
      <alignment horizontal="center" vertical="center"/>
    </xf>
    <xf numFmtId="180" fontId="2" fillId="7" borderId="11" xfId="6" applyNumberFormat="1" applyFont="1" applyFill="1" applyBorder="1" applyAlignment="1">
      <alignment vertical="center"/>
    </xf>
    <xf numFmtId="1" fontId="2" fillId="7" borderId="20" xfId="0" applyNumberFormat="1" applyFont="1" applyFill="1" applyBorder="1" applyAlignment="1">
      <alignment horizontal="center" vertical="center"/>
    </xf>
    <xf numFmtId="0" fontId="2" fillId="7" borderId="20" xfId="0" applyFont="1" applyFill="1" applyBorder="1" applyAlignment="1">
      <alignment horizontal="justify" vertical="center" wrapText="1"/>
    </xf>
    <xf numFmtId="0" fontId="2" fillId="7" borderId="20" xfId="0" applyFont="1" applyFill="1" applyBorder="1" applyAlignment="1">
      <alignment horizontal="center" vertical="center"/>
    </xf>
    <xf numFmtId="0" fontId="2" fillId="7" borderId="33" xfId="0" applyFont="1" applyFill="1" applyBorder="1" applyAlignment="1">
      <alignment horizontal="center" vertical="center"/>
    </xf>
    <xf numFmtId="10" fontId="2" fillId="7" borderId="2" xfId="0" applyNumberFormat="1" applyFont="1" applyFill="1" applyBorder="1" applyAlignment="1">
      <alignment horizontal="center" vertical="center"/>
    </xf>
    <xf numFmtId="168" fontId="2" fillId="7" borderId="34" xfId="0" applyNumberFormat="1" applyFont="1" applyFill="1" applyBorder="1" applyAlignment="1">
      <alignment horizontal="center" vertical="center"/>
    </xf>
    <xf numFmtId="168" fontId="2" fillId="7" borderId="20" xfId="0" applyNumberFormat="1" applyFont="1" applyFill="1" applyBorder="1" applyAlignment="1">
      <alignment horizontal="center" vertical="center"/>
    </xf>
    <xf numFmtId="180" fontId="9" fillId="0" borderId="20" xfId="6" applyNumberFormat="1" applyFont="1" applyFill="1" applyBorder="1" applyAlignment="1">
      <alignment horizontal="center" vertical="center"/>
    </xf>
    <xf numFmtId="0" fontId="9" fillId="0" borderId="18" xfId="0" applyFont="1" applyBorder="1" applyAlignment="1">
      <alignment vertical="center" wrapText="1"/>
    </xf>
    <xf numFmtId="0" fontId="3" fillId="2" borderId="6" xfId="0" applyFont="1" applyFill="1" applyBorder="1"/>
    <xf numFmtId="43" fontId="6" fillId="0" borderId="2" xfId="0" applyNumberFormat="1" applyFont="1" applyBorder="1" applyAlignment="1">
      <alignment horizontal="center" vertical="center"/>
    </xf>
    <xf numFmtId="4" fontId="6" fillId="0" borderId="2" xfId="7" applyNumberFormat="1" applyFont="1" applyFill="1" applyBorder="1" applyAlignment="1">
      <alignment horizontal="center" vertical="center"/>
    </xf>
    <xf numFmtId="0" fontId="3" fillId="0" borderId="4" xfId="0" applyFont="1" applyBorder="1" applyAlignment="1">
      <alignment vertical="center" wrapText="1"/>
    </xf>
    <xf numFmtId="1" fontId="9" fillId="0" borderId="18" xfId="0" applyNumberFormat="1" applyFont="1" applyBorder="1" applyAlignment="1">
      <alignment vertical="center" wrapText="1"/>
    </xf>
    <xf numFmtId="0" fontId="9" fillId="0" borderId="6" xfId="0" applyFont="1" applyBorder="1" applyAlignment="1">
      <alignment vertical="center" wrapText="1"/>
    </xf>
    <xf numFmtId="9" fontId="3" fillId="2" borderId="20" xfId="2" applyFont="1" applyFill="1" applyBorder="1" applyAlignment="1">
      <alignment vertical="center"/>
    </xf>
    <xf numFmtId="180" fontId="6" fillId="0" borderId="4" xfId="6" applyNumberFormat="1" applyFont="1" applyFill="1" applyBorder="1" applyAlignment="1">
      <alignment vertical="center"/>
    </xf>
    <xf numFmtId="180" fontId="6" fillId="0" borderId="18" xfId="6" applyNumberFormat="1" applyFont="1" applyFill="1" applyBorder="1" applyAlignment="1">
      <alignment vertical="center"/>
    </xf>
    <xf numFmtId="10" fontId="3" fillId="0" borderId="2" xfId="0" applyNumberFormat="1" applyFont="1" applyBorder="1" applyAlignment="1">
      <alignment horizontal="center"/>
    </xf>
    <xf numFmtId="168" fontId="3" fillId="0" borderId="12" xfId="0" applyNumberFormat="1" applyFont="1" applyBorder="1" applyAlignment="1">
      <alignment horizontal="center" vertical="center"/>
    </xf>
    <xf numFmtId="4" fontId="18" fillId="0" borderId="0" xfId="7" applyNumberFormat="1" applyFont="1" applyFill="1" applyAlignment="1">
      <alignment horizontal="center" vertical="center"/>
    </xf>
    <xf numFmtId="0" fontId="3" fillId="2" borderId="0" xfId="0" applyFont="1" applyFill="1" applyAlignment="1">
      <alignment horizontal="left" vertical="center"/>
    </xf>
    <xf numFmtId="3" fontId="18" fillId="0" borderId="0" xfId="0" applyNumberFormat="1" applyFont="1"/>
    <xf numFmtId="10" fontId="18" fillId="0" borderId="0" xfId="0" applyNumberFormat="1" applyFont="1"/>
    <xf numFmtId="0" fontId="18" fillId="0" borderId="0" xfId="0" applyFont="1" applyAlignment="1">
      <alignment horizontal="center" vertical="center" wrapText="1"/>
    </xf>
    <xf numFmtId="0" fontId="18" fillId="0" borderId="0" xfId="0" applyFont="1" applyAlignment="1">
      <alignment horizontal="justify" vertical="center" wrapText="1"/>
    </xf>
    <xf numFmtId="166" fontId="18" fillId="0" borderId="0" xfId="0" applyNumberFormat="1" applyFont="1" applyAlignment="1">
      <alignment horizontal="center" vertical="center"/>
    </xf>
    <xf numFmtId="0" fontId="3" fillId="0" borderId="0" xfId="0" applyFont="1" applyFill="1" applyAlignment="1">
      <alignment horizontal="left" vertical="center"/>
    </xf>
    <xf numFmtId="4" fontId="18" fillId="17" borderId="0" xfId="7" applyNumberFormat="1" applyFont="1" applyFill="1" applyAlignment="1">
      <alignment horizontal="center" vertical="center"/>
    </xf>
    <xf numFmtId="43" fontId="9" fillId="0" borderId="34" xfId="12" applyFont="1" applyFill="1" applyBorder="1" applyAlignment="1">
      <alignment horizontal="center" vertical="center"/>
    </xf>
    <xf numFmtId="43" fontId="9" fillId="0" borderId="20" xfId="12" applyFont="1" applyFill="1" applyBorder="1" applyAlignment="1">
      <alignment horizontal="right" vertical="center"/>
    </xf>
    <xf numFmtId="43" fontId="9" fillId="0" borderId="20" xfId="12" applyFont="1" applyFill="1" applyBorder="1" applyAlignment="1">
      <alignment horizontal="center" vertical="center"/>
    </xf>
    <xf numFmtId="43" fontId="6" fillId="7" borderId="20" xfId="12" applyFont="1" applyFill="1" applyBorder="1" applyAlignment="1">
      <alignment horizontal="center" vertical="center"/>
    </xf>
    <xf numFmtId="43" fontId="6" fillId="7" borderId="0" xfId="12" applyFont="1" applyFill="1" applyBorder="1" applyAlignment="1">
      <alignment horizontal="right" vertical="center"/>
    </xf>
    <xf numFmtId="43" fontId="6" fillId="7" borderId="0" xfId="12" applyFont="1" applyFill="1" applyAlignment="1">
      <alignment horizontal="left" vertical="center" wrapText="1"/>
    </xf>
    <xf numFmtId="43" fontId="9" fillId="0" borderId="20" xfId="12" applyFont="1" applyFill="1" applyBorder="1" applyAlignment="1">
      <alignment vertical="center"/>
    </xf>
    <xf numFmtId="43" fontId="9" fillId="0" borderId="21" xfId="12" applyFont="1" applyFill="1" applyBorder="1" applyAlignment="1">
      <alignment horizontal="right" vertical="center"/>
    </xf>
    <xf numFmtId="43" fontId="6" fillId="7" borderId="33" xfId="12" applyFont="1" applyFill="1" applyBorder="1" applyAlignment="1">
      <alignment horizontal="center" vertical="center"/>
    </xf>
    <xf numFmtId="43" fontId="6" fillId="7" borderId="2" xfId="12" applyFont="1" applyFill="1" applyBorder="1" applyAlignment="1">
      <alignment horizontal="right" vertical="center"/>
    </xf>
    <xf numFmtId="43" fontId="2" fillId="7" borderId="2" xfId="12" applyFont="1" applyFill="1" applyBorder="1" applyAlignment="1">
      <alignment horizontal="right" vertical="center"/>
    </xf>
    <xf numFmtId="43" fontId="9" fillId="0" borderId="27" xfId="12" applyFont="1" applyFill="1" applyBorder="1" applyAlignment="1">
      <alignment horizontal="right" vertical="center"/>
    </xf>
    <xf numFmtId="43" fontId="9" fillId="0" borderId="45" xfId="12" applyFont="1" applyFill="1" applyBorder="1" applyAlignment="1">
      <alignment horizontal="center" vertical="center"/>
    </xf>
    <xf numFmtId="43" fontId="6" fillId="7" borderId="89" xfId="12" applyFont="1" applyFill="1" applyBorder="1" applyAlignment="1">
      <alignment horizontal="center" vertical="center"/>
    </xf>
    <xf numFmtId="43" fontId="9" fillId="0" borderId="27" xfId="12" applyFont="1" applyFill="1" applyBorder="1" applyAlignment="1">
      <alignment horizontal="center" vertical="center"/>
    </xf>
    <xf numFmtId="43" fontId="9" fillId="0" borderId="21" xfId="12" applyFont="1" applyFill="1" applyBorder="1" applyAlignment="1">
      <alignment horizontal="center" vertical="center"/>
    </xf>
    <xf numFmtId="43" fontId="6" fillId="7" borderId="11" xfId="12" applyFont="1" applyFill="1" applyBorder="1" applyAlignment="1">
      <alignment horizontal="center" vertical="center"/>
    </xf>
    <xf numFmtId="43" fontId="6" fillId="7" borderId="11" xfId="12" applyFont="1" applyFill="1" applyBorder="1" applyAlignment="1">
      <alignment horizontal="right" vertical="center"/>
    </xf>
    <xf numFmtId="43" fontId="9" fillId="0" borderId="2" xfId="12" applyFont="1" applyFill="1" applyBorder="1" applyAlignment="1" applyProtection="1">
      <alignment horizontal="right" vertical="center"/>
      <protection locked="0"/>
    </xf>
    <xf numFmtId="43" fontId="9" fillId="0" borderId="2" xfId="12" applyFont="1" applyFill="1" applyBorder="1" applyAlignment="1">
      <alignment horizontal="center" vertical="center" wrapText="1"/>
    </xf>
    <xf numFmtId="43" fontId="9" fillId="0" borderId="4" xfId="12" applyFont="1" applyFill="1" applyBorder="1" applyAlignment="1">
      <alignment horizontal="center" vertical="center" wrapText="1"/>
    </xf>
    <xf numFmtId="43" fontId="6" fillId="6" borderId="20" xfId="12" applyFont="1" applyFill="1" applyBorder="1" applyAlignment="1">
      <alignment horizontal="center" vertical="center"/>
    </xf>
    <xf numFmtId="43" fontId="6" fillId="6" borderId="91" xfId="12" applyFont="1" applyFill="1" applyBorder="1" applyAlignment="1">
      <alignment horizontal="right" vertical="center"/>
    </xf>
    <xf numFmtId="43" fontId="6" fillId="6" borderId="92" xfId="12" applyFont="1" applyFill="1" applyBorder="1" applyAlignment="1">
      <alignment horizontal="right" vertical="center"/>
    </xf>
    <xf numFmtId="43" fontId="6" fillId="7" borderId="21" xfId="12" applyFont="1" applyFill="1" applyBorder="1" applyAlignment="1">
      <alignment horizontal="center" vertical="center"/>
    </xf>
    <xf numFmtId="43" fontId="6" fillId="7" borderId="0" xfId="12" applyFont="1" applyFill="1" applyBorder="1" applyAlignment="1">
      <alignment horizontal="left" vertical="center" wrapText="1"/>
    </xf>
    <xf numFmtId="43" fontId="9" fillId="0" borderId="34" xfId="12" applyFont="1" applyFill="1" applyBorder="1" applyAlignment="1">
      <alignment horizontal="right" vertical="center"/>
    </xf>
    <xf numFmtId="43" fontId="9" fillId="0" borderId="33" xfId="12" applyFont="1" applyFill="1" applyBorder="1" applyAlignment="1">
      <alignment horizontal="right" vertical="center"/>
    </xf>
    <xf numFmtId="43" fontId="9" fillId="0" borderId="2" xfId="12" applyFont="1" applyFill="1" applyBorder="1" applyAlignment="1">
      <alignment horizontal="right" vertical="center"/>
    </xf>
    <xf numFmtId="43" fontId="9" fillId="0" borderId="34" xfId="12" applyFont="1" applyBorder="1" applyAlignment="1">
      <alignment horizontal="right" vertical="center"/>
    </xf>
    <xf numFmtId="43" fontId="9" fillId="0" borderId="20" xfId="12" applyFont="1" applyBorder="1" applyAlignment="1">
      <alignment horizontal="right" vertical="center"/>
    </xf>
    <xf numFmtId="43" fontId="9" fillId="7" borderId="20" xfId="12" applyFont="1" applyFill="1" applyBorder="1" applyAlignment="1">
      <alignment horizontal="right" vertical="center"/>
    </xf>
    <xf numFmtId="43" fontId="9" fillId="2" borderId="20" xfId="12" applyFont="1" applyFill="1" applyBorder="1" applyAlignment="1">
      <alignment horizontal="right" vertical="center"/>
    </xf>
    <xf numFmtId="43" fontId="9" fillId="0" borderId="21" xfId="12" applyFont="1" applyFill="1" applyBorder="1" applyAlignment="1">
      <alignment vertical="center"/>
    </xf>
    <xf numFmtId="43" fontId="9" fillId="0" borderId="21" xfId="12" applyFont="1" applyBorder="1" applyAlignment="1">
      <alignment horizontal="right" vertical="center"/>
    </xf>
    <xf numFmtId="43" fontId="6" fillId="0" borderId="20" xfId="12" applyFont="1" applyBorder="1" applyAlignment="1">
      <alignment horizontal="center" vertical="center"/>
    </xf>
    <xf numFmtId="43" fontId="6" fillId="0" borderId="20" xfId="12" applyFont="1" applyBorder="1" applyAlignment="1">
      <alignment horizontal="right" vertical="center"/>
    </xf>
    <xf numFmtId="43" fontId="6" fillId="7" borderId="3" xfId="12" applyFont="1" applyFill="1" applyBorder="1" applyAlignment="1">
      <alignment horizontal="center" vertical="center"/>
    </xf>
    <xf numFmtId="43" fontId="6" fillId="6" borderId="3" xfId="12" applyFont="1" applyFill="1" applyBorder="1" applyAlignment="1">
      <alignment horizontal="center" vertical="center"/>
    </xf>
    <xf numFmtId="43" fontId="6" fillId="6" borderId="11" xfId="12" applyFont="1" applyFill="1" applyBorder="1" applyAlignment="1">
      <alignment horizontal="center" vertical="center"/>
    </xf>
    <xf numFmtId="0" fontId="9" fillId="0" borderId="90" xfId="0" applyFont="1" applyBorder="1" applyAlignment="1">
      <alignment horizontal="center" vertical="center" wrapText="1"/>
    </xf>
    <xf numFmtId="0" fontId="3" fillId="7" borderId="9" xfId="0" applyFont="1" applyFill="1" applyBorder="1" applyAlignment="1">
      <alignment horizontal="center" vertical="center" wrapText="1"/>
    </xf>
    <xf numFmtId="0" fontId="3" fillId="6" borderId="18" xfId="0" applyFont="1" applyFill="1" applyBorder="1" applyAlignment="1">
      <alignment horizontal="center" vertical="center" wrapText="1"/>
    </xf>
    <xf numFmtId="4" fontId="3" fillId="2" borderId="20" xfId="0" applyNumberFormat="1" applyFont="1" applyFill="1" applyBorder="1" applyAlignment="1">
      <alignment horizontal="right" vertical="center"/>
    </xf>
    <xf numFmtId="4" fontId="3" fillId="2" borderId="34" xfId="0" applyNumberFormat="1" applyFont="1" applyFill="1" applyBorder="1" applyAlignment="1">
      <alignment horizontal="right" vertical="center"/>
    </xf>
    <xf numFmtId="4" fontId="3" fillId="2" borderId="45" xfId="0" applyNumberFormat="1" applyFont="1" applyFill="1" applyBorder="1" applyAlignment="1">
      <alignment horizontal="right" vertical="center"/>
    </xf>
    <xf numFmtId="4" fontId="3" fillId="2" borderId="21" xfId="0" applyNumberFormat="1" applyFont="1" applyFill="1" applyBorder="1" applyAlignment="1">
      <alignment horizontal="right" vertical="center"/>
    </xf>
    <xf numFmtId="4" fontId="3" fillId="2" borderId="6" xfId="0" applyNumberFormat="1" applyFont="1" applyFill="1" applyBorder="1" applyAlignment="1">
      <alignment horizontal="right" vertical="center"/>
    </xf>
    <xf numFmtId="4" fontId="3" fillId="2" borderId="10" xfId="0" applyNumberFormat="1" applyFont="1" applyFill="1" applyBorder="1" applyAlignment="1">
      <alignment horizontal="right" vertical="center"/>
    </xf>
    <xf numFmtId="4" fontId="3" fillId="2" borderId="2" xfId="0" applyNumberFormat="1" applyFont="1" applyFill="1" applyBorder="1" applyAlignment="1">
      <alignment horizontal="right" vertical="center"/>
    </xf>
    <xf numFmtId="4" fontId="3" fillId="2" borderId="18" xfId="0" applyNumberFormat="1" applyFont="1" applyFill="1" applyBorder="1" applyAlignment="1">
      <alignment horizontal="right" vertical="center"/>
    </xf>
    <xf numFmtId="4" fontId="3" fillId="2" borderId="33" xfId="0" applyNumberFormat="1" applyFont="1" applyFill="1" applyBorder="1" applyAlignment="1">
      <alignment horizontal="right" vertical="center"/>
    </xf>
    <xf numFmtId="4" fontId="3" fillId="7" borderId="2" xfId="0" applyNumberFormat="1" applyFont="1" applyFill="1" applyBorder="1" applyAlignment="1">
      <alignment horizontal="right" vertical="center"/>
    </xf>
    <xf numFmtId="4" fontId="3" fillId="7" borderId="9" xfId="0" applyNumberFormat="1" applyFont="1" applyFill="1" applyBorder="1" applyAlignment="1">
      <alignment horizontal="right" vertical="center"/>
    </xf>
    <xf numFmtId="4" fontId="3" fillId="7" borderId="18" xfId="0" applyNumberFormat="1" applyFont="1" applyFill="1" applyBorder="1" applyAlignment="1">
      <alignment horizontal="right" vertical="center"/>
    </xf>
    <xf numFmtId="4" fontId="3" fillId="2" borderId="9" xfId="0" applyNumberFormat="1" applyFont="1" applyFill="1" applyBorder="1" applyAlignment="1">
      <alignment horizontal="right" vertical="center"/>
    </xf>
    <xf numFmtId="4" fontId="3" fillId="7" borderId="20" xfId="0" applyNumberFormat="1" applyFont="1" applyFill="1" applyBorder="1" applyAlignment="1">
      <alignment horizontal="right" vertical="center"/>
    </xf>
    <xf numFmtId="4" fontId="3" fillId="7" borderId="17" xfId="0" applyNumberFormat="1" applyFont="1" applyFill="1" applyBorder="1" applyAlignment="1">
      <alignment horizontal="right" vertical="center"/>
    </xf>
    <xf numFmtId="4" fontId="3" fillId="0" borderId="20" xfId="0" applyNumberFormat="1" applyFont="1" applyFill="1" applyBorder="1" applyAlignment="1">
      <alignment horizontal="right" vertical="center"/>
    </xf>
    <xf numFmtId="4" fontId="3" fillId="2" borderId="27" xfId="0" applyNumberFormat="1" applyFont="1" applyFill="1" applyBorder="1" applyAlignment="1">
      <alignment horizontal="right" vertical="center"/>
    </xf>
    <xf numFmtId="4" fontId="3" fillId="6" borderId="2" xfId="0" applyNumberFormat="1" applyFont="1" applyFill="1" applyBorder="1" applyAlignment="1">
      <alignment horizontal="right" vertical="center"/>
    </xf>
    <xf numFmtId="4" fontId="3" fillId="6" borderId="18" xfId="0" applyNumberFormat="1" applyFont="1" applyFill="1" applyBorder="1" applyAlignment="1">
      <alignment horizontal="right" vertical="center"/>
    </xf>
    <xf numFmtId="4" fontId="3" fillId="2" borderId="42" xfId="0" applyNumberFormat="1" applyFont="1" applyFill="1" applyBorder="1" applyAlignment="1">
      <alignment horizontal="right" vertical="center"/>
    </xf>
    <xf numFmtId="4" fontId="3" fillId="2" borderId="57" xfId="0" applyNumberFormat="1" applyFont="1" applyFill="1" applyBorder="1" applyAlignment="1">
      <alignment horizontal="right" vertical="center"/>
    </xf>
    <xf numFmtId="4" fontId="3" fillId="2" borderId="64" xfId="0" applyNumberFormat="1" applyFont="1" applyFill="1" applyBorder="1" applyAlignment="1">
      <alignment horizontal="right" vertical="center"/>
    </xf>
    <xf numFmtId="4" fontId="3" fillId="2" borderId="30" xfId="0" applyNumberFormat="1" applyFont="1" applyFill="1" applyBorder="1" applyAlignment="1">
      <alignment horizontal="right" vertical="center"/>
    </xf>
    <xf numFmtId="4" fontId="3" fillId="2" borderId="3" xfId="0" applyNumberFormat="1" applyFont="1" applyFill="1" applyBorder="1" applyAlignment="1">
      <alignment horizontal="right" vertical="center"/>
    </xf>
    <xf numFmtId="4" fontId="3" fillId="2" borderId="29" xfId="0" applyNumberFormat="1" applyFont="1" applyFill="1" applyBorder="1" applyAlignment="1">
      <alignment horizontal="right" vertical="center"/>
    </xf>
    <xf numFmtId="4" fontId="3" fillId="2" borderId="17" xfId="0" applyNumberFormat="1" applyFont="1" applyFill="1" applyBorder="1" applyAlignment="1">
      <alignment horizontal="right" vertical="center"/>
    </xf>
    <xf numFmtId="4" fontId="3" fillId="2" borderId="16" xfId="0" applyNumberFormat="1" applyFont="1" applyFill="1" applyBorder="1" applyAlignment="1">
      <alignment horizontal="right" vertical="center"/>
    </xf>
    <xf numFmtId="172" fontId="2" fillId="0" borderId="2" xfId="7" applyFont="1" applyFill="1" applyBorder="1" applyAlignment="1">
      <alignment horizontal="right" vertical="center"/>
    </xf>
    <xf numFmtId="172" fontId="2" fillId="2" borderId="2" xfId="7" applyFont="1" applyFill="1" applyBorder="1" applyAlignment="1">
      <alignment horizontal="right" vertical="center"/>
    </xf>
    <xf numFmtId="0" fontId="3" fillId="7"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172" fontId="3" fillId="0" borderId="20" xfId="7" applyFont="1" applyFill="1" applyBorder="1" applyAlignment="1">
      <alignment horizontal="center" vertical="center" wrapText="1"/>
    </xf>
    <xf numFmtId="172" fontId="3" fillId="0" borderId="9" xfId="7" applyFont="1" applyFill="1" applyBorder="1" applyAlignment="1">
      <alignment horizontal="center" vertical="center" wrapText="1"/>
    </xf>
    <xf numFmtId="172" fontId="3" fillId="0" borderId="34" xfId="7" applyFont="1" applyFill="1" applyBorder="1" applyAlignment="1">
      <alignment horizontal="center" vertical="center" wrapText="1"/>
    </xf>
    <xf numFmtId="172" fontId="3" fillId="0" borderId="4" xfId="7" applyFont="1" applyFill="1" applyBorder="1" applyAlignment="1">
      <alignment horizontal="center" vertical="center" wrapText="1"/>
    </xf>
    <xf numFmtId="172" fontId="3" fillId="0" borderId="1" xfId="7" applyFont="1" applyFill="1" applyBorder="1" applyAlignment="1">
      <alignment horizontal="center" vertical="center" wrapText="1"/>
    </xf>
    <xf numFmtId="172" fontId="3" fillId="0" borderId="18" xfId="7" applyFont="1" applyFill="1" applyBorder="1" applyAlignment="1">
      <alignment horizontal="center" vertical="center" wrapText="1"/>
    </xf>
    <xf numFmtId="0" fontId="40" fillId="0" borderId="12" xfId="0" applyFont="1" applyBorder="1" applyAlignment="1">
      <alignment horizontal="center" vertical="center" wrapText="1"/>
    </xf>
    <xf numFmtId="0" fontId="40" fillId="0" borderId="7" xfId="0" applyFont="1" applyBorder="1" applyAlignment="1">
      <alignment horizontal="center" vertical="center" wrapText="1"/>
    </xf>
    <xf numFmtId="172" fontId="3" fillId="0" borderId="21" xfId="7" applyFont="1" applyFill="1" applyBorder="1" applyAlignment="1">
      <alignment horizontal="center" vertical="center" wrapText="1"/>
    </xf>
    <xf numFmtId="172" fontId="9" fillId="0" borderId="21" xfId="7" applyFont="1" applyFill="1" applyBorder="1" applyAlignment="1">
      <alignment horizontal="center" vertical="center" wrapText="1"/>
    </xf>
    <xf numFmtId="172" fontId="3" fillId="0" borderId="2" xfId="7" applyFont="1" applyFill="1" applyBorder="1" applyAlignment="1">
      <alignment horizontal="center" vertical="center" wrapText="1"/>
    </xf>
    <xf numFmtId="172" fontId="3" fillId="0" borderId="27" xfId="7" applyFont="1" applyFill="1" applyBorder="1" applyAlignment="1">
      <alignment horizontal="center" vertical="center" wrapText="1"/>
    </xf>
    <xf numFmtId="172" fontId="3" fillId="7" borderId="3" xfId="7" applyFont="1" applyFill="1" applyBorder="1" applyAlignment="1">
      <alignment horizontal="center" vertical="center" wrapText="1"/>
    </xf>
    <xf numFmtId="172" fontId="9" fillId="0" borderId="17" xfId="7" applyFont="1" applyFill="1" applyBorder="1" applyAlignment="1">
      <alignment horizontal="center" vertical="center" wrapText="1"/>
    </xf>
    <xf numFmtId="172" fontId="9" fillId="0" borderId="9" xfId="7" applyFont="1" applyFill="1" applyBorder="1" applyAlignment="1">
      <alignment horizontal="center" vertical="center" wrapText="1"/>
    </xf>
    <xf numFmtId="172" fontId="9" fillId="0" borderId="20" xfId="7" applyFont="1" applyBorder="1" applyAlignment="1">
      <alignment horizontal="center" vertical="center" wrapText="1"/>
    </xf>
    <xf numFmtId="172" fontId="9" fillId="0" borderId="20" xfId="7" applyFont="1" applyFill="1" applyBorder="1" applyAlignment="1" applyProtection="1">
      <alignment horizontal="center" vertical="center" wrapText="1"/>
      <protection locked="0"/>
    </xf>
    <xf numFmtId="172" fontId="9" fillId="0" borderId="21" xfId="7" applyFont="1" applyFill="1" applyBorder="1" applyAlignment="1" applyProtection="1">
      <alignment horizontal="center" vertical="center" wrapText="1"/>
      <protection locked="0"/>
    </xf>
    <xf numFmtId="172" fontId="9" fillId="0" borderId="27" xfId="7" applyFont="1" applyFill="1" applyBorder="1" applyAlignment="1" applyProtection="1">
      <alignment horizontal="center" vertical="center" wrapText="1"/>
      <protection locked="0"/>
    </xf>
    <xf numFmtId="172" fontId="6" fillId="6" borderId="3" xfId="7" applyFont="1" applyFill="1" applyBorder="1" applyAlignment="1">
      <alignment horizontal="center" vertical="center" wrapText="1"/>
    </xf>
    <xf numFmtId="172" fontId="3" fillId="7" borderId="5" xfId="7" applyFont="1" applyFill="1" applyBorder="1" applyAlignment="1">
      <alignment horizontal="center" vertical="center" wrapText="1"/>
    </xf>
    <xf numFmtId="172" fontId="3" fillId="7" borderId="11" xfId="7"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3" fillId="0" borderId="50"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6" fillId="0" borderId="56" xfId="0" applyFont="1" applyBorder="1" applyAlignment="1">
      <alignment horizontal="center" vertical="center"/>
    </xf>
    <xf numFmtId="0" fontId="6" fillId="0" borderId="5" xfId="0" applyFont="1" applyBorder="1" applyAlignment="1">
      <alignment horizontal="center" vertical="center"/>
    </xf>
    <xf numFmtId="0" fontId="6" fillId="0" borderId="55"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1" fontId="2" fillId="3" borderId="7"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8" xfId="0" applyFont="1" applyFill="1" applyBorder="1" applyAlignment="1">
      <alignment horizontal="center" vertical="center" wrapText="1"/>
    </xf>
    <xf numFmtId="168" fontId="2" fillId="3" borderId="8" xfId="0" applyNumberFormat="1" applyFont="1" applyFill="1" applyBorder="1" applyAlignment="1">
      <alignment horizontal="center" vertical="center" wrapText="1"/>
    </xf>
    <xf numFmtId="168" fontId="2" fillId="3" borderId="7" xfId="0" applyNumberFormat="1" applyFont="1" applyFill="1" applyBorder="1" applyAlignment="1">
      <alignment horizontal="center" vertical="center" wrapText="1"/>
    </xf>
    <xf numFmtId="168" fontId="2" fillId="3" borderId="6" xfId="0" applyNumberFormat="1" applyFont="1" applyFill="1" applyBorder="1" applyAlignment="1">
      <alignment horizontal="center" vertical="center" wrapText="1"/>
    </xf>
    <xf numFmtId="168" fontId="2" fillId="3" borderId="4"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166" fontId="2" fillId="3" borderId="9" xfId="0" applyNumberFormat="1" applyFont="1" applyFill="1" applyBorder="1" applyAlignment="1">
      <alignment horizontal="center" vertical="center" wrapText="1"/>
    </xf>
    <xf numFmtId="166" fontId="2" fillId="3" borderId="18" xfId="0" applyNumberFormat="1" applyFont="1" applyFill="1" applyBorder="1" applyAlignment="1">
      <alignment horizontal="center" vertical="center" wrapText="1"/>
    </xf>
    <xf numFmtId="1" fontId="2" fillId="3" borderId="9" xfId="0" applyNumberFormat="1" applyFont="1" applyFill="1" applyBorder="1" applyAlignment="1">
      <alignment horizontal="center" vertical="center" wrapText="1"/>
    </xf>
    <xf numFmtId="1" fontId="2" fillId="3" borderId="17" xfId="0" applyNumberFormat="1" applyFont="1" applyFill="1" applyBorder="1" applyAlignment="1">
      <alignment horizontal="center" vertical="center" wrapText="1"/>
    </xf>
    <xf numFmtId="1" fontId="2" fillId="3" borderId="18" xfId="0" applyNumberFormat="1" applyFont="1" applyFill="1" applyBorder="1" applyAlignment="1">
      <alignment horizontal="center" vertical="center" wrapText="1"/>
    </xf>
    <xf numFmtId="3" fontId="6" fillId="4" borderId="10" xfId="0" applyNumberFormat="1" applyFont="1" applyFill="1" applyBorder="1" applyAlignment="1">
      <alignment horizontal="center" vertical="center" wrapText="1"/>
    </xf>
    <xf numFmtId="3" fontId="6" fillId="4" borderId="11" xfId="0" applyNumberFormat="1" applyFont="1" applyFill="1" applyBorder="1" applyAlignment="1">
      <alignment horizontal="center" vertical="center" wrapText="1"/>
    </xf>
    <xf numFmtId="3" fontId="6" fillId="4" borderId="12" xfId="0" applyNumberFormat="1"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2" xfId="0" applyFont="1" applyFill="1" applyBorder="1" applyAlignment="1">
      <alignment horizontal="center" vertical="center"/>
    </xf>
    <xf numFmtId="3" fontId="6" fillId="12" borderId="10" xfId="0" applyNumberFormat="1" applyFont="1" applyFill="1" applyBorder="1" applyAlignment="1">
      <alignment horizontal="center" vertical="center" textRotation="90" wrapText="1"/>
    </xf>
    <xf numFmtId="3" fontId="6" fillId="12" borderId="12" xfId="0" applyNumberFormat="1" applyFont="1" applyFill="1" applyBorder="1" applyAlignment="1">
      <alignment horizontal="center" vertical="center" textRotation="90" wrapText="1"/>
    </xf>
    <xf numFmtId="0" fontId="6" fillId="12" borderId="10" xfId="0" applyFont="1" applyFill="1" applyBorder="1" applyAlignment="1">
      <alignment horizontal="center" vertical="center" textRotation="90" wrapText="1"/>
    </xf>
    <xf numFmtId="0" fontId="6" fillId="12" borderId="12" xfId="0" applyFont="1" applyFill="1" applyBorder="1" applyAlignment="1">
      <alignment horizontal="center" vertical="center" textRotation="90" wrapText="1"/>
    </xf>
    <xf numFmtId="165" fontId="2" fillId="3" borderId="8" xfId="0" applyNumberFormat="1" applyFont="1" applyFill="1" applyBorder="1" applyAlignment="1">
      <alignment horizontal="center" vertical="center" wrapText="1"/>
    </xf>
    <xf numFmtId="165" fontId="2" fillId="3" borderId="16" xfId="0" applyNumberFormat="1" applyFont="1" applyFill="1" applyBorder="1" applyAlignment="1">
      <alignment horizontal="center" vertical="center" wrapText="1"/>
    </xf>
    <xf numFmtId="166" fontId="2" fillId="3" borderId="8" xfId="0" applyNumberFormat="1" applyFont="1" applyFill="1" applyBorder="1" applyAlignment="1">
      <alignment horizontal="center" vertical="center" wrapText="1"/>
    </xf>
    <xf numFmtId="166" fontId="2" fillId="3" borderId="16" xfId="0" applyNumberFormat="1" applyFont="1" applyFill="1" applyBorder="1" applyAlignment="1">
      <alignment horizontal="center" vertical="center" wrapText="1"/>
    </xf>
    <xf numFmtId="166" fontId="2" fillId="3" borderId="2" xfId="0" applyNumberFormat="1" applyFont="1" applyFill="1" applyBorder="1" applyAlignment="1">
      <alignment horizontal="center" vertical="center" wrapText="1"/>
    </xf>
    <xf numFmtId="3" fontId="6" fillId="5" borderId="2"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9" fontId="6" fillId="5" borderId="2" xfId="4"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8" xfId="0"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 fontId="2" fillId="2" borderId="7" xfId="0" applyNumberFormat="1" applyFont="1" applyFill="1" applyBorder="1" applyAlignment="1">
      <alignment horizontal="center" vertical="center" wrapText="1"/>
    </xf>
    <xf numFmtId="0" fontId="6" fillId="12" borderId="2" xfId="0" applyFont="1" applyFill="1" applyBorder="1" applyAlignment="1">
      <alignment horizontal="center" vertical="center" textRotation="90"/>
    </xf>
    <xf numFmtId="0" fontId="6" fillId="4" borderId="2" xfId="0" applyFont="1" applyFill="1" applyBorder="1" applyAlignment="1">
      <alignment horizontal="center" vertical="center" textRotation="90" wrapText="1"/>
    </xf>
    <xf numFmtId="167" fontId="6" fillId="3" borderId="13" xfId="3" applyFont="1" applyFill="1" applyBorder="1" applyAlignment="1">
      <alignment horizontal="center" vertical="center"/>
    </xf>
    <xf numFmtId="167" fontId="6" fillId="3" borderId="14" xfId="3" applyFont="1" applyFill="1" applyBorder="1" applyAlignment="1">
      <alignment horizontal="center" vertical="center"/>
    </xf>
    <xf numFmtId="167" fontId="6" fillId="3" borderId="15" xfId="3" applyFont="1" applyFill="1" applyBorder="1" applyAlignment="1">
      <alignment horizontal="center" vertical="center"/>
    </xf>
    <xf numFmtId="0" fontId="2" fillId="3"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7" xfId="0" applyFont="1" applyBorder="1" applyAlignment="1">
      <alignment horizontal="center" vertical="center" wrapText="1"/>
    </xf>
    <xf numFmtId="0" fontId="3" fillId="0" borderId="9" xfId="0" applyFont="1" applyBorder="1" applyAlignment="1">
      <alignment horizontal="justify" vertical="center" wrapText="1"/>
    </xf>
    <xf numFmtId="0" fontId="3" fillId="0" borderId="17" xfId="0" applyFont="1" applyBorder="1" applyAlignment="1">
      <alignment horizontal="justify" vertical="center" wrapText="1"/>
    </xf>
    <xf numFmtId="9" fontId="3" fillId="2" borderId="9" xfId="2" applyFont="1" applyFill="1" applyBorder="1" applyAlignment="1">
      <alignment horizontal="center" vertical="center" wrapText="1"/>
    </xf>
    <xf numFmtId="9" fontId="3" fillId="2" borderId="17" xfId="2" applyFont="1" applyFill="1" applyBorder="1" applyAlignment="1">
      <alignment horizontal="center" vertical="center" wrapText="1"/>
    </xf>
    <xf numFmtId="4" fontId="9" fillId="2" borderId="9" xfId="8" applyNumberFormat="1" applyFont="1" applyFill="1" applyBorder="1" applyAlignment="1">
      <alignment horizontal="center" vertical="center"/>
    </xf>
    <xf numFmtId="4" fontId="9" fillId="2" borderId="17" xfId="8" applyNumberFormat="1" applyFont="1" applyFill="1" applyBorder="1" applyAlignment="1">
      <alignment horizontal="center" vertical="center"/>
    </xf>
    <xf numFmtId="0" fontId="9" fillId="0" borderId="12" xfId="0" applyFont="1" applyBorder="1" applyAlignment="1">
      <alignment horizontal="center" vertical="center" wrapText="1"/>
    </xf>
    <xf numFmtId="0" fontId="9" fillId="2" borderId="2" xfId="0" applyFont="1" applyFill="1" applyBorder="1" applyAlignment="1">
      <alignment horizontal="center" vertical="center" wrapText="1"/>
    </xf>
    <xf numFmtId="0" fontId="3" fillId="0" borderId="2"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7" xfId="0" applyFont="1" applyBorder="1" applyAlignment="1">
      <alignment horizontal="center" vertical="center" wrapText="1"/>
    </xf>
    <xf numFmtId="3" fontId="3" fillId="2" borderId="9" xfId="0" applyNumberFormat="1" applyFont="1" applyFill="1" applyBorder="1" applyAlignment="1">
      <alignment horizontal="center" vertical="center"/>
    </xf>
    <xf numFmtId="0" fontId="3" fillId="2" borderId="17" xfId="0" applyFont="1" applyFill="1" applyBorder="1" applyAlignment="1">
      <alignment horizontal="center" vertical="center"/>
    </xf>
    <xf numFmtId="3" fontId="3" fillId="2" borderId="7"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3" fillId="0" borderId="17" xfId="0" applyFont="1" applyBorder="1" applyAlignment="1">
      <alignment horizontal="center" vertical="center"/>
    </xf>
    <xf numFmtId="0" fontId="3" fillId="0" borderId="37" xfId="0" applyFont="1" applyBorder="1" applyAlignment="1">
      <alignment horizontal="center" vertical="center"/>
    </xf>
    <xf numFmtId="4" fontId="3" fillId="0" borderId="9" xfId="0" applyNumberFormat="1" applyFont="1" applyBorder="1" applyAlignment="1">
      <alignment horizontal="center" vertical="center"/>
    </xf>
    <xf numFmtId="4" fontId="3" fillId="0" borderId="17" xfId="0" applyNumberFormat="1" applyFont="1" applyBorder="1" applyAlignment="1">
      <alignment horizontal="center" vertical="center"/>
    </xf>
    <xf numFmtId="4" fontId="3" fillId="0" borderId="37" xfId="0" applyNumberFormat="1" applyFont="1" applyBorder="1" applyAlignment="1">
      <alignment horizontal="center" vertical="center"/>
    </xf>
    <xf numFmtId="0" fontId="3" fillId="0" borderId="20" xfId="0" applyFont="1" applyBorder="1" applyAlignment="1">
      <alignment horizontal="justify" vertical="center" wrapText="1"/>
    </xf>
    <xf numFmtId="9" fontId="3" fillId="2" borderId="20" xfId="2" applyFont="1" applyFill="1" applyBorder="1" applyAlignment="1">
      <alignment horizontal="center" vertical="center" wrapText="1"/>
    </xf>
    <xf numFmtId="4" fontId="3" fillId="0" borderId="20" xfId="8" applyNumberFormat="1" applyFont="1" applyBorder="1" applyAlignment="1">
      <alignment horizontal="center" vertical="center"/>
    </xf>
    <xf numFmtId="0" fontId="3" fillId="0" borderId="34" xfId="0" applyFont="1" applyBorder="1" applyAlignment="1">
      <alignment horizontal="center" vertical="center"/>
    </xf>
    <xf numFmtId="169" fontId="3" fillId="2" borderId="9" xfId="0" applyNumberFormat="1" applyFont="1" applyFill="1" applyBorder="1" applyAlignment="1">
      <alignment horizontal="center" vertical="center"/>
    </xf>
    <xf numFmtId="169" fontId="3" fillId="2" borderId="17" xfId="0" applyNumberFormat="1" applyFont="1" applyFill="1" applyBorder="1" applyAlignment="1">
      <alignment horizontal="center" vertical="center"/>
    </xf>
    <xf numFmtId="169" fontId="3" fillId="2" borderId="37" xfId="0" applyNumberFormat="1" applyFont="1" applyFill="1" applyBorder="1" applyAlignment="1">
      <alignment horizontal="center" vertical="center"/>
    </xf>
    <xf numFmtId="1" fontId="3" fillId="2" borderId="9" xfId="0" applyNumberFormat="1" applyFont="1" applyFill="1" applyBorder="1" applyAlignment="1">
      <alignment horizontal="justify" vertical="center" wrapText="1"/>
    </xf>
    <xf numFmtId="1" fontId="3" fillId="2" borderId="17" xfId="0" applyNumberFormat="1" applyFont="1" applyFill="1" applyBorder="1" applyAlignment="1">
      <alignment horizontal="justify" vertical="center" wrapText="1"/>
    </xf>
    <xf numFmtId="0" fontId="9" fillId="0" borderId="30" xfId="0" applyFont="1" applyBorder="1" applyAlignment="1">
      <alignment horizontal="center" vertical="center" wrapText="1"/>
    </xf>
    <xf numFmtId="0" fontId="9" fillId="0" borderId="34" xfId="0" applyFont="1" applyBorder="1" applyAlignment="1">
      <alignment horizontal="center" vertical="center" wrapText="1"/>
    </xf>
    <xf numFmtId="0" fontId="9" fillId="2" borderId="27"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3" fillId="0" borderId="27" xfId="0" applyFont="1" applyBorder="1" applyAlignment="1">
      <alignment horizontal="justify"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7" xfId="0" applyFont="1" applyBorder="1" applyAlignment="1">
      <alignment horizontal="center" vertical="center" wrapText="1"/>
    </xf>
    <xf numFmtId="0" fontId="3" fillId="2" borderId="20" xfId="0" applyFont="1" applyFill="1" applyBorder="1" applyAlignment="1">
      <alignment horizontal="center" vertical="center" wrapText="1"/>
    </xf>
    <xf numFmtId="0" fontId="9" fillId="0" borderId="20" xfId="0" applyFont="1" applyBorder="1" applyAlignment="1">
      <alignment horizontal="center" vertical="center" wrapText="1"/>
    </xf>
    <xf numFmtId="9" fontId="3" fillId="0" borderId="9" xfId="2" applyFont="1" applyBorder="1" applyAlignment="1">
      <alignment horizontal="center" vertical="center"/>
    </xf>
    <xf numFmtId="9" fontId="3" fillId="0" borderId="17" xfId="2" applyFont="1" applyBorder="1" applyAlignment="1">
      <alignment horizontal="center" vertical="center"/>
    </xf>
    <xf numFmtId="9" fontId="3" fillId="0" borderId="37" xfId="2" applyFont="1" applyBorder="1" applyAlignment="1">
      <alignment horizontal="center" vertical="center"/>
    </xf>
    <xf numFmtId="0" fontId="3" fillId="0" borderId="37" xfId="0" applyFont="1" applyBorder="1" applyAlignment="1">
      <alignment horizontal="justify" vertical="center" wrapText="1"/>
    </xf>
    <xf numFmtId="169" fontId="3" fillId="2" borderId="9" xfId="0" applyNumberFormat="1" applyFont="1" applyFill="1" applyBorder="1" applyAlignment="1">
      <alignment horizontal="center" vertical="center" wrapText="1"/>
    </xf>
    <xf numFmtId="169" fontId="3" fillId="2" borderId="17" xfId="0" applyNumberFormat="1" applyFont="1" applyFill="1" applyBorder="1" applyAlignment="1">
      <alignment horizontal="center" vertical="center" wrapText="1"/>
    </xf>
    <xf numFmtId="169" fontId="3" fillId="2" borderId="37" xfId="0" applyNumberFormat="1" applyFont="1" applyFill="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7" xfId="0" applyFont="1" applyBorder="1" applyAlignment="1">
      <alignment horizontal="center" vertical="center"/>
    </xf>
    <xf numFmtId="1" fontId="3" fillId="2" borderId="20" xfId="0" applyNumberFormat="1" applyFont="1" applyFill="1" applyBorder="1" applyAlignment="1">
      <alignment horizontal="justify" vertical="center" wrapText="1"/>
    </xf>
    <xf numFmtId="4" fontId="3" fillId="0" borderId="21" xfId="0" applyNumberFormat="1" applyFont="1" applyBorder="1" applyAlignment="1">
      <alignment horizontal="center" vertical="center"/>
    </xf>
    <xf numFmtId="4" fontId="3" fillId="0" borderId="23" xfId="0" applyNumberFormat="1" applyFont="1" applyBorder="1" applyAlignment="1">
      <alignment horizontal="center" vertical="center"/>
    </xf>
    <xf numFmtId="4" fontId="3" fillId="0" borderId="27" xfId="0" applyNumberFormat="1" applyFont="1" applyBorder="1" applyAlignment="1">
      <alignment horizontal="center" vertical="center"/>
    </xf>
    <xf numFmtId="9" fontId="3" fillId="0" borderId="21" xfId="2" applyFont="1" applyBorder="1" applyAlignment="1">
      <alignment horizontal="center" vertical="center"/>
    </xf>
    <xf numFmtId="9" fontId="3" fillId="0" borderId="23" xfId="2" applyFont="1" applyBorder="1" applyAlignment="1">
      <alignment horizontal="center" vertical="center"/>
    </xf>
    <xf numFmtId="9" fontId="3" fillId="0" borderId="27" xfId="2" applyFont="1" applyBorder="1" applyAlignment="1">
      <alignment horizontal="center" vertical="center"/>
    </xf>
    <xf numFmtId="0" fontId="3" fillId="0" borderId="21" xfId="0" applyFont="1" applyBorder="1" applyAlignment="1">
      <alignment horizontal="justify" vertical="center" wrapText="1"/>
    </xf>
    <xf numFmtId="0" fontId="3" fillId="0" borderId="23" xfId="0" applyFont="1" applyBorder="1" applyAlignment="1">
      <alignment horizontal="justify" vertical="center" wrapText="1"/>
    </xf>
    <xf numFmtId="1" fontId="3" fillId="2" borderId="16" xfId="0" applyNumberFormat="1" applyFont="1" applyFill="1" applyBorder="1" applyAlignment="1">
      <alignment horizontal="center" vertical="center" wrapText="1"/>
    </xf>
    <xf numFmtId="1" fontId="3" fillId="2" borderId="0" xfId="0" applyNumberFormat="1" applyFont="1" applyFill="1" applyAlignment="1">
      <alignment horizontal="center" vertical="center" wrapText="1"/>
    </xf>
    <xf numFmtId="1" fontId="3" fillId="2" borderId="1" xfId="0" applyNumberFormat="1" applyFont="1" applyFill="1" applyBorder="1" applyAlignment="1">
      <alignment horizontal="center" vertical="center" wrapText="1"/>
    </xf>
    <xf numFmtId="0" fontId="2" fillId="2" borderId="0" xfId="0" applyFont="1" applyFill="1" applyAlignment="1">
      <alignment horizontal="center"/>
    </xf>
    <xf numFmtId="0" fontId="3" fillId="0" borderId="58"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59" xfId="0" applyFont="1" applyBorder="1" applyAlignment="1">
      <alignment horizontal="justify" vertical="center" wrapText="1"/>
    </xf>
    <xf numFmtId="169" fontId="3" fillId="2" borderId="20" xfId="0" applyNumberFormat="1" applyFont="1" applyFill="1" applyBorder="1" applyAlignment="1">
      <alignment horizontal="center" vertical="center" wrapText="1"/>
    </xf>
    <xf numFmtId="169" fontId="3" fillId="2" borderId="21" xfId="0" applyNumberFormat="1" applyFont="1" applyFill="1" applyBorder="1" applyAlignment="1">
      <alignment horizontal="center" vertical="center" wrapText="1"/>
    </xf>
    <xf numFmtId="169" fontId="3" fillId="2" borderId="23" xfId="0" applyNumberFormat="1" applyFont="1" applyFill="1" applyBorder="1" applyAlignment="1">
      <alignment horizontal="center" vertical="center" wrapText="1"/>
    </xf>
    <xf numFmtId="169" fontId="3" fillId="2" borderId="27" xfId="0" applyNumberFormat="1" applyFont="1" applyFill="1" applyBorder="1" applyAlignment="1">
      <alignment horizontal="center" vertical="center" wrapText="1"/>
    </xf>
    <xf numFmtId="0" fontId="2" fillId="3" borderId="9" xfId="0" applyFont="1" applyFill="1" applyBorder="1" applyAlignment="1">
      <alignment horizontal="justify" vertical="center" wrapText="1"/>
    </xf>
    <xf numFmtId="0" fontId="2" fillId="3" borderId="17" xfId="0" applyFont="1" applyFill="1" applyBorder="1" applyAlignment="1">
      <alignment horizontal="justify"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168" fontId="2" fillId="3" borderId="16" xfId="0" applyNumberFormat="1" applyFont="1" applyFill="1" applyBorder="1" applyAlignment="1">
      <alignment horizontal="center" vertical="center" wrapText="1"/>
    </xf>
    <xf numFmtId="168" fontId="2" fillId="3" borderId="1" xfId="0" applyNumberFormat="1" applyFont="1" applyFill="1" applyBorder="1" applyAlignment="1">
      <alignment horizontal="center" vertical="center" wrapText="1"/>
    </xf>
    <xf numFmtId="3" fontId="2" fillId="3" borderId="9" xfId="0" applyNumberFormat="1" applyFont="1" applyFill="1" applyBorder="1" applyAlignment="1">
      <alignment horizontal="center" vertical="center" wrapText="1"/>
    </xf>
    <xf numFmtId="3" fontId="2" fillId="3" borderId="17" xfId="0" applyNumberFormat="1" applyFont="1" applyFill="1" applyBorder="1" applyAlignment="1">
      <alignment horizontal="center" vertical="center" wrapText="1"/>
    </xf>
    <xf numFmtId="0" fontId="2" fillId="3" borderId="10" xfId="0" applyFont="1" applyFill="1" applyBorder="1" applyAlignment="1">
      <alignment horizontal="center" vertical="center" textRotation="90" wrapText="1"/>
    </xf>
    <xf numFmtId="0" fontId="2" fillId="3" borderId="12" xfId="0" applyFont="1" applyFill="1" applyBorder="1" applyAlignment="1">
      <alignment horizontal="center" vertical="center" textRotation="90" wrapText="1"/>
    </xf>
    <xf numFmtId="49" fontId="2" fillId="3" borderId="10" xfId="0" applyNumberFormat="1" applyFont="1" applyFill="1" applyBorder="1" applyAlignment="1">
      <alignment horizontal="center" vertical="center" textRotation="90" wrapText="1"/>
    </xf>
    <xf numFmtId="49" fontId="2" fillId="3" borderId="12" xfId="0" applyNumberFormat="1" applyFont="1" applyFill="1" applyBorder="1" applyAlignment="1">
      <alignment horizontal="center" vertical="center" textRotation="90" wrapText="1"/>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8" xfId="0" applyFont="1" applyFill="1" applyBorder="1" applyAlignment="1">
      <alignment horizontal="center" vertical="center" textRotation="90" wrapText="1"/>
    </xf>
    <xf numFmtId="0" fontId="6" fillId="4" borderId="7" xfId="0" applyFont="1" applyFill="1" applyBorder="1" applyAlignment="1">
      <alignment horizontal="center" vertical="center" textRotation="90" wrapText="1"/>
    </xf>
    <xf numFmtId="0" fontId="6" fillId="4" borderId="6" xfId="0" applyFont="1" applyFill="1" applyBorder="1" applyAlignment="1">
      <alignment horizontal="center" vertical="center" textRotation="90" wrapText="1"/>
    </xf>
    <xf numFmtId="0" fontId="6" fillId="4" borderId="4" xfId="0" applyFont="1" applyFill="1" applyBorder="1" applyAlignment="1">
      <alignment horizontal="center" vertical="center" textRotation="90" wrapText="1"/>
    </xf>
    <xf numFmtId="167" fontId="5" fillId="3" borderId="13" xfId="3" applyFont="1" applyFill="1" applyBorder="1" applyAlignment="1">
      <alignment horizontal="center" vertical="center"/>
    </xf>
    <xf numFmtId="167" fontId="5" fillId="3" borderId="14" xfId="3" applyFont="1" applyFill="1" applyBorder="1" applyAlignment="1">
      <alignment horizontal="center" vertical="center"/>
    </xf>
    <xf numFmtId="167" fontId="5" fillId="3" borderId="15" xfId="3" applyFont="1" applyFill="1" applyBorder="1" applyAlignment="1">
      <alignment horizontal="center" vertical="center"/>
    </xf>
    <xf numFmtId="0" fontId="7" fillId="5" borderId="2" xfId="0" applyFont="1" applyFill="1" applyBorder="1" applyAlignment="1">
      <alignment horizontal="center" vertical="center" wrapText="1"/>
    </xf>
    <xf numFmtId="9" fontId="7" fillId="5" borderId="2" xfId="4"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2" fillId="3" borderId="6" xfId="0" applyFont="1" applyFill="1" applyBorder="1" applyAlignment="1">
      <alignment horizontal="center" vertical="center" textRotation="90" wrapText="1"/>
    </xf>
    <xf numFmtId="0" fontId="2" fillId="3" borderId="4" xfId="0" applyFont="1" applyFill="1" applyBorder="1" applyAlignment="1">
      <alignment horizontal="center" vertical="center" textRotation="90" wrapText="1"/>
    </xf>
    <xf numFmtId="3" fontId="7" fillId="5" borderId="2" xfId="0" applyNumberFormat="1"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0" xfId="0" applyFont="1" applyBorder="1" applyAlignment="1">
      <alignment horizontal="justify" vertical="center" wrapText="1"/>
    </xf>
    <xf numFmtId="0" fontId="3" fillId="0" borderId="20" xfId="0" applyFont="1" applyFill="1" applyBorder="1" applyAlignment="1">
      <alignment horizontal="center" vertical="center"/>
    </xf>
    <xf numFmtId="0" fontId="5" fillId="3" borderId="9"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164" fontId="2" fillId="3" borderId="17"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2" borderId="9" xfId="0" applyFont="1" applyFill="1" applyBorder="1" applyAlignment="1">
      <alignment horizontal="justify" vertical="center" wrapText="1"/>
    </xf>
    <xf numFmtId="0" fontId="3" fillId="2" borderId="17" xfId="0" applyFont="1" applyFill="1" applyBorder="1" applyAlignment="1">
      <alignment horizontal="justify" vertical="center" wrapText="1"/>
    </xf>
    <xf numFmtId="0" fontId="3" fillId="2" borderId="18" xfId="0" applyFont="1" applyFill="1" applyBorder="1" applyAlignment="1">
      <alignment horizontal="justify" vertical="center" wrapText="1"/>
    </xf>
    <xf numFmtId="1" fontId="3" fillId="2" borderId="20" xfId="0" applyNumberFormat="1" applyFont="1" applyFill="1" applyBorder="1" applyAlignment="1">
      <alignment horizontal="center" vertical="center" wrapText="1"/>
    </xf>
    <xf numFmtId="1" fontId="3" fillId="2" borderId="21" xfId="0" applyNumberFormat="1" applyFont="1" applyFill="1" applyBorder="1" applyAlignment="1">
      <alignment horizontal="center" vertical="center" wrapText="1"/>
    </xf>
    <xf numFmtId="1" fontId="3" fillId="2" borderId="23" xfId="0" applyNumberFormat="1" applyFont="1" applyFill="1" applyBorder="1" applyAlignment="1">
      <alignment horizontal="center" vertical="center" wrapText="1"/>
    </xf>
    <xf numFmtId="1" fontId="3" fillId="2" borderId="27" xfId="0" applyNumberFormat="1" applyFont="1" applyFill="1" applyBorder="1" applyAlignment="1">
      <alignment horizontal="center" vertical="center" wrapText="1"/>
    </xf>
    <xf numFmtId="0" fontId="3" fillId="0" borderId="20" xfId="0" applyFont="1" applyBorder="1" applyAlignment="1">
      <alignment horizontal="center" vertical="center" wrapText="1"/>
    </xf>
    <xf numFmtId="9" fontId="3" fillId="0" borderId="20" xfId="0" applyNumberFormat="1" applyFont="1" applyBorder="1" applyAlignment="1">
      <alignment horizontal="center" vertical="center"/>
    </xf>
    <xf numFmtId="43" fontId="3" fillId="0" borderId="20" xfId="12" applyFont="1" applyBorder="1" applyAlignment="1">
      <alignment horizontal="center" vertical="center"/>
    </xf>
    <xf numFmtId="0" fontId="3" fillId="2" borderId="20" xfId="0" applyFont="1" applyFill="1" applyBorder="1" applyAlignment="1">
      <alignment horizontal="justify" vertical="center" wrapText="1"/>
    </xf>
    <xf numFmtId="0" fontId="10" fillId="0" borderId="24" xfId="0" applyFont="1" applyBorder="1" applyAlignment="1">
      <alignment horizontal="justify" vertical="center" wrapText="1"/>
    </xf>
    <xf numFmtId="0" fontId="10" fillId="0" borderId="25" xfId="0" applyFont="1" applyBorder="1" applyAlignment="1">
      <alignment horizontal="justify" vertical="center" wrapText="1"/>
    </xf>
    <xf numFmtId="0" fontId="9" fillId="0" borderId="18"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0" borderId="2" xfId="0" applyFont="1" applyBorder="1" applyAlignment="1">
      <alignment horizontal="justify" vertical="center" wrapText="1"/>
    </xf>
    <xf numFmtId="0" fontId="3" fillId="2" borderId="2" xfId="0" applyFont="1" applyFill="1" applyBorder="1" applyAlignment="1">
      <alignment horizontal="justify" vertical="center" wrapText="1"/>
    </xf>
    <xf numFmtId="0" fontId="3" fillId="2" borderId="18" xfId="0" applyFont="1" applyFill="1" applyBorder="1" applyAlignment="1">
      <alignment horizontal="center" vertical="center" wrapText="1"/>
    </xf>
    <xf numFmtId="0" fontId="3" fillId="2" borderId="2" xfId="0" applyFont="1" applyFill="1" applyBorder="1" applyAlignment="1">
      <alignment horizontal="center" vertical="center" wrapText="1"/>
    </xf>
    <xf numFmtId="9" fontId="3" fillId="2" borderId="21" xfId="2" applyFont="1" applyFill="1" applyBorder="1" applyAlignment="1">
      <alignment horizontal="center" vertical="center" wrapText="1"/>
    </xf>
    <xf numFmtId="9" fontId="3" fillId="2" borderId="23" xfId="2" applyFont="1" applyFill="1" applyBorder="1" applyAlignment="1">
      <alignment horizontal="center" vertical="center" wrapText="1"/>
    </xf>
    <xf numFmtId="9" fontId="3" fillId="2" borderId="27" xfId="2" applyFont="1" applyFill="1" applyBorder="1" applyAlignment="1">
      <alignment horizontal="center" vertical="center" wrapText="1"/>
    </xf>
    <xf numFmtId="1" fontId="3" fillId="2" borderId="21" xfId="0" applyNumberFormat="1" applyFont="1" applyFill="1" applyBorder="1" applyAlignment="1">
      <alignment horizontal="justify" vertical="center" wrapText="1"/>
    </xf>
    <xf numFmtId="1" fontId="3" fillId="2" borderId="23" xfId="0" applyNumberFormat="1" applyFont="1" applyFill="1" applyBorder="1" applyAlignment="1">
      <alignment horizontal="justify" vertical="center" wrapText="1"/>
    </xf>
    <xf numFmtId="1" fontId="3" fillId="2" borderId="27" xfId="0" applyNumberFormat="1" applyFont="1" applyFill="1" applyBorder="1" applyAlignment="1">
      <alignment horizontal="justify" vertical="center" wrapText="1"/>
    </xf>
    <xf numFmtId="168" fontId="3" fillId="0" borderId="20" xfId="0" applyNumberFormat="1" applyFont="1" applyFill="1" applyBorder="1" applyAlignment="1">
      <alignment horizontal="center" vertical="center"/>
    </xf>
    <xf numFmtId="43" fontId="3" fillId="2" borderId="21" xfId="12" applyFont="1" applyFill="1" applyBorder="1" applyAlignment="1">
      <alignment horizontal="center" vertical="center" wrapText="1"/>
    </xf>
    <xf numFmtId="43" fontId="3" fillId="2" borderId="23" xfId="12" applyFont="1" applyFill="1" applyBorder="1" applyAlignment="1">
      <alignment horizontal="center" vertical="center" wrapText="1"/>
    </xf>
    <xf numFmtId="43" fontId="3" fillId="2" borderId="27" xfId="12" applyFont="1" applyFill="1" applyBorder="1" applyAlignment="1">
      <alignment horizontal="center" vertical="center" wrapText="1"/>
    </xf>
    <xf numFmtId="1" fontId="3" fillId="2" borderId="9" xfId="0" applyNumberFormat="1" applyFont="1" applyFill="1" applyBorder="1" applyAlignment="1">
      <alignment horizontal="center" vertical="center" wrapText="1"/>
    </xf>
    <xf numFmtId="1" fontId="3" fillId="2" borderId="17" xfId="0" applyNumberFormat="1" applyFont="1" applyFill="1" applyBorder="1" applyAlignment="1">
      <alignment horizontal="center" vertical="center" wrapText="1"/>
    </xf>
    <xf numFmtId="1" fontId="3" fillId="2" borderId="18" xfId="0" applyNumberFormat="1" applyFont="1" applyFill="1" applyBorder="1" applyAlignment="1">
      <alignment horizontal="center" vertical="center" wrapText="1"/>
    </xf>
    <xf numFmtId="0" fontId="9" fillId="0" borderId="9"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8" xfId="0" applyFont="1" applyBorder="1" applyAlignment="1">
      <alignment horizontal="justify" vertical="center" wrapText="1"/>
    </xf>
    <xf numFmtId="9" fontId="3" fillId="2" borderId="18" xfId="2" applyFont="1" applyFill="1" applyBorder="1" applyAlignment="1">
      <alignment horizontal="center" vertical="center" wrapText="1"/>
    </xf>
    <xf numFmtId="43" fontId="9" fillId="0" borderId="9" xfId="12" applyFont="1" applyFill="1" applyBorder="1" applyAlignment="1">
      <alignment horizontal="center" vertical="center" wrapText="1"/>
    </xf>
    <xf numFmtId="43" fontId="9" fillId="0" borderId="17" xfId="12" applyFont="1" applyFill="1" applyBorder="1" applyAlignment="1">
      <alignment horizontal="center" vertical="center" wrapText="1"/>
    </xf>
    <xf numFmtId="43" fontId="9" fillId="0" borderId="18" xfId="12"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6" xfId="0" applyFont="1" applyBorder="1" applyAlignment="1">
      <alignment horizontal="center" vertical="center" wrapText="1"/>
    </xf>
    <xf numFmtId="0" fontId="3" fillId="0" borderId="2" xfId="0" applyFont="1" applyBorder="1" applyAlignment="1">
      <alignment horizontal="center" vertical="center" wrapText="1"/>
    </xf>
    <xf numFmtId="1" fontId="3" fillId="2" borderId="18" xfId="0" applyNumberFormat="1" applyFont="1" applyFill="1" applyBorder="1" applyAlignment="1">
      <alignment horizontal="justify" vertical="center" wrapText="1"/>
    </xf>
    <xf numFmtId="168" fontId="3" fillId="0" borderId="9" xfId="0" applyNumberFormat="1" applyFont="1" applyFill="1" applyBorder="1" applyAlignment="1">
      <alignment horizontal="center" vertical="center"/>
    </xf>
    <xf numFmtId="168" fontId="3" fillId="0" borderId="17" xfId="0" applyNumberFormat="1" applyFont="1" applyFill="1" applyBorder="1" applyAlignment="1">
      <alignment horizontal="center" vertical="center"/>
    </xf>
    <xf numFmtId="168" fontId="3" fillId="0" borderId="18" xfId="0" applyNumberFormat="1" applyFont="1" applyFill="1" applyBorder="1" applyAlignment="1">
      <alignment horizontal="center" vertical="center"/>
    </xf>
    <xf numFmtId="169" fontId="3" fillId="2" borderId="18" xfId="0" applyNumberFormat="1" applyFont="1" applyFill="1" applyBorder="1" applyAlignment="1">
      <alignment horizontal="center" vertical="center" wrapText="1"/>
    </xf>
    <xf numFmtId="43" fontId="3" fillId="2" borderId="9" xfId="12" applyFont="1" applyFill="1" applyBorder="1" applyAlignment="1">
      <alignment horizontal="center" vertical="center" wrapText="1"/>
    </xf>
    <xf numFmtId="43" fontId="3" fillId="2" borderId="17" xfId="12" applyFont="1" applyFill="1" applyBorder="1" applyAlignment="1">
      <alignment horizontal="center" vertical="center" wrapText="1"/>
    </xf>
    <xf numFmtId="43" fontId="3" fillId="2" borderId="18" xfId="12" applyFont="1" applyFill="1" applyBorder="1" applyAlignment="1">
      <alignment horizontal="center" vertical="center" wrapText="1"/>
    </xf>
    <xf numFmtId="9" fontId="3" fillId="2" borderId="9" xfId="2" applyNumberFormat="1" applyFont="1" applyFill="1" applyBorder="1" applyAlignment="1">
      <alignment horizontal="center" vertical="center" wrapText="1"/>
    </xf>
    <xf numFmtId="9" fontId="3" fillId="2" borderId="17" xfId="2" applyNumberFormat="1" applyFont="1" applyFill="1" applyBorder="1" applyAlignment="1">
      <alignment horizontal="center" vertical="center" wrapText="1"/>
    </xf>
    <xf numFmtId="43" fontId="9" fillId="0" borderId="9" xfId="12" applyFont="1" applyBorder="1" applyAlignment="1">
      <alignment horizontal="center" vertical="center" wrapText="1"/>
    </xf>
    <xf numFmtId="43" fontId="9" fillId="0" borderId="17" xfId="12" applyFont="1" applyBorder="1" applyAlignment="1">
      <alignment horizontal="center" vertical="center" wrapText="1"/>
    </xf>
    <xf numFmtId="0" fontId="3" fillId="2" borderId="16" xfId="0" applyFont="1" applyFill="1" applyBorder="1" applyAlignment="1">
      <alignment horizontal="justify" vertical="center" wrapText="1"/>
    </xf>
    <xf numFmtId="1" fontId="3" fillId="2" borderId="7"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0" fontId="10" fillId="0" borderId="20" xfId="0" applyFont="1" applyBorder="1" applyAlignment="1">
      <alignment horizontal="justify" vertical="center" wrapText="1"/>
    </xf>
    <xf numFmtId="0" fontId="3" fillId="2" borderId="31" xfId="0" applyFont="1" applyFill="1" applyBorder="1" applyAlignment="1">
      <alignment horizontal="center" vertical="center" wrapText="1"/>
    </xf>
    <xf numFmtId="0" fontId="3" fillId="2" borderId="36" xfId="0" applyFont="1" applyFill="1" applyBorder="1" applyAlignment="1">
      <alignment horizontal="center" vertical="center" wrapText="1"/>
    </xf>
    <xf numFmtId="9" fontId="3" fillId="2" borderId="18" xfId="2" applyNumberFormat="1" applyFont="1" applyFill="1" applyBorder="1" applyAlignment="1">
      <alignment horizontal="center" vertical="center" wrapText="1"/>
    </xf>
    <xf numFmtId="43" fontId="9" fillId="0" borderId="18" xfId="12" applyFont="1" applyBorder="1" applyAlignment="1">
      <alignment horizontal="center" vertical="center" wrapText="1"/>
    </xf>
    <xf numFmtId="0" fontId="3" fillId="2" borderId="37" xfId="0" applyFont="1" applyFill="1" applyBorder="1" applyAlignment="1">
      <alignment horizontal="justify" vertical="center" wrapText="1"/>
    </xf>
    <xf numFmtId="0" fontId="9" fillId="0" borderId="28"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5" xfId="0" applyFont="1" applyBorder="1" applyAlignment="1">
      <alignment horizontal="center" vertical="center" wrapText="1"/>
    </xf>
    <xf numFmtId="0" fontId="9" fillId="2" borderId="29"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27" xfId="0" applyFont="1" applyFill="1" applyBorder="1" applyAlignment="1">
      <alignment horizontal="justify" vertical="center" wrapText="1"/>
    </xf>
    <xf numFmtId="0" fontId="9" fillId="2" borderId="20" xfId="0" applyFont="1" applyFill="1" applyBorder="1" applyAlignment="1">
      <alignment horizontal="justify" vertical="center" wrapText="1"/>
    </xf>
    <xf numFmtId="0" fontId="3" fillId="0" borderId="30" xfId="0" applyFont="1" applyBorder="1" applyAlignment="1">
      <alignment horizontal="justify" vertical="center" wrapText="1"/>
    </xf>
    <xf numFmtId="0" fontId="3" fillId="0" borderId="34" xfId="0" applyFont="1" applyBorder="1" applyAlignment="1">
      <alignment horizontal="justify" vertical="center" wrapText="1"/>
    </xf>
    <xf numFmtId="0" fontId="3" fillId="2" borderId="23"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0" fillId="0" borderId="17" xfId="0" applyFont="1" applyBorder="1" applyAlignment="1">
      <alignment horizontal="justify" vertical="center" wrapText="1"/>
    </xf>
    <xf numFmtId="0" fontId="10" fillId="0" borderId="18" xfId="0" applyFont="1" applyBorder="1" applyAlignment="1">
      <alignment horizontal="justify" vertical="center" wrapText="1"/>
    </xf>
    <xf numFmtId="0" fontId="9" fillId="2" borderId="21" xfId="0" applyFont="1" applyFill="1" applyBorder="1" applyAlignment="1">
      <alignment horizontal="center" vertical="center" wrapText="1"/>
    </xf>
    <xf numFmtId="0" fontId="9" fillId="0" borderId="27" xfId="0" applyFont="1" applyBorder="1" applyAlignment="1">
      <alignment horizontal="justify" vertical="center" wrapText="1"/>
    </xf>
    <xf numFmtId="0" fontId="9" fillId="0" borderId="21" xfId="0" applyFont="1" applyBorder="1" applyAlignment="1">
      <alignment horizontal="justify" vertical="center" wrapText="1"/>
    </xf>
    <xf numFmtId="1" fontId="3" fillId="2" borderId="9" xfId="0" applyNumberFormat="1" applyFont="1" applyFill="1" applyBorder="1" applyAlignment="1">
      <alignment horizontal="center" vertical="center"/>
    </xf>
    <xf numFmtId="1" fontId="3" fillId="2" borderId="17" xfId="0" applyNumberFormat="1" applyFont="1" applyFill="1" applyBorder="1" applyAlignment="1">
      <alignment horizontal="center" vertical="center"/>
    </xf>
    <xf numFmtId="1" fontId="3" fillId="2" borderId="18" xfId="0" applyNumberFormat="1" applyFont="1" applyFill="1" applyBorder="1" applyAlignment="1">
      <alignment horizontal="center" vertical="center"/>
    </xf>
    <xf numFmtId="0" fontId="3" fillId="2" borderId="34"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43" fontId="3" fillId="2" borderId="28" xfId="12" applyFont="1" applyFill="1" applyBorder="1" applyAlignment="1">
      <alignment horizontal="center" vertical="center" wrapText="1"/>
    </xf>
    <xf numFmtId="43" fontId="3" fillId="2" borderId="32" xfId="12" applyFont="1" applyFill="1" applyBorder="1" applyAlignment="1">
      <alignment horizontal="center" vertical="center" wrapText="1"/>
    </xf>
    <xf numFmtId="43" fontId="3" fillId="2" borderId="35" xfId="12" applyFont="1" applyFill="1" applyBorder="1" applyAlignment="1">
      <alignment horizontal="center" vertical="center" wrapText="1"/>
    </xf>
    <xf numFmtId="0" fontId="10" fillId="0" borderId="9" xfId="0" applyFont="1" applyBorder="1" applyAlignment="1">
      <alignment horizontal="justify" vertical="center" wrapText="1"/>
    </xf>
    <xf numFmtId="0" fontId="3" fillId="2" borderId="1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0" fillId="0" borderId="24" xfId="0" applyFont="1" applyFill="1" applyBorder="1" applyAlignment="1">
      <alignment horizontal="justify" vertical="center" wrapText="1"/>
    </xf>
    <xf numFmtId="0" fontId="10" fillId="0" borderId="25"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39" xfId="0" applyFont="1" applyFill="1" applyBorder="1" applyAlignment="1">
      <alignment horizontal="justify" vertical="center" wrapText="1"/>
    </xf>
    <xf numFmtId="0" fontId="10" fillId="0" borderId="40" xfId="0" applyFont="1" applyFill="1" applyBorder="1" applyAlignment="1">
      <alignment horizontal="justify" vertical="center" wrapText="1"/>
    </xf>
    <xf numFmtId="0" fontId="10" fillId="0" borderId="41" xfId="0" applyFont="1" applyFill="1" applyBorder="1" applyAlignment="1">
      <alignment horizontal="justify" vertical="center" wrapText="1"/>
    </xf>
    <xf numFmtId="0" fontId="10" fillId="0" borderId="20" xfId="0" applyFont="1" applyFill="1" applyBorder="1" applyAlignment="1">
      <alignment horizontal="justify" vertical="center" wrapText="1"/>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0" borderId="8" xfId="0" applyFont="1" applyBorder="1" applyAlignment="1">
      <alignment horizontal="justify" vertical="center" wrapText="1"/>
    </xf>
    <xf numFmtId="0" fontId="3" fillId="0" borderId="16" xfId="0" applyFont="1" applyBorder="1" applyAlignment="1">
      <alignment horizontal="justify" vertical="center" wrapText="1"/>
    </xf>
    <xf numFmtId="9" fontId="3" fillId="2" borderId="20" xfId="2" applyNumberFormat="1" applyFont="1" applyFill="1" applyBorder="1" applyAlignment="1">
      <alignment horizontal="center" vertical="center" wrapText="1"/>
    </xf>
    <xf numFmtId="43" fontId="3" fillId="2" borderId="7" xfId="12" applyFont="1" applyFill="1" applyBorder="1" applyAlignment="1">
      <alignment horizontal="center" vertical="center" wrapText="1"/>
    </xf>
    <xf numFmtId="43" fontId="3" fillId="2" borderId="1" xfId="12" applyFont="1" applyFill="1" applyBorder="1" applyAlignment="1">
      <alignment horizontal="center" vertical="center" wrapText="1"/>
    </xf>
    <xf numFmtId="0" fontId="3" fillId="0" borderId="8" xfId="0" applyFont="1" applyFill="1" applyBorder="1" applyAlignment="1">
      <alignment horizontal="justify" vertical="center" wrapText="1"/>
    </xf>
    <xf numFmtId="0" fontId="3" fillId="0" borderId="16" xfId="0" applyFont="1" applyFill="1" applyBorder="1" applyAlignment="1">
      <alignment horizontal="justify" vertical="center" wrapText="1"/>
    </xf>
    <xf numFmtId="0" fontId="9" fillId="0" borderId="33" xfId="0" applyFont="1" applyBorder="1" applyAlignment="1">
      <alignment horizontal="justify" vertical="center" wrapText="1"/>
    </xf>
    <xf numFmtId="0" fontId="3" fillId="0" borderId="35" xfId="0" applyFont="1" applyBorder="1" applyAlignment="1">
      <alignment horizontal="justify" vertical="center" wrapText="1"/>
    </xf>
    <xf numFmtId="9" fontId="3" fillId="2" borderId="7" xfId="2" applyFont="1" applyFill="1" applyBorder="1" applyAlignment="1">
      <alignment horizontal="center" vertical="center" wrapText="1"/>
    </xf>
    <xf numFmtId="9" fontId="3" fillId="2" borderId="1" xfId="2" applyFont="1" applyFill="1" applyBorder="1" applyAlignment="1">
      <alignment horizontal="center" vertical="center" wrapText="1"/>
    </xf>
    <xf numFmtId="1" fontId="3" fillId="2" borderId="37" xfId="0" applyNumberFormat="1" applyFont="1" applyFill="1" applyBorder="1" applyAlignment="1">
      <alignment horizontal="justify" vertical="center" wrapText="1"/>
    </xf>
    <xf numFmtId="1" fontId="3" fillId="2" borderId="7" xfId="0" applyNumberFormat="1" applyFont="1" applyFill="1" applyBorder="1" applyAlignment="1">
      <alignment horizontal="justify" vertical="center" wrapText="1"/>
    </xf>
    <xf numFmtId="1" fontId="3" fillId="2" borderId="1" xfId="0" applyNumberFormat="1" applyFont="1" applyFill="1" applyBorder="1" applyAlignment="1">
      <alignment horizontal="justify" vertical="center" wrapText="1"/>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3" fillId="0" borderId="35" xfId="0" applyFont="1" applyBorder="1" applyAlignment="1">
      <alignment horizontal="center" vertical="center"/>
    </xf>
    <xf numFmtId="0" fontId="9" fillId="0" borderId="23"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23" xfId="0" applyFont="1" applyBorder="1" applyAlignment="1">
      <alignment horizontal="justify" vertical="center" wrapText="1"/>
    </xf>
    <xf numFmtId="0" fontId="12"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29" xfId="0" applyFont="1" applyBorder="1" applyAlignment="1">
      <alignment horizontal="justify" vertical="center" wrapText="1"/>
    </xf>
    <xf numFmtId="1" fontId="3" fillId="2" borderId="34" xfId="0" applyNumberFormat="1" applyFont="1" applyFill="1" applyBorder="1" applyAlignment="1">
      <alignment horizontal="center" vertical="center" wrapText="1"/>
    </xf>
    <xf numFmtId="0" fontId="9" fillId="0" borderId="21" xfId="5" applyNumberFormat="1" applyFont="1" applyFill="1" applyBorder="1" applyAlignment="1">
      <alignment horizontal="justify" vertical="center" wrapText="1"/>
    </xf>
    <xf numFmtId="0" fontId="9" fillId="0" borderId="23" xfId="5" applyNumberFormat="1" applyFont="1" applyFill="1" applyBorder="1" applyAlignment="1">
      <alignment horizontal="justify" vertical="center" wrapText="1"/>
    </xf>
    <xf numFmtId="0" fontId="9" fillId="0" borderId="27" xfId="5" applyNumberFormat="1" applyFont="1" applyFill="1" applyBorder="1" applyAlignment="1">
      <alignment horizontal="justify" vertical="center" wrapText="1"/>
    </xf>
    <xf numFmtId="9" fontId="3" fillId="2" borderId="34" xfId="2" applyFont="1" applyFill="1" applyBorder="1" applyAlignment="1">
      <alignment horizontal="center" vertical="center" wrapText="1"/>
    </xf>
    <xf numFmtId="1" fontId="3" fillId="2" borderId="34" xfId="0" applyNumberFormat="1" applyFont="1" applyFill="1" applyBorder="1" applyAlignment="1">
      <alignment horizontal="justify" vertical="center" wrapText="1"/>
    </xf>
    <xf numFmtId="168" fontId="3" fillId="0" borderId="20" xfId="0" applyNumberFormat="1" applyFont="1" applyBorder="1" applyAlignment="1">
      <alignment horizontal="center" vertical="center"/>
    </xf>
    <xf numFmtId="43" fontId="3" fillId="2" borderId="20" xfId="12" applyFont="1" applyFill="1" applyBorder="1" applyAlignment="1">
      <alignment horizontal="center" vertical="center" wrapText="1"/>
    </xf>
    <xf numFmtId="43" fontId="3" fillId="2" borderId="34" xfId="12" applyFont="1" applyFill="1" applyBorder="1" applyAlignment="1">
      <alignment horizontal="center" vertical="center" wrapText="1"/>
    </xf>
    <xf numFmtId="0" fontId="5" fillId="2" borderId="0" xfId="0" applyFont="1" applyFill="1" applyAlignment="1">
      <alignment horizontal="left" wrapText="1"/>
    </xf>
    <xf numFmtId="14" fontId="3" fillId="2" borderId="2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2" borderId="0" xfId="0" applyFont="1" applyFill="1" applyAlignment="1">
      <alignment horizontal="left"/>
    </xf>
    <xf numFmtId="4" fontId="9" fillId="2" borderId="21" xfId="0" applyNumberFormat="1" applyFont="1" applyFill="1" applyBorder="1" applyAlignment="1">
      <alignment horizontal="center" vertical="center" wrapText="1"/>
    </xf>
    <xf numFmtId="4" fontId="9" fillId="2" borderId="23" xfId="0" applyNumberFormat="1" applyFont="1" applyFill="1" applyBorder="1" applyAlignment="1">
      <alignment horizontal="center" vertical="center" wrapText="1"/>
    </xf>
    <xf numFmtId="4" fontId="9" fillId="2" borderId="27" xfId="0" applyNumberFormat="1" applyFont="1" applyFill="1" applyBorder="1" applyAlignment="1">
      <alignment horizontal="center" vertical="center" wrapText="1"/>
    </xf>
    <xf numFmtId="9" fontId="9" fillId="2" borderId="21" xfId="2" applyFont="1" applyFill="1" applyBorder="1" applyAlignment="1">
      <alignment horizontal="center" vertical="center" wrapText="1"/>
    </xf>
    <xf numFmtId="9" fontId="9" fillId="2" borderId="23" xfId="2" applyFont="1" applyFill="1" applyBorder="1" applyAlignment="1">
      <alignment horizontal="center" vertical="center" wrapText="1"/>
    </xf>
    <xf numFmtId="9" fontId="9" fillId="2" borderId="27" xfId="2" applyFont="1" applyFill="1" applyBorder="1" applyAlignment="1">
      <alignment horizontal="center" vertical="center" wrapText="1"/>
    </xf>
    <xf numFmtId="1" fontId="9" fillId="2" borderId="21" xfId="0" applyNumberFormat="1" applyFont="1" applyFill="1" applyBorder="1" applyAlignment="1">
      <alignment horizontal="justify" vertical="center" wrapText="1"/>
    </xf>
    <xf numFmtId="1" fontId="9" fillId="2" borderId="23" xfId="0" applyNumberFormat="1" applyFont="1" applyFill="1" applyBorder="1" applyAlignment="1">
      <alignment horizontal="justify" vertical="center" wrapText="1"/>
    </xf>
    <xf numFmtId="1" fontId="9" fillId="2" borderId="27" xfId="0" applyNumberFormat="1" applyFont="1" applyFill="1" applyBorder="1" applyAlignment="1">
      <alignment horizontal="justify" vertical="center" wrapText="1"/>
    </xf>
    <xf numFmtId="1" fontId="9" fillId="2" borderId="21" xfId="0" applyNumberFormat="1" applyFont="1" applyFill="1" applyBorder="1" applyAlignment="1">
      <alignment horizontal="center" vertical="center" wrapText="1"/>
    </xf>
    <xf numFmtId="1" fontId="9" fillId="2" borderId="23" xfId="0" applyNumberFormat="1" applyFont="1" applyFill="1" applyBorder="1" applyAlignment="1">
      <alignment horizontal="center" vertical="center" wrapText="1"/>
    </xf>
    <xf numFmtId="1" fontId="9" fillId="2" borderId="27" xfId="0" applyNumberFormat="1" applyFont="1" applyFill="1" applyBorder="1" applyAlignment="1">
      <alignment horizontal="center" vertical="center" wrapText="1"/>
    </xf>
    <xf numFmtId="0" fontId="3" fillId="2" borderId="21" xfId="0" applyFont="1" applyFill="1" applyBorder="1" applyAlignment="1">
      <alignment horizontal="justify" vertical="center" wrapText="1"/>
    </xf>
    <xf numFmtId="0" fontId="3" fillId="2" borderId="23" xfId="0" applyFont="1" applyFill="1" applyBorder="1" applyAlignment="1">
      <alignment horizontal="justify" vertical="center" wrapText="1"/>
    </xf>
    <xf numFmtId="0" fontId="3" fillId="2" borderId="27" xfId="0" applyFont="1" applyFill="1" applyBorder="1" applyAlignment="1">
      <alignment horizontal="justify" vertical="center" wrapText="1"/>
    </xf>
    <xf numFmtId="3" fontId="3" fillId="2" borderId="21" xfId="0" applyNumberFormat="1" applyFont="1" applyFill="1" applyBorder="1" applyAlignment="1">
      <alignment horizontal="justify" vertical="center" wrapText="1"/>
    </xf>
    <xf numFmtId="3" fontId="3" fillId="2" borderId="23" xfId="0" applyNumberFormat="1" applyFont="1" applyFill="1" applyBorder="1" applyAlignment="1">
      <alignment horizontal="justify" vertical="center" wrapText="1"/>
    </xf>
    <xf numFmtId="3" fontId="3" fillId="2" borderId="27" xfId="0" applyNumberFormat="1" applyFont="1" applyFill="1" applyBorder="1" applyAlignment="1">
      <alignment horizontal="justify" vertical="center" wrapText="1"/>
    </xf>
    <xf numFmtId="0" fontId="3" fillId="2" borderId="40" xfId="0" applyFont="1" applyFill="1" applyBorder="1" applyAlignment="1" applyProtection="1">
      <alignment horizontal="justify" vertical="center" wrapText="1"/>
      <protection locked="0"/>
    </xf>
    <xf numFmtId="0" fontId="3" fillId="2" borderId="31" xfId="0" applyFont="1" applyFill="1" applyBorder="1" applyAlignment="1" applyProtection="1">
      <alignment horizontal="justify" vertical="center" wrapText="1"/>
      <protection locked="0"/>
    </xf>
    <xf numFmtId="0" fontId="3" fillId="2" borderId="41" xfId="0" applyFont="1" applyFill="1" applyBorder="1" applyAlignment="1" applyProtection="1">
      <alignment horizontal="justify" vertical="center" wrapText="1"/>
      <protection locked="0"/>
    </xf>
    <xf numFmtId="1" fontId="9" fillId="2" borderId="33" xfId="0" applyNumberFormat="1" applyFont="1" applyFill="1" applyBorder="1" applyAlignment="1">
      <alignment horizontal="center" vertical="center" wrapText="1"/>
    </xf>
    <xf numFmtId="0" fontId="3" fillId="2" borderId="33" xfId="0" applyFont="1" applyFill="1" applyBorder="1" applyAlignment="1">
      <alignment horizontal="center" vertical="center" wrapText="1"/>
    </xf>
    <xf numFmtId="9" fontId="3" fillId="2" borderId="27" xfId="2" applyNumberFormat="1" applyFont="1" applyFill="1" applyBorder="1" applyAlignment="1">
      <alignment horizontal="center" vertical="center" wrapText="1"/>
    </xf>
    <xf numFmtId="43" fontId="3" fillId="2" borderId="20" xfId="0" applyNumberFormat="1" applyFont="1" applyFill="1" applyBorder="1" applyAlignment="1">
      <alignment horizontal="center" vertical="center"/>
    </xf>
    <xf numFmtId="14" fontId="3" fillId="2" borderId="21" xfId="0" applyNumberFormat="1" applyFont="1" applyFill="1" applyBorder="1" applyAlignment="1">
      <alignment horizontal="center" vertical="center" wrapText="1"/>
    </xf>
    <xf numFmtId="14" fontId="3" fillId="2" borderId="23" xfId="0" applyNumberFormat="1" applyFont="1" applyFill="1" applyBorder="1" applyAlignment="1">
      <alignment horizontal="center" vertical="center" wrapText="1"/>
    </xf>
    <xf numFmtId="14" fontId="3" fillId="2" borderId="27" xfId="0" applyNumberFormat="1" applyFont="1" applyFill="1" applyBorder="1" applyAlignment="1">
      <alignment horizontal="center" vertical="center" wrapText="1"/>
    </xf>
    <xf numFmtId="0" fontId="9" fillId="0" borderId="33" xfId="0" applyNumberFormat="1" applyFont="1" applyFill="1" applyBorder="1" applyAlignment="1">
      <alignment horizontal="center" vertical="center" wrapText="1"/>
    </xf>
    <xf numFmtId="0" fontId="9" fillId="0" borderId="20" xfId="0" applyNumberFormat="1" applyFont="1" applyFill="1" applyBorder="1" applyAlignment="1">
      <alignment horizontal="center" vertical="center" wrapText="1"/>
    </xf>
    <xf numFmtId="0" fontId="3" fillId="2" borderId="34" xfId="0" applyFont="1" applyFill="1" applyBorder="1" applyAlignment="1" applyProtection="1">
      <alignment horizontal="justify" vertical="center" wrapText="1"/>
      <protection locked="0"/>
    </xf>
    <xf numFmtId="0" fontId="9" fillId="0" borderId="33" xfId="0" applyFont="1" applyFill="1" applyBorder="1" applyAlignment="1">
      <alignment horizontal="justify" vertical="center" wrapText="1"/>
    </xf>
    <xf numFmtId="1" fontId="9" fillId="2" borderId="22" xfId="0" applyNumberFormat="1" applyFont="1" applyFill="1" applyBorder="1" applyAlignment="1">
      <alignment horizontal="justify" vertical="center" wrapText="1"/>
    </xf>
    <xf numFmtId="43" fontId="3" fillId="2" borderId="5" xfId="0" applyNumberFormat="1" applyFont="1" applyFill="1" applyBorder="1" applyAlignment="1">
      <alignment horizontal="center" vertical="center"/>
    </xf>
    <xf numFmtId="43" fontId="3" fillId="2" borderId="0" xfId="0" applyNumberFormat="1" applyFont="1" applyFill="1" applyBorder="1" applyAlignment="1">
      <alignment horizontal="center" vertical="center"/>
    </xf>
    <xf numFmtId="3" fontId="3" fillId="2" borderId="33" xfId="0" applyNumberFormat="1" applyFont="1" applyFill="1" applyBorder="1" applyAlignment="1">
      <alignment horizontal="justify" vertical="center" wrapText="1"/>
    </xf>
    <xf numFmtId="3" fontId="3" fillId="2" borderId="42" xfId="0" applyNumberFormat="1" applyFont="1" applyFill="1" applyBorder="1" applyAlignment="1">
      <alignment horizontal="justify" vertical="center" wrapText="1"/>
    </xf>
    <xf numFmtId="0" fontId="3" fillId="2" borderId="20" xfId="0" applyFont="1" applyFill="1" applyBorder="1" applyAlignment="1" applyProtection="1">
      <alignment horizontal="justify" vertical="center" wrapText="1"/>
      <protection locked="0"/>
    </xf>
    <xf numFmtId="0" fontId="3" fillId="2" borderId="21" xfId="0" applyFont="1" applyFill="1" applyBorder="1" applyAlignment="1" applyProtection="1">
      <alignment horizontal="justify" vertical="center" wrapText="1"/>
      <protection locked="0"/>
    </xf>
    <xf numFmtId="1" fontId="9" fillId="2" borderId="20" xfId="0" applyNumberFormat="1" applyFont="1" applyFill="1" applyBorder="1" applyAlignment="1">
      <alignment horizontal="center" vertical="center" wrapText="1"/>
    </xf>
    <xf numFmtId="0" fontId="3" fillId="2" borderId="37" xfId="0" applyFont="1" applyFill="1" applyBorder="1" applyAlignment="1">
      <alignment horizontal="center" vertical="center" wrapText="1"/>
    </xf>
    <xf numFmtId="0" fontId="9" fillId="2" borderId="8" xfId="0" applyFont="1" applyFill="1" applyBorder="1" applyAlignment="1">
      <alignment horizontal="justify" vertical="center" wrapText="1"/>
    </xf>
    <xf numFmtId="0" fontId="9" fillId="2" borderId="16" xfId="0" applyFont="1" applyFill="1" applyBorder="1" applyAlignment="1">
      <alignment horizontal="justify" vertical="center" wrapText="1"/>
    </xf>
    <xf numFmtId="9" fontId="3" fillId="2" borderId="21" xfId="2" applyNumberFormat="1" applyFont="1" applyFill="1" applyBorder="1" applyAlignment="1">
      <alignment horizontal="center" vertical="center" wrapText="1"/>
    </xf>
    <xf numFmtId="9" fontId="3" fillId="2" borderId="23" xfId="2"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6" fillId="7" borderId="9" xfId="0" applyFont="1" applyFill="1" applyBorder="1" applyAlignment="1">
      <alignment horizontal="left" vertical="center" wrapText="1"/>
    </xf>
    <xf numFmtId="0" fontId="6" fillId="7" borderId="2"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21" xfId="0" applyNumberFormat="1" applyFont="1" applyFill="1" applyBorder="1" applyAlignment="1">
      <alignment horizontal="center" vertical="center" wrapText="1"/>
    </xf>
    <xf numFmtId="0" fontId="3" fillId="2" borderId="7" xfId="0" applyFont="1" applyFill="1" applyBorder="1" applyAlignment="1" applyProtection="1">
      <alignment horizontal="justify" vertical="center" wrapText="1"/>
      <protection locked="0"/>
    </xf>
    <xf numFmtId="0" fontId="3" fillId="2" borderId="1" xfId="0" applyFont="1" applyFill="1" applyBorder="1" applyAlignment="1" applyProtection="1">
      <alignment horizontal="justify" vertical="center" wrapText="1"/>
      <protection locked="0"/>
    </xf>
    <xf numFmtId="0" fontId="9" fillId="0" borderId="9"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6" fillId="4"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wrapText="1"/>
    </xf>
    <xf numFmtId="168" fontId="2" fillId="3" borderId="2" xfId="0" applyNumberFormat="1" applyFont="1" applyFill="1" applyBorder="1" applyAlignment="1">
      <alignment horizontal="center" vertical="center" wrapText="1"/>
    </xf>
    <xf numFmtId="3" fontId="2" fillId="3" borderId="18" xfId="0" applyNumberFormat="1" applyFont="1" applyFill="1" applyBorder="1" applyAlignment="1">
      <alignment horizontal="center" vertical="center" wrapText="1"/>
    </xf>
    <xf numFmtId="164" fontId="2" fillId="3" borderId="2" xfId="0" applyNumberFormat="1" applyFont="1" applyFill="1" applyBorder="1" applyAlignment="1">
      <alignment horizontal="center" vertical="center" wrapText="1"/>
    </xf>
    <xf numFmtId="0" fontId="25" fillId="0" borderId="5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6" xfId="0" applyFont="1" applyBorder="1" applyAlignment="1">
      <alignment horizontal="center" vertical="center"/>
    </xf>
    <xf numFmtId="0" fontId="25" fillId="0" borderId="5" xfId="0" applyFont="1" applyBorder="1" applyAlignment="1">
      <alignment horizontal="center" vertical="center"/>
    </xf>
    <xf numFmtId="0" fontId="25" fillId="0" borderId="55" xfId="0" applyFont="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10" xfId="0" applyFont="1" applyBorder="1" applyAlignment="1">
      <alignment horizontal="center" vertical="center"/>
    </xf>
    <xf numFmtId="0" fontId="25" fillId="0" borderId="61" xfId="0" applyFont="1" applyBorder="1" applyAlignment="1">
      <alignment horizontal="center" vertical="center"/>
    </xf>
    <xf numFmtId="0" fontId="25" fillId="0" borderId="6" xfId="0" applyFont="1" applyBorder="1" applyAlignment="1">
      <alignment horizontal="center" vertical="center"/>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0" xfId="0" applyFont="1" applyAlignment="1">
      <alignment horizontal="center" vertical="center" wrapText="1"/>
    </xf>
    <xf numFmtId="0" fontId="6" fillId="0" borderId="55" xfId="0" applyFont="1" applyBorder="1" applyAlignment="1">
      <alignment horizontal="center" vertical="center" wrapText="1"/>
    </xf>
    <xf numFmtId="0" fontId="6" fillId="0" borderId="3" xfId="0" applyFont="1" applyBorder="1" applyAlignment="1">
      <alignment horizontal="center" vertical="center" wrapText="1"/>
    </xf>
    <xf numFmtId="3" fontId="2" fillId="3" borderId="10" xfId="0" applyNumberFormat="1" applyFont="1" applyFill="1" applyBorder="1" applyAlignment="1">
      <alignment horizontal="center" vertical="center" wrapText="1"/>
    </xf>
    <xf numFmtId="4" fontId="2" fillId="3" borderId="9" xfId="8" applyNumberFormat="1" applyFont="1" applyFill="1" applyBorder="1" applyAlignment="1">
      <alignment horizontal="center" vertical="center" wrapText="1"/>
    </xf>
    <xf numFmtId="4" fontId="2" fillId="3" borderId="18" xfId="8" applyNumberFormat="1" applyFont="1" applyFill="1" applyBorder="1" applyAlignment="1">
      <alignment horizontal="center" vertical="center" wrapText="1"/>
    </xf>
    <xf numFmtId="176" fontId="2" fillId="3" borderId="8" xfId="8" applyFont="1" applyFill="1" applyBorder="1" applyAlignment="1">
      <alignment horizontal="center" vertical="center" wrapText="1"/>
    </xf>
    <xf numFmtId="176" fontId="2" fillId="3" borderId="16" xfId="8"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176" fontId="6" fillId="5" borderId="2" xfId="8" applyFont="1" applyFill="1" applyBorder="1" applyAlignment="1">
      <alignment horizontal="center" vertical="center" wrapText="1"/>
    </xf>
    <xf numFmtId="9" fontId="6" fillId="5" borderId="2" xfId="2" applyFont="1" applyFill="1" applyBorder="1" applyAlignment="1">
      <alignment horizontal="center" vertical="center" wrapText="1"/>
    </xf>
    <xf numFmtId="0" fontId="6" fillId="6" borderId="11" xfId="0" applyFont="1" applyFill="1" applyBorder="1" applyAlignment="1">
      <alignment horizontal="left" vertical="center"/>
    </xf>
    <xf numFmtId="0" fontId="6" fillId="7" borderId="10" xfId="0" applyFont="1" applyFill="1" applyBorder="1" applyAlignment="1">
      <alignment horizontal="left" vertical="center"/>
    </xf>
    <xf numFmtId="0" fontId="6" fillId="7" borderId="11" xfId="0" applyFont="1" applyFill="1" applyBorder="1" applyAlignment="1">
      <alignment horizontal="left" vertical="center"/>
    </xf>
    <xf numFmtId="0" fontId="6" fillId="7" borderId="8" xfId="0" applyFont="1" applyFill="1" applyBorder="1" applyAlignment="1">
      <alignment horizontal="left" vertical="center"/>
    </xf>
    <xf numFmtId="0" fontId="6" fillId="7" borderId="5" xfId="0" applyFont="1" applyFill="1" applyBorder="1" applyAlignment="1">
      <alignment horizontal="left" vertical="center"/>
    </xf>
    <xf numFmtId="0" fontId="6" fillId="0" borderId="85" xfId="0" applyFont="1" applyBorder="1" applyAlignment="1">
      <alignment horizontal="center" vertical="center" wrapText="1"/>
    </xf>
    <xf numFmtId="0" fontId="6" fillId="0" borderId="57" xfId="0" applyFont="1" applyBorder="1" applyAlignment="1">
      <alignment horizontal="center" vertical="center"/>
    </xf>
    <xf numFmtId="0" fontId="6" fillId="0" borderId="86" xfId="0" applyFont="1" applyBorder="1" applyAlignment="1">
      <alignment horizontal="center" vertical="center"/>
    </xf>
    <xf numFmtId="0" fontId="9" fillId="0" borderId="20" xfId="0" applyFont="1" applyBorder="1" applyAlignment="1">
      <alignment horizontal="center" vertical="center"/>
    </xf>
    <xf numFmtId="0" fontId="9" fillId="0" borderId="24"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5" xfId="0" applyFont="1" applyFill="1" applyBorder="1" applyAlignment="1">
      <alignment horizontal="center" vertical="center"/>
    </xf>
    <xf numFmtId="0" fontId="3" fillId="0" borderId="40" xfId="3" applyNumberFormat="1" applyFont="1" applyBorder="1" applyAlignment="1">
      <alignment horizontal="center" vertical="center"/>
    </xf>
    <xf numFmtId="0" fontId="3" fillId="0" borderId="31" xfId="3" applyNumberFormat="1" applyFont="1" applyBorder="1" applyAlignment="1">
      <alignment horizontal="center" vertical="center"/>
    </xf>
    <xf numFmtId="0" fontId="3" fillId="0" borderId="41" xfId="3" applyNumberFormat="1" applyFont="1" applyBorder="1" applyAlignment="1">
      <alignment horizontal="center" vertical="center"/>
    </xf>
    <xf numFmtId="0" fontId="3" fillId="0" borderId="2" xfId="3" applyNumberFormat="1" applyFont="1" applyBorder="1" applyAlignment="1">
      <alignment horizontal="center" vertical="center"/>
    </xf>
    <xf numFmtId="180" fontId="3" fillId="0" borderId="20" xfId="6" applyNumberFormat="1" applyFont="1" applyBorder="1" applyAlignment="1">
      <alignment horizontal="center" vertical="center"/>
    </xf>
    <xf numFmtId="0" fontId="9" fillId="0" borderId="2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6" fillId="7" borderId="67" xfId="0" applyFont="1" applyFill="1" applyBorder="1" applyAlignment="1">
      <alignment horizontal="left" vertical="center"/>
    </xf>
    <xf numFmtId="0" fontId="6" fillId="7" borderId="64" xfId="0" applyFont="1" applyFill="1" applyBorder="1" applyAlignment="1">
      <alignment horizontal="left" vertical="center"/>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86" xfId="0" applyFont="1" applyBorder="1" applyAlignment="1">
      <alignment horizontal="center" vertical="center" wrapText="1"/>
    </xf>
    <xf numFmtId="9" fontId="3" fillId="0" borderId="2" xfId="2" applyFont="1" applyBorder="1" applyAlignment="1">
      <alignment horizontal="center" vertical="center"/>
    </xf>
    <xf numFmtId="1" fontId="3" fillId="0" borderId="2" xfId="0" applyNumberFormat="1" applyFont="1" applyBorder="1" applyAlignment="1">
      <alignment horizontal="center" vertical="center" wrapText="1"/>
    </xf>
    <xf numFmtId="0" fontId="3" fillId="0" borderId="18" xfId="0" applyFont="1" applyBorder="1" applyAlignment="1">
      <alignment horizontal="center" vertical="center" wrapText="1"/>
    </xf>
    <xf numFmtId="0" fontId="2" fillId="0" borderId="10" xfId="0" applyFont="1" applyBorder="1" applyAlignment="1">
      <alignment horizontal="center" vertical="center"/>
    </xf>
    <xf numFmtId="4" fontId="3" fillId="0" borderId="9" xfId="6" applyNumberFormat="1" applyFont="1" applyBorder="1" applyAlignment="1">
      <alignment horizontal="center" vertical="center"/>
    </xf>
    <xf numFmtId="4" fontId="3" fillId="0" borderId="17" xfId="6" applyNumberFormat="1" applyFont="1" applyBorder="1" applyAlignment="1">
      <alignment horizontal="center" vertical="center"/>
    </xf>
    <xf numFmtId="4" fontId="3" fillId="0" borderId="18" xfId="6" applyNumberFormat="1" applyFont="1" applyBorder="1" applyAlignment="1">
      <alignment horizontal="center" vertical="center"/>
    </xf>
    <xf numFmtId="9" fontId="3" fillId="0" borderId="2" xfId="0" applyNumberFormat="1" applyFont="1" applyBorder="1" applyAlignment="1">
      <alignment horizontal="center" vertical="center"/>
    </xf>
    <xf numFmtId="180" fontId="3" fillId="0" borderId="2" xfId="6" applyNumberFormat="1" applyFont="1" applyBorder="1" applyAlignment="1">
      <alignment horizontal="center" vertical="center"/>
    </xf>
    <xf numFmtId="0" fontId="3" fillId="0" borderId="21" xfId="3" applyNumberFormat="1" applyFont="1" applyBorder="1" applyAlignment="1">
      <alignment horizontal="center" vertical="center"/>
    </xf>
    <xf numFmtId="0" fontId="3" fillId="0" borderId="23" xfId="3" applyNumberFormat="1" applyFont="1" applyBorder="1" applyAlignment="1">
      <alignment horizontal="center" vertical="center"/>
    </xf>
    <xf numFmtId="0" fontId="3" fillId="0" borderId="25" xfId="3" applyNumberFormat="1" applyFont="1" applyBorder="1" applyAlignment="1">
      <alignment horizontal="center" vertical="center"/>
    </xf>
    <xf numFmtId="0" fontId="3" fillId="2" borderId="5" xfId="0" applyFont="1" applyFill="1" applyBorder="1" applyAlignment="1">
      <alignment horizontal="justify" vertical="center" wrapText="1"/>
    </xf>
    <xf numFmtId="0" fontId="3" fillId="2" borderId="0" xfId="0" applyFont="1" applyFill="1" applyAlignment="1">
      <alignment horizontal="justify" vertical="center" wrapText="1"/>
    </xf>
    <xf numFmtId="0" fontId="3" fillId="2" borderId="3" xfId="0" applyFont="1" applyFill="1" applyBorder="1" applyAlignment="1">
      <alignment horizontal="justify" vertical="center" wrapText="1"/>
    </xf>
    <xf numFmtId="0" fontId="9" fillId="0" borderId="2" xfId="0" applyFont="1" applyBorder="1" applyAlignment="1">
      <alignment horizontal="center" vertical="center"/>
    </xf>
    <xf numFmtId="0" fontId="9" fillId="0" borderId="9"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2" xfId="0" applyFont="1" applyBorder="1" applyAlignment="1">
      <alignment horizontal="center" vertical="center" wrapText="1"/>
    </xf>
    <xf numFmtId="0" fontId="6" fillId="7" borderId="78" xfId="0" applyFont="1" applyFill="1" applyBorder="1" applyAlignment="1">
      <alignment horizontal="left" vertical="center"/>
    </xf>
    <xf numFmtId="0" fontId="6" fillId="7" borderId="63" xfId="0" applyFont="1" applyFill="1" applyBorder="1" applyAlignment="1">
      <alignment horizontal="left" vertical="center"/>
    </xf>
    <xf numFmtId="9" fontId="3" fillId="0" borderId="18" xfId="2" applyFont="1" applyBorder="1" applyAlignment="1">
      <alignment horizontal="center" vertical="center"/>
    </xf>
    <xf numFmtId="1" fontId="3" fillId="0" borderId="9" xfId="0" applyNumberFormat="1" applyFont="1" applyBorder="1" applyAlignment="1">
      <alignment horizontal="center" vertical="center"/>
    </xf>
    <xf numFmtId="1" fontId="3" fillId="0" borderId="17" xfId="0" applyNumberFormat="1" applyFont="1" applyBorder="1" applyAlignment="1">
      <alignment horizontal="center" vertical="center"/>
    </xf>
    <xf numFmtId="1" fontId="3" fillId="0" borderId="18" xfId="0" applyNumberFormat="1" applyFont="1" applyBorder="1" applyAlignment="1">
      <alignment horizontal="center" vertical="center"/>
    </xf>
    <xf numFmtId="0" fontId="3" fillId="0" borderId="20" xfId="3" applyNumberFormat="1" applyFont="1" applyBorder="1" applyAlignment="1">
      <alignment horizontal="center" vertical="center"/>
    </xf>
    <xf numFmtId="0" fontId="3" fillId="0" borderId="42" xfId="3" applyNumberFormat="1" applyFont="1" applyBorder="1" applyAlignment="1">
      <alignment horizontal="center" vertical="center"/>
    </xf>
    <xf numFmtId="0" fontId="3" fillId="0" borderId="44" xfId="3" applyNumberFormat="1" applyFont="1" applyBorder="1" applyAlignment="1">
      <alignment horizontal="center" vertical="center"/>
    </xf>
    <xf numFmtId="0" fontId="3" fillId="0" borderId="20" xfId="3" applyNumberFormat="1" applyFont="1" applyBorder="1" applyAlignment="1">
      <alignment horizontal="center" vertical="center" wrapText="1"/>
    </xf>
    <xf numFmtId="0" fontId="3" fillId="0" borderId="21" xfId="3" applyNumberFormat="1" applyFont="1" applyBorder="1" applyAlignment="1">
      <alignment horizontal="center" vertical="center" wrapText="1"/>
    </xf>
    <xf numFmtId="0" fontId="9" fillId="0" borderId="20" xfId="5" applyNumberFormat="1" applyFont="1" applyFill="1" applyBorder="1" applyAlignment="1">
      <alignment horizontal="justify" vertical="center" wrapText="1"/>
    </xf>
    <xf numFmtId="168" fontId="3" fillId="0" borderId="34" xfId="0" applyNumberFormat="1" applyFont="1" applyBorder="1" applyAlignment="1">
      <alignment horizontal="center" vertical="center"/>
    </xf>
    <xf numFmtId="180" fontId="9" fillId="0" borderId="24" xfId="6" applyNumberFormat="1" applyFont="1" applyBorder="1" applyAlignment="1">
      <alignment horizontal="center" vertical="center"/>
    </xf>
    <xf numFmtId="180" fontId="9" fillId="0" borderId="23" xfId="6" applyNumberFormat="1" applyFont="1" applyBorder="1" applyAlignment="1">
      <alignment horizontal="center" vertical="center"/>
    </xf>
    <xf numFmtId="180" fontId="9" fillId="0" borderId="25" xfId="6" applyNumberFormat="1" applyFont="1" applyBorder="1" applyAlignment="1">
      <alignment horizontal="center" vertical="center"/>
    </xf>
    <xf numFmtId="0" fontId="3" fillId="2" borderId="24" xfId="0" applyFont="1" applyFill="1" applyBorder="1" applyAlignment="1">
      <alignment horizontal="justify" vertical="center" wrapText="1"/>
    </xf>
    <xf numFmtId="0" fontId="3" fillId="2" borderId="25" xfId="0" applyFont="1" applyFill="1" applyBorder="1" applyAlignment="1">
      <alignment horizontal="justify" vertical="center" wrapText="1"/>
    </xf>
    <xf numFmtId="0" fontId="3" fillId="2" borderId="38" xfId="0" applyFont="1" applyFill="1" applyBorder="1" applyAlignment="1">
      <alignment horizontal="justify" vertical="center" wrapText="1"/>
    </xf>
    <xf numFmtId="0" fontId="3" fillId="2" borderId="44" xfId="0" applyFont="1" applyFill="1" applyBorder="1" applyAlignment="1">
      <alignment horizontal="justify" vertical="center" wrapText="1"/>
    </xf>
    <xf numFmtId="0" fontId="3" fillId="2" borderId="39" xfId="0" applyFont="1" applyFill="1" applyBorder="1" applyAlignment="1">
      <alignment horizontal="justify" vertical="center" wrapText="1"/>
    </xf>
    <xf numFmtId="0" fontId="3" fillId="0" borderId="9" xfId="3" applyNumberFormat="1" applyFont="1" applyBorder="1" applyAlignment="1">
      <alignment horizontal="center" vertical="center"/>
    </xf>
    <xf numFmtId="0" fontId="3" fillId="0" borderId="17" xfId="3" applyNumberFormat="1" applyFont="1" applyBorder="1" applyAlignment="1">
      <alignment horizontal="center" vertical="center"/>
    </xf>
    <xf numFmtId="0" fontId="3" fillId="0" borderId="18" xfId="3" applyNumberFormat="1" applyFont="1"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4" xfId="0" applyFont="1" applyBorder="1" applyAlignment="1">
      <alignment horizontal="justify" vertical="center" wrapText="1"/>
    </xf>
    <xf numFmtId="0" fontId="9" fillId="0" borderId="25" xfId="0" applyFont="1" applyBorder="1" applyAlignment="1">
      <alignment horizontal="justify" vertical="center" wrapText="1"/>
    </xf>
    <xf numFmtId="9" fontId="3" fillId="2" borderId="24" xfId="2" applyFont="1" applyFill="1" applyBorder="1" applyAlignment="1">
      <alignment horizontal="center" vertical="center"/>
    </xf>
    <xf numFmtId="9" fontId="3" fillId="2" borderId="23" xfId="2" applyFont="1" applyFill="1" applyBorder="1" applyAlignment="1">
      <alignment horizontal="center" vertical="center"/>
    </xf>
    <xf numFmtId="9" fontId="3" fillId="2" borderId="25" xfId="2" applyFont="1" applyFill="1" applyBorder="1" applyAlignment="1">
      <alignment horizontal="center" vertical="center"/>
    </xf>
    <xf numFmtId="168" fontId="3" fillId="0" borderId="9" xfId="0" applyNumberFormat="1" applyFont="1" applyBorder="1" applyAlignment="1">
      <alignment horizontal="center" vertical="center" wrapText="1"/>
    </xf>
    <xf numFmtId="168" fontId="3" fillId="0" borderId="17" xfId="0" applyNumberFormat="1" applyFont="1" applyBorder="1" applyAlignment="1">
      <alignment horizontal="center" vertical="center" wrapText="1"/>
    </xf>
    <xf numFmtId="168" fontId="3" fillId="0" borderId="18" xfId="0" applyNumberFormat="1" applyFont="1" applyBorder="1" applyAlignment="1">
      <alignment horizontal="center" vertical="center" wrapText="1"/>
    </xf>
    <xf numFmtId="0" fontId="6" fillId="7" borderId="16" xfId="0" applyFont="1" applyFill="1" applyBorder="1" applyAlignment="1">
      <alignment horizontal="left" vertical="center"/>
    </xf>
    <xf numFmtId="0" fontId="6" fillId="7" borderId="0" xfId="0" applyFont="1" applyFill="1" applyBorder="1" applyAlignment="1">
      <alignment horizontal="left" vertical="center"/>
    </xf>
    <xf numFmtId="0" fontId="9" fillId="0" borderId="21" xfId="0" applyFont="1" applyFill="1" applyBorder="1" applyAlignment="1">
      <alignment horizontal="center" vertical="center"/>
    </xf>
    <xf numFmtId="0" fontId="9" fillId="0" borderId="27" xfId="0" applyFont="1" applyFill="1" applyBorder="1" applyAlignment="1">
      <alignment horizontal="center" vertical="center"/>
    </xf>
    <xf numFmtId="9" fontId="3" fillId="0" borderId="20" xfId="2" applyFont="1" applyBorder="1" applyAlignment="1">
      <alignment horizontal="center" vertical="center"/>
    </xf>
    <xf numFmtId="0" fontId="6" fillId="6" borderId="6" xfId="0" applyFont="1" applyFill="1" applyBorder="1" applyAlignment="1">
      <alignment horizontal="left" vertical="center"/>
    </xf>
    <xf numFmtId="0" fontId="6" fillId="6" borderId="3" xfId="0" applyFont="1" applyFill="1" applyBorder="1" applyAlignment="1">
      <alignment horizontal="left" vertical="center"/>
    </xf>
    <xf numFmtId="0" fontId="3" fillId="0" borderId="0" xfId="0" applyFont="1" applyAlignment="1">
      <alignment horizontal="center" vertical="center"/>
    </xf>
    <xf numFmtId="0" fontId="6" fillId="0" borderId="1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9" fillId="0" borderId="2" xfId="0" applyFont="1" applyFill="1" applyBorder="1" applyAlignment="1">
      <alignment horizontal="justify" vertical="center" wrapText="1"/>
    </xf>
    <xf numFmtId="9" fontId="2" fillId="0" borderId="9" xfId="2" applyFont="1" applyBorder="1" applyAlignment="1">
      <alignment horizontal="center" vertical="center"/>
    </xf>
    <xf numFmtId="9" fontId="2" fillId="0" borderId="17" xfId="2" applyFont="1" applyBorder="1" applyAlignment="1">
      <alignment horizontal="center" vertical="center"/>
    </xf>
    <xf numFmtId="9" fontId="2" fillId="0" borderId="18" xfId="2" applyFont="1" applyBorder="1" applyAlignment="1">
      <alignment horizontal="center" vertical="center"/>
    </xf>
    <xf numFmtId="0" fontId="6" fillId="6" borderId="10" xfId="0" applyFont="1" applyFill="1" applyBorder="1" applyAlignment="1">
      <alignment horizontal="left" vertical="center"/>
    </xf>
    <xf numFmtId="0" fontId="9" fillId="0" borderId="20" xfId="9" applyNumberFormat="1" applyFont="1" applyFill="1" applyBorder="1" applyAlignment="1">
      <alignment horizontal="center" vertical="center" wrapText="1"/>
    </xf>
    <xf numFmtId="0" fontId="9" fillId="2" borderId="7" xfId="9" applyNumberFormat="1" applyFont="1" applyFill="1" applyBorder="1" applyAlignment="1">
      <alignment horizontal="center" vertical="center" wrapText="1"/>
    </xf>
    <xf numFmtId="0" fontId="9" fillId="2" borderId="1" xfId="9" applyNumberFormat="1" applyFont="1" applyFill="1" applyBorder="1" applyAlignment="1">
      <alignment horizontal="center" vertical="center" wrapText="1"/>
    </xf>
    <xf numFmtId="0" fontId="9" fillId="2" borderId="9" xfId="5" applyNumberFormat="1" applyFont="1" applyFill="1" applyBorder="1" applyAlignment="1">
      <alignment horizontal="justify" vertical="center" wrapText="1"/>
    </xf>
    <xf numFmtId="0" fontId="9" fillId="2" borderId="17" xfId="5" applyNumberFormat="1" applyFont="1" applyFill="1" applyBorder="1" applyAlignment="1">
      <alignment horizontal="justify" vertical="center" wrapText="1"/>
    </xf>
    <xf numFmtId="0" fontId="3" fillId="0" borderId="17" xfId="0" applyFont="1" applyFill="1" applyBorder="1" applyAlignment="1">
      <alignment horizontal="center" vertical="center"/>
    </xf>
    <xf numFmtId="0" fontId="9" fillId="0" borderId="2" xfId="5" applyNumberFormat="1" applyFont="1" applyFill="1" applyBorder="1" applyAlignment="1">
      <alignment horizontal="justify" vertical="center" wrapText="1"/>
    </xf>
    <xf numFmtId="0" fontId="3" fillId="0" borderId="2" xfId="0" applyFont="1" applyBorder="1" applyAlignment="1">
      <alignment horizontal="center" vertical="center"/>
    </xf>
    <xf numFmtId="0" fontId="3" fillId="0" borderId="18" xfId="0" applyFont="1" applyBorder="1" applyAlignment="1">
      <alignment horizontal="center" vertical="center"/>
    </xf>
    <xf numFmtId="9" fontId="3" fillId="2" borderId="2" xfId="2" applyFont="1" applyFill="1" applyBorder="1" applyAlignment="1">
      <alignment horizontal="center" vertical="center"/>
    </xf>
    <xf numFmtId="180" fontId="9" fillId="0" borderId="2" xfId="6" applyNumberFormat="1" applyFont="1" applyBorder="1" applyAlignment="1">
      <alignment horizontal="center" vertical="center"/>
    </xf>
    <xf numFmtId="4" fontId="21" fillId="0" borderId="2" xfId="6" applyNumberFormat="1" applyFont="1" applyFill="1" applyBorder="1" applyAlignment="1">
      <alignment horizontal="center" vertical="center"/>
    </xf>
    <xf numFmtId="0" fontId="9" fillId="0" borderId="34" xfId="9" applyNumberFormat="1" applyFont="1" applyBorder="1" applyAlignment="1">
      <alignment horizontal="center" vertical="center" wrapText="1"/>
    </xf>
    <xf numFmtId="0" fontId="9" fillId="2" borderId="33" xfId="9" applyNumberFormat="1" applyFont="1" applyFill="1" applyBorder="1" applyAlignment="1">
      <alignment horizontal="center" vertical="center" wrapText="1"/>
    </xf>
    <xf numFmtId="0" fontId="9" fillId="2" borderId="2" xfId="5" applyNumberFormat="1" applyFont="1" applyFill="1" applyBorder="1" applyAlignment="1">
      <alignment horizontal="justify" vertical="center" wrapText="1"/>
    </xf>
    <xf numFmtId="1" fontId="3" fillId="2" borderId="2" xfId="0" applyNumberFormat="1" applyFont="1" applyFill="1" applyBorder="1" applyAlignment="1">
      <alignment horizontal="center" vertical="center" wrapText="1"/>
    </xf>
    <xf numFmtId="168" fontId="3" fillId="0" borderId="2" xfId="0" applyNumberFormat="1" applyFont="1" applyBorder="1" applyAlignment="1">
      <alignment horizontal="center" vertical="center"/>
    </xf>
    <xf numFmtId="169" fontId="3" fillId="2" borderId="2" xfId="0" applyNumberFormat="1" applyFont="1" applyFill="1" applyBorder="1" applyAlignment="1">
      <alignment horizontal="center" vertical="center" wrapText="1"/>
    </xf>
    <xf numFmtId="10" fontId="3" fillId="2" borderId="33" xfId="2" applyNumberFormat="1" applyFont="1" applyFill="1" applyBorder="1" applyAlignment="1">
      <alignment horizontal="center" vertical="center"/>
    </xf>
    <xf numFmtId="180" fontId="9" fillId="0" borderId="71" xfId="6" applyNumberFormat="1" applyFont="1" applyBorder="1" applyAlignment="1">
      <alignment horizontal="center" vertical="center"/>
    </xf>
    <xf numFmtId="180" fontId="9" fillId="0" borderId="72" xfId="6" applyNumberFormat="1" applyFont="1" applyBorder="1" applyAlignment="1">
      <alignment horizontal="center" vertical="center"/>
    </xf>
    <xf numFmtId="180" fontId="9" fillId="0" borderId="73" xfId="6" applyNumberFormat="1" applyFont="1" applyBorder="1" applyAlignment="1">
      <alignment horizontal="center" vertical="center"/>
    </xf>
    <xf numFmtId="0" fontId="3" fillId="2" borderId="34"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9" fillId="0" borderId="27" xfId="0" applyFont="1" applyFill="1" applyBorder="1" applyAlignment="1">
      <alignment horizontal="justify" vertical="center" wrapText="1"/>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6" fillId="7" borderId="16" xfId="0" applyFont="1" applyFill="1" applyBorder="1" applyAlignment="1">
      <alignment horizontal="center" vertical="center"/>
    </xf>
    <xf numFmtId="0" fontId="6" fillId="7" borderId="0" xfId="0" applyFont="1" applyFill="1" applyAlignment="1">
      <alignment horizontal="center" vertical="center"/>
    </xf>
    <xf numFmtId="0" fontId="9" fillId="2" borderId="20" xfId="9" applyNumberFormat="1" applyFont="1" applyFill="1" applyBorder="1" applyAlignment="1">
      <alignment horizontal="center" vertical="center" wrapText="1"/>
    </xf>
    <xf numFmtId="0" fontId="9" fillId="0" borderId="38" xfId="0" applyFont="1" applyBorder="1" applyAlignment="1">
      <alignment horizontal="center" vertical="center"/>
    </xf>
    <xf numFmtId="0" fontId="9" fillId="0" borderId="29" xfId="0" applyFont="1" applyBorder="1" applyAlignment="1">
      <alignment horizontal="center" vertical="center"/>
    </xf>
    <xf numFmtId="0" fontId="3" fillId="2" borderId="19"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9" fillId="0" borderId="38" xfId="0" applyFont="1" applyBorder="1" applyAlignment="1">
      <alignment horizontal="justify" vertical="center" wrapText="1"/>
    </xf>
    <xf numFmtId="0" fontId="9" fillId="0" borderId="44" xfId="0" applyFont="1" applyBorder="1" applyAlignment="1">
      <alignment horizontal="justify" vertical="center" wrapText="1"/>
    </xf>
    <xf numFmtId="10" fontId="3" fillId="2" borderId="20" xfId="2" applyNumberFormat="1" applyFont="1" applyFill="1" applyBorder="1" applyAlignment="1">
      <alignment horizontal="center" vertical="center"/>
    </xf>
    <xf numFmtId="180" fontId="9" fillId="0" borderId="21" xfId="6" applyNumberFormat="1" applyFont="1" applyBorder="1" applyAlignment="1">
      <alignment horizontal="center" vertical="center"/>
    </xf>
    <xf numFmtId="180" fontId="9" fillId="0" borderId="27" xfId="6" applyNumberFormat="1" applyFont="1" applyBorder="1" applyAlignment="1">
      <alignment horizontal="center" vertical="center"/>
    </xf>
    <xf numFmtId="0" fontId="9" fillId="2" borderId="57" xfId="0" applyFont="1" applyFill="1" applyBorder="1" applyAlignment="1">
      <alignment horizontal="justify" vertical="center" wrapText="1"/>
    </xf>
    <xf numFmtId="0" fontId="9" fillId="0" borderId="34" xfId="5" applyNumberFormat="1" applyFont="1" applyFill="1" applyBorder="1">
      <alignment horizontal="center" vertical="center" wrapText="1"/>
    </xf>
    <xf numFmtId="0" fontId="9" fillId="2" borderId="45" xfId="5" applyNumberFormat="1" applyFont="1" applyFill="1" applyBorder="1">
      <alignment horizontal="center" vertical="center" wrapText="1"/>
    </xf>
    <xf numFmtId="0" fontId="9" fillId="2" borderId="22" xfId="5" applyNumberFormat="1" applyFont="1" applyFill="1" applyBorder="1">
      <alignment horizontal="center" vertical="center" wrapText="1"/>
    </xf>
    <xf numFmtId="0" fontId="9" fillId="2" borderId="30" xfId="5" applyNumberFormat="1" applyFont="1" applyFill="1" applyBorder="1">
      <alignment horizontal="center" vertical="center" wrapText="1"/>
    </xf>
    <xf numFmtId="170" fontId="9" fillId="0" borderId="21" xfId="5" applyFont="1" applyFill="1" applyBorder="1" applyAlignment="1">
      <alignment horizontal="justify" vertical="center" wrapText="1"/>
    </xf>
    <xf numFmtId="170" fontId="9" fillId="0" borderId="23" xfId="5" applyFont="1" applyFill="1" applyBorder="1" applyAlignment="1">
      <alignment horizontal="justify" vertical="center" wrapText="1"/>
    </xf>
    <xf numFmtId="170" fontId="9" fillId="0" borderId="27" xfId="5" applyFont="1" applyFill="1" applyBorder="1" applyAlignment="1">
      <alignment horizontal="justify" vertical="center" wrapText="1"/>
    </xf>
    <xf numFmtId="0" fontId="3" fillId="2" borderId="6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6" xfId="0" applyFont="1" applyFill="1" applyBorder="1" applyAlignment="1">
      <alignment horizontal="center" vertical="center"/>
    </xf>
    <xf numFmtId="10" fontId="3" fillId="2" borderId="42" xfId="2" applyNumberFormat="1" applyFont="1" applyFill="1" applyBorder="1" applyAlignment="1">
      <alignment horizontal="center" vertical="center"/>
    </xf>
    <xf numFmtId="10" fontId="3" fillId="2" borderId="44" xfId="2" applyNumberFormat="1" applyFont="1" applyFill="1" applyBorder="1" applyAlignment="1">
      <alignment horizontal="center" vertical="center"/>
    </xf>
    <xf numFmtId="10" fontId="3" fillId="2" borderId="29" xfId="2" applyNumberFormat="1" applyFont="1" applyFill="1" applyBorder="1" applyAlignment="1">
      <alignment horizontal="center" vertical="center"/>
    </xf>
    <xf numFmtId="170" fontId="9" fillId="0" borderId="64" xfId="5" applyFont="1" applyFill="1" applyBorder="1" applyAlignment="1">
      <alignment horizontal="justify" vertical="center" wrapText="1"/>
    </xf>
    <xf numFmtId="170" fontId="9" fillId="0" borderId="0" xfId="5" applyFont="1" applyFill="1" applyBorder="1" applyAlignment="1">
      <alignment horizontal="justify" vertical="center" wrapText="1"/>
    </xf>
    <xf numFmtId="170" fontId="9" fillId="0" borderId="30" xfId="5" applyFont="1" applyFill="1" applyBorder="1" applyAlignment="1">
      <alignment horizontal="justify" vertical="center" wrapText="1"/>
    </xf>
    <xf numFmtId="14" fontId="3" fillId="0" borderId="9" xfId="0" applyNumberFormat="1" applyFont="1" applyBorder="1" applyAlignment="1">
      <alignment horizontal="center" vertical="center"/>
    </xf>
    <xf numFmtId="180" fontId="9" fillId="0" borderId="20" xfId="6" applyNumberFormat="1" applyFont="1" applyBorder="1" applyAlignment="1">
      <alignment horizontal="center" vertical="center"/>
    </xf>
    <xf numFmtId="0" fontId="3" fillId="2" borderId="33" xfId="0" applyFont="1" applyFill="1" applyBorder="1" applyAlignment="1">
      <alignment horizontal="justify" vertical="center" wrapText="1"/>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9" fillId="0" borderId="20" xfId="5" applyNumberFormat="1" applyFont="1" applyFill="1" applyBorder="1">
      <alignment horizontal="center" vertical="center" wrapText="1"/>
    </xf>
    <xf numFmtId="9" fontId="3" fillId="0" borderId="28" xfId="2" applyFont="1" applyBorder="1" applyAlignment="1">
      <alignment horizontal="center" vertical="center"/>
    </xf>
    <xf numFmtId="9" fontId="3" fillId="0" borderId="35" xfId="2" applyFont="1" applyBorder="1" applyAlignment="1">
      <alignment horizontal="center" vertical="center"/>
    </xf>
    <xf numFmtId="1" fontId="3" fillId="0" borderId="40" xfId="0" applyNumberFormat="1" applyFont="1" applyBorder="1" applyAlignment="1">
      <alignment horizontal="center" vertical="center"/>
    </xf>
    <xf numFmtId="1" fontId="3" fillId="0" borderId="41" xfId="0" applyNumberFormat="1" applyFont="1" applyBorder="1" applyAlignment="1">
      <alignment horizontal="center" vertical="center"/>
    </xf>
    <xf numFmtId="168" fontId="2" fillId="0" borderId="9" xfId="0" applyNumberFormat="1" applyFont="1" applyBorder="1" applyAlignment="1">
      <alignment horizontal="center" vertical="center"/>
    </xf>
    <xf numFmtId="168" fontId="2" fillId="0" borderId="18" xfId="0" applyNumberFormat="1" applyFont="1" applyBorder="1" applyAlignment="1">
      <alignment horizontal="center" vertical="center"/>
    </xf>
    <xf numFmtId="168" fontId="3" fillId="0" borderId="9" xfId="0" applyNumberFormat="1" applyFont="1" applyBorder="1" applyAlignment="1">
      <alignment horizontal="center" vertical="center"/>
    </xf>
    <xf numFmtId="168" fontId="3" fillId="0" borderId="18" xfId="0" applyNumberFormat="1" applyFont="1" applyBorder="1" applyAlignment="1">
      <alignment horizontal="center" vertical="center"/>
    </xf>
    <xf numFmtId="169" fontId="3" fillId="2" borderId="2" xfId="0" applyNumberFormat="1" applyFont="1" applyFill="1" applyBorder="1" applyAlignment="1">
      <alignment horizontal="center" vertical="center"/>
    </xf>
    <xf numFmtId="0" fontId="6" fillId="3" borderId="2" xfId="0" applyFont="1" applyFill="1" applyBorder="1" applyAlignment="1">
      <alignment horizontal="center" vertical="center" wrapText="1"/>
    </xf>
    <xf numFmtId="0" fontId="47" fillId="0" borderId="0" xfId="0" applyFont="1" applyAlignment="1">
      <alignment horizontal="center" vertical="center" wrapText="1"/>
    </xf>
    <xf numFmtId="0" fontId="47" fillId="0" borderId="1"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1" fontId="6" fillId="3" borderId="7"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168" fontId="6" fillId="3" borderId="8" xfId="0" applyNumberFormat="1" applyFont="1" applyFill="1" applyBorder="1" applyAlignment="1">
      <alignment horizontal="center" vertical="center" wrapText="1"/>
    </xf>
    <xf numFmtId="168" fontId="6" fillId="3" borderId="7" xfId="0" applyNumberFormat="1" applyFont="1" applyFill="1" applyBorder="1" applyAlignment="1">
      <alignment horizontal="center" vertical="center" wrapText="1"/>
    </xf>
    <xf numFmtId="168" fontId="6" fillId="3" borderId="6" xfId="0" applyNumberFormat="1" applyFont="1" applyFill="1" applyBorder="1" applyAlignment="1">
      <alignment horizontal="center" vertical="center" wrapText="1"/>
    </xf>
    <xf numFmtId="168" fontId="6" fillId="3" borderId="4" xfId="0" applyNumberFormat="1" applyFont="1" applyFill="1" applyBorder="1" applyAlignment="1">
      <alignment horizontal="center" vertical="center" wrapText="1"/>
    </xf>
    <xf numFmtId="3" fontId="6" fillId="3" borderId="9" xfId="0" applyNumberFormat="1" applyFont="1" applyFill="1" applyBorder="1" applyAlignment="1">
      <alignment horizontal="center" vertical="center" wrapText="1"/>
    </xf>
    <xf numFmtId="3" fontId="6" fillId="3" borderId="17" xfId="0" applyNumberFormat="1" applyFont="1" applyFill="1" applyBorder="1" applyAlignment="1">
      <alignment horizontal="center" vertical="center" wrapText="1"/>
    </xf>
    <xf numFmtId="166" fontId="6" fillId="3" borderId="2" xfId="0" applyNumberFormat="1" applyFont="1" applyFill="1" applyBorder="1" applyAlignment="1">
      <alignment horizontal="center" vertical="center" wrapText="1"/>
    </xf>
    <xf numFmtId="178" fontId="6" fillId="3" borderId="2" xfId="0" applyNumberFormat="1" applyFont="1" applyFill="1" applyBorder="1" applyAlignment="1">
      <alignment horizontal="center" vertical="center" wrapText="1"/>
    </xf>
    <xf numFmtId="178" fontId="6" fillId="3" borderId="9" xfId="0" applyNumberFormat="1" applyFont="1" applyFill="1" applyBorder="1" applyAlignment="1">
      <alignment horizontal="center" vertical="center" wrapText="1"/>
    </xf>
    <xf numFmtId="178" fontId="6" fillId="3" borderId="18" xfId="0" applyNumberFormat="1" applyFont="1" applyFill="1" applyBorder="1" applyAlignment="1">
      <alignment horizontal="center" vertical="center" wrapText="1"/>
    </xf>
    <xf numFmtId="0" fontId="6" fillId="3" borderId="10" xfId="0" applyFont="1" applyFill="1" applyBorder="1" applyAlignment="1">
      <alignment horizontal="center" vertical="center" textRotation="90" wrapText="1"/>
    </xf>
    <xf numFmtId="0" fontId="6" fillId="3" borderId="12" xfId="0" applyFont="1" applyFill="1" applyBorder="1" applyAlignment="1">
      <alignment horizontal="center" vertical="center" textRotation="90" wrapText="1"/>
    </xf>
    <xf numFmtId="49" fontId="6" fillId="3" borderId="10" xfId="0" applyNumberFormat="1" applyFont="1" applyFill="1" applyBorder="1" applyAlignment="1">
      <alignment horizontal="center" vertical="center" textRotation="90" wrapText="1"/>
    </xf>
    <xf numFmtId="49" fontId="6" fillId="3" borderId="12" xfId="0" applyNumberFormat="1" applyFont="1" applyFill="1" applyBorder="1" applyAlignment="1">
      <alignment horizontal="center" vertical="center" textRotation="90" wrapText="1"/>
    </xf>
    <xf numFmtId="1" fontId="6" fillId="3" borderId="2"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166" fontId="6" fillId="3" borderId="11" xfId="0" applyNumberFormat="1" applyFont="1" applyFill="1" applyBorder="1" applyAlignment="1">
      <alignment horizontal="center" vertical="center" wrapText="1"/>
    </xf>
    <xf numFmtId="166" fontId="6" fillId="3" borderId="12"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3"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6" xfId="0" applyFont="1" applyFill="1" applyBorder="1" applyAlignment="1">
      <alignment horizontal="center" vertical="center" wrapText="1"/>
    </xf>
    <xf numFmtId="165" fontId="6" fillId="3" borderId="2" xfId="0" applyNumberFormat="1"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4" xfId="0" applyFont="1" applyFill="1" applyBorder="1" applyAlignment="1">
      <alignment horizontal="center" vertical="center" wrapText="1"/>
    </xf>
    <xf numFmtId="9" fontId="9" fillId="0" borderId="33" xfId="2" applyFont="1" applyFill="1" applyBorder="1" applyAlignment="1">
      <alignment horizontal="center" vertical="center" wrapText="1"/>
    </xf>
    <xf numFmtId="43" fontId="9" fillId="0" borderId="20" xfId="12" applyFont="1" applyBorder="1" applyAlignment="1">
      <alignment horizontal="right" vertical="center"/>
    </xf>
    <xf numFmtId="3" fontId="9" fillId="0" borderId="33" xfId="0" applyNumberFormat="1" applyFont="1" applyBorder="1" applyAlignment="1">
      <alignment horizontal="justify" vertical="center" wrapText="1"/>
    </xf>
    <xf numFmtId="3" fontId="9" fillId="2" borderId="20" xfId="0" applyNumberFormat="1" applyFont="1" applyFill="1" applyBorder="1" applyAlignment="1">
      <alignment horizontal="left" vertical="center" wrapText="1"/>
    </xf>
    <xf numFmtId="0" fontId="9" fillId="0" borderId="21" xfId="0" applyFont="1" applyBorder="1" applyAlignment="1">
      <alignment horizontal="center" vertical="center" wrapText="1"/>
    </xf>
    <xf numFmtId="0" fontId="9" fillId="0" borderId="27" xfId="0" applyFont="1" applyBorder="1" applyAlignment="1">
      <alignment horizontal="center" vertical="center" wrapText="1"/>
    </xf>
    <xf numFmtId="1" fontId="9" fillId="2" borderId="9" xfId="0" applyNumberFormat="1" applyFont="1" applyFill="1" applyBorder="1" applyAlignment="1">
      <alignment horizontal="justify" vertical="center" wrapText="1"/>
    </xf>
    <xf numFmtId="1" fontId="9" fillId="2" borderId="17" xfId="0" applyNumberFormat="1" applyFont="1" applyFill="1" applyBorder="1" applyAlignment="1">
      <alignment horizontal="justify" vertical="center" wrapText="1"/>
    </xf>
    <xf numFmtId="168" fontId="9" fillId="0" borderId="9" xfId="0" applyNumberFormat="1" applyFont="1" applyBorder="1" applyAlignment="1">
      <alignment horizontal="center" vertical="center"/>
    </xf>
    <xf numFmtId="168" fontId="9" fillId="0" borderId="17" xfId="0" applyNumberFormat="1" applyFont="1" applyBorder="1" applyAlignment="1">
      <alignment horizontal="center" vertical="center"/>
    </xf>
    <xf numFmtId="168" fontId="9" fillId="0" borderId="9" xfId="0" applyNumberFormat="1" applyFont="1" applyFill="1" applyBorder="1" applyAlignment="1">
      <alignment horizontal="center" vertical="center"/>
    </xf>
    <xf numFmtId="168" fontId="9" fillId="0" borderId="17" xfId="0" applyNumberFormat="1" applyFont="1" applyFill="1" applyBorder="1" applyAlignment="1">
      <alignment horizontal="center" vertical="center"/>
    </xf>
    <xf numFmtId="1" fontId="9" fillId="2" borderId="9" xfId="0" applyNumberFormat="1" applyFont="1" applyFill="1" applyBorder="1" applyAlignment="1">
      <alignment horizontal="center" vertical="center" wrapText="1"/>
    </xf>
    <xf numFmtId="1" fontId="9" fillId="2" borderId="17" xfId="0" applyNumberFormat="1" applyFont="1" applyFill="1" applyBorder="1" applyAlignment="1">
      <alignment horizontal="center" vertical="center" wrapText="1"/>
    </xf>
    <xf numFmtId="1" fontId="9" fillId="2" borderId="40" xfId="0" applyNumberFormat="1" applyFont="1" applyFill="1" applyBorder="1" applyAlignment="1">
      <alignment horizontal="center" vertical="center" wrapText="1"/>
    </xf>
    <xf numFmtId="1" fontId="9" fillId="2" borderId="31" xfId="0" applyNumberFormat="1" applyFont="1" applyFill="1" applyBorder="1" applyAlignment="1">
      <alignment horizontal="center" vertical="center" wrapText="1"/>
    </xf>
    <xf numFmtId="180" fontId="9" fillId="2" borderId="9" xfId="6" applyNumberFormat="1" applyFont="1" applyFill="1" applyBorder="1" applyAlignment="1">
      <alignment horizontal="center" vertical="center" wrapText="1"/>
    </xf>
    <xf numFmtId="180" fontId="9" fillId="2" borderId="17" xfId="6" applyNumberFormat="1" applyFont="1" applyFill="1" applyBorder="1" applyAlignment="1">
      <alignment horizontal="center" vertical="center" wrapText="1"/>
    </xf>
    <xf numFmtId="9" fontId="9" fillId="2" borderId="9" xfId="2" applyFont="1" applyFill="1" applyBorder="1" applyAlignment="1">
      <alignment horizontal="center" vertical="center" wrapText="1"/>
    </xf>
    <xf numFmtId="9" fontId="9" fillId="2" borderId="17" xfId="2" applyFont="1" applyFill="1" applyBorder="1" applyAlignment="1">
      <alignment horizontal="center" vertical="center" wrapText="1"/>
    </xf>
    <xf numFmtId="1" fontId="9" fillId="2" borderId="66" xfId="0" applyNumberFormat="1" applyFont="1" applyFill="1" applyBorder="1" applyAlignment="1">
      <alignment horizontal="center" vertical="center" wrapText="1"/>
    </xf>
    <xf numFmtId="3" fontId="9" fillId="0" borderId="20" xfId="0" applyNumberFormat="1" applyFont="1" applyBorder="1" applyAlignment="1">
      <alignment horizontal="justify" vertical="center" wrapText="1"/>
    </xf>
    <xf numFmtId="1" fontId="9" fillId="2" borderId="20" xfId="6" applyNumberFormat="1" applyFont="1" applyFill="1" applyBorder="1" applyAlignment="1">
      <alignment horizontal="center" vertical="center" wrapText="1"/>
    </xf>
    <xf numFmtId="1" fontId="9" fillId="2" borderId="21" xfId="6" applyNumberFormat="1" applyFont="1" applyFill="1" applyBorder="1" applyAlignment="1">
      <alignment horizontal="center" vertical="center" wrapText="1"/>
    </xf>
    <xf numFmtId="1" fontId="9" fillId="2" borderId="27" xfId="6" applyNumberFormat="1" applyFont="1" applyFill="1" applyBorder="1" applyAlignment="1">
      <alignment horizontal="center" vertical="center" wrapText="1"/>
    </xf>
    <xf numFmtId="0" fontId="9" fillId="0" borderId="33" xfId="0" applyFont="1" applyBorder="1" applyAlignment="1">
      <alignment horizontal="center" vertical="center" wrapText="1"/>
    </xf>
    <xf numFmtId="0" fontId="9" fillId="0" borderId="20" xfId="0" applyFont="1" applyFill="1" applyBorder="1" applyAlignment="1">
      <alignment horizontal="justify" vertical="center" wrapText="1"/>
    </xf>
    <xf numFmtId="10" fontId="9" fillId="0" borderId="20" xfId="2" applyNumberFormat="1" applyFont="1" applyFill="1" applyBorder="1" applyAlignment="1">
      <alignment horizontal="center" vertical="center"/>
    </xf>
    <xf numFmtId="43" fontId="9" fillId="0" borderId="20" xfId="12" applyFont="1" applyFill="1" applyBorder="1" applyAlignment="1">
      <alignment horizontal="center" vertical="center"/>
    </xf>
    <xf numFmtId="10" fontId="9" fillId="2" borderId="21" xfId="2" applyNumberFormat="1" applyFont="1" applyFill="1" applyBorder="1" applyAlignment="1">
      <alignment horizontal="center" vertical="center" wrapText="1"/>
    </xf>
    <xf numFmtId="10" fontId="9" fillId="2" borderId="23" xfId="2" applyNumberFormat="1" applyFont="1" applyFill="1" applyBorder="1" applyAlignment="1">
      <alignment horizontal="center" vertical="center" wrapText="1"/>
    </xf>
    <xf numFmtId="10" fontId="9" fillId="2" borderId="27" xfId="2" applyNumberFormat="1" applyFont="1" applyFill="1" applyBorder="1" applyAlignment="1">
      <alignment horizontal="center" vertical="center" wrapText="1"/>
    </xf>
    <xf numFmtId="0" fontId="9" fillId="2" borderId="21" xfId="0" applyFont="1" applyFill="1" applyBorder="1" applyAlignment="1">
      <alignment horizontal="left" vertical="center" wrapText="1"/>
    </xf>
    <xf numFmtId="0" fontId="9" fillId="2" borderId="27" xfId="0" applyFont="1" applyFill="1" applyBorder="1" applyAlignment="1">
      <alignment horizontal="left" vertical="center" wrapText="1"/>
    </xf>
    <xf numFmtId="1" fontId="9" fillId="2" borderId="58" xfId="0" applyNumberFormat="1" applyFont="1" applyFill="1" applyBorder="1" applyAlignment="1">
      <alignment horizontal="center" vertical="center" wrapText="1"/>
    </xf>
    <xf numFmtId="1" fontId="9" fillId="2" borderId="32" xfId="0" applyNumberFormat="1" applyFont="1" applyFill="1" applyBorder="1" applyAlignment="1">
      <alignment horizontal="center" vertical="center" wrapText="1"/>
    </xf>
    <xf numFmtId="1" fontId="9" fillId="2" borderId="40" xfId="0" applyNumberFormat="1" applyFont="1" applyFill="1" applyBorder="1" applyAlignment="1">
      <alignment horizontal="justify" vertical="center" wrapText="1"/>
    </xf>
    <xf numFmtId="1" fontId="9" fillId="2" borderId="31" xfId="0" applyNumberFormat="1" applyFont="1" applyFill="1" applyBorder="1" applyAlignment="1">
      <alignment horizontal="justify" vertical="center" wrapText="1"/>
    </xf>
    <xf numFmtId="1" fontId="9" fillId="2" borderId="40" xfId="6" applyNumberFormat="1" applyFont="1" applyFill="1" applyBorder="1" applyAlignment="1">
      <alignment horizontal="center" vertical="center" wrapText="1"/>
    </xf>
    <xf numFmtId="1" fontId="9" fillId="2" borderId="31" xfId="6" applyNumberFormat="1" applyFont="1" applyFill="1" applyBorder="1" applyAlignment="1">
      <alignment horizontal="center" vertical="center" wrapText="1"/>
    </xf>
    <xf numFmtId="1" fontId="9" fillId="2" borderId="23" xfId="6" applyNumberFormat="1" applyFont="1" applyFill="1" applyBorder="1" applyAlignment="1">
      <alignment horizontal="center" vertical="center" wrapText="1"/>
    </xf>
    <xf numFmtId="1" fontId="9" fillId="0" borderId="21" xfId="6" applyNumberFormat="1" applyFont="1" applyFill="1" applyBorder="1" applyAlignment="1">
      <alignment horizontal="center" vertical="center" wrapText="1"/>
    </xf>
    <xf numFmtId="1" fontId="9" fillId="0" borderId="23" xfId="6" applyNumberFormat="1" applyFont="1" applyFill="1" applyBorder="1" applyAlignment="1">
      <alignment horizontal="center" vertical="center" wrapText="1"/>
    </xf>
    <xf numFmtId="1" fontId="9" fillId="0" borderId="27" xfId="6" applyNumberFormat="1" applyFont="1" applyFill="1" applyBorder="1" applyAlignment="1">
      <alignment horizontal="center" vertical="center" wrapText="1"/>
    </xf>
    <xf numFmtId="1" fontId="9" fillId="2" borderId="48" xfId="0" applyNumberFormat="1" applyFont="1" applyFill="1" applyBorder="1" applyAlignment="1">
      <alignment horizontal="center" vertical="center" wrapText="1"/>
    </xf>
    <xf numFmtId="1" fontId="9" fillId="2" borderId="68" xfId="0" applyNumberFormat="1" applyFont="1" applyFill="1" applyBorder="1" applyAlignment="1">
      <alignment horizontal="center" vertical="center" wrapText="1"/>
    </xf>
    <xf numFmtId="0" fontId="9" fillId="0" borderId="34" xfId="9" applyNumberFormat="1" applyFont="1" applyFill="1" applyBorder="1" applyAlignment="1">
      <alignment horizontal="center" vertical="center" wrapText="1"/>
    </xf>
    <xf numFmtId="0" fontId="9" fillId="2" borderId="23" xfId="0" applyFont="1" applyFill="1" applyBorder="1" applyAlignment="1">
      <alignment horizontal="center" vertical="center" wrapText="1"/>
    </xf>
    <xf numFmtId="1" fontId="9" fillId="2" borderId="33" xfId="6" applyNumberFormat="1" applyFont="1" applyFill="1" applyBorder="1" applyAlignment="1">
      <alignment horizontal="center" vertical="center" wrapText="1"/>
    </xf>
    <xf numFmtId="180" fontId="9" fillId="2" borderId="40" xfId="6" applyNumberFormat="1" applyFont="1" applyFill="1" applyBorder="1" applyAlignment="1">
      <alignment horizontal="center" vertical="center" wrapText="1"/>
    </xf>
    <xf numFmtId="180" fontId="9" fillId="2" borderId="31" xfId="6" applyNumberFormat="1" applyFont="1" applyFill="1" applyBorder="1" applyAlignment="1">
      <alignment horizontal="center" vertical="center" wrapText="1"/>
    </xf>
    <xf numFmtId="180" fontId="9" fillId="2" borderId="9" xfId="2" applyNumberFormat="1" applyFont="1" applyFill="1" applyBorder="1" applyAlignment="1">
      <alignment horizontal="center" vertical="center" wrapText="1"/>
    </xf>
    <xf numFmtId="180" fontId="9" fillId="2" borderId="17" xfId="2"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1" fontId="9" fillId="0" borderId="58" xfId="0" applyNumberFormat="1" applyFont="1" applyBorder="1" applyAlignment="1">
      <alignment horizontal="center" vertical="center" wrapText="1"/>
    </xf>
    <xf numFmtId="1" fontId="9" fillId="0" borderId="32" xfId="0" applyNumberFormat="1" applyFont="1" applyBorder="1" applyAlignment="1">
      <alignment horizontal="center" vertical="center" wrapText="1"/>
    </xf>
    <xf numFmtId="168" fontId="9" fillId="0" borderId="40" xfId="0" applyNumberFormat="1" applyFont="1" applyBorder="1" applyAlignment="1">
      <alignment horizontal="justify" vertical="center" wrapText="1"/>
    </xf>
    <xf numFmtId="168" fontId="9" fillId="0" borderId="31" xfId="0" applyNumberFormat="1" applyFont="1" applyBorder="1" applyAlignment="1">
      <alignment horizontal="justify" vertical="center" wrapText="1"/>
    </xf>
    <xf numFmtId="0" fontId="9" fillId="6" borderId="17" xfId="0" applyFont="1" applyFill="1" applyBorder="1" applyAlignment="1">
      <alignment horizontal="center" vertical="center" wrapText="1"/>
    </xf>
    <xf numFmtId="0" fontId="9" fillId="16" borderId="1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7" xfId="0" applyFont="1" applyFill="1" applyBorder="1" applyAlignment="1">
      <alignment horizontal="center" vertical="center" wrapText="1"/>
    </xf>
    <xf numFmtId="9" fontId="9" fillId="0" borderId="9" xfId="2" applyFont="1" applyFill="1" applyBorder="1" applyAlignment="1">
      <alignment horizontal="center" vertical="center" wrapText="1"/>
    </xf>
    <xf numFmtId="9" fontId="9" fillId="0" borderId="17" xfId="2" applyFont="1" applyFill="1" applyBorder="1" applyAlignment="1">
      <alignment horizontal="center" vertical="center" wrapText="1"/>
    </xf>
    <xf numFmtId="9" fontId="9" fillId="0" borderId="18" xfId="2" applyFont="1" applyFill="1" applyBorder="1" applyAlignment="1">
      <alignment horizontal="center" vertical="center" wrapText="1"/>
    </xf>
    <xf numFmtId="43" fontId="9" fillId="0" borderId="9" xfId="12" applyFont="1" applyBorder="1" applyAlignment="1">
      <alignment horizontal="center" vertical="center"/>
    </xf>
    <xf numFmtId="43" fontId="9" fillId="0" borderId="17" xfId="12" applyFont="1" applyBorder="1" applyAlignment="1">
      <alignment horizontal="center" vertical="center"/>
    </xf>
    <xf numFmtId="43" fontId="9" fillId="0" borderId="18" xfId="12" applyFont="1" applyBorder="1" applyAlignment="1">
      <alignment horizontal="center" vertical="center"/>
    </xf>
    <xf numFmtId="0" fontId="9" fillId="0" borderId="9" xfId="5" applyNumberFormat="1" applyFont="1" applyFill="1" applyBorder="1">
      <alignment horizontal="center" vertical="center" wrapText="1"/>
    </xf>
    <xf numFmtId="0" fontId="9" fillId="0" borderId="17" xfId="5" applyNumberFormat="1" applyFont="1" applyFill="1" applyBorder="1">
      <alignment horizontal="center" vertical="center" wrapText="1"/>
    </xf>
    <xf numFmtId="0" fontId="9" fillId="0" borderId="18" xfId="5" applyNumberFormat="1" applyFont="1" applyFill="1" applyBorder="1">
      <alignment horizontal="center" vertical="center" wrapText="1"/>
    </xf>
    <xf numFmtId="0" fontId="9" fillId="2" borderId="9" xfId="0" applyFont="1" applyFill="1" applyBorder="1" applyAlignment="1">
      <alignment horizontal="justify" vertical="center" wrapText="1"/>
    </xf>
    <xf numFmtId="0" fontId="9" fillId="2" borderId="17" xfId="0" applyFont="1" applyFill="1" applyBorder="1" applyAlignment="1">
      <alignment horizontal="justify" vertical="center" wrapText="1"/>
    </xf>
    <xf numFmtId="0" fontId="9" fillId="2" borderId="18" xfId="0" applyFont="1" applyFill="1" applyBorder="1" applyAlignment="1">
      <alignment horizontal="justify" vertical="center" wrapText="1"/>
    </xf>
    <xf numFmtId="1" fontId="9" fillId="0" borderId="20" xfId="6" applyNumberFormat="1" applyFont="1" applyFill="1" applyBorder="1" applyAlignment="1">
      <alignment horizontal="center" vertical="center" wrapText="1"/>
    </xf>
    <xf numFmtId="10" fontId="9" fillId="2" borderId="20" xfId="2" applyNumberFormat="1" applyFont="1" applyFill="1" applyBorder="1" applyAlignment="1">
      <alignment horizontal="center" vertical="center" wrapText="1"/>
    </xf>
    <xf numFmtId="3" fontId="9" fillId="2" borderId="20" xfId="0" applyNumberFormat="1" applyFont="1" applyFill="1" applyBorder="1" applyAlignment="1">
      <alignment horizontal="justify" vertical="center" wrapText="1"/>
    </xf>
    <xf numFmtId="1" fontId="9" fillId="0" borderId="9" xfId="0" applyNumberFormat="1" applyFont="1" applyFill="1" applyBorder="1" applyAlignment="1">
      <alignment horizontal="center" vertical="center" wrapText="1"/>
    </xf>
    <xf numFmtId="1" fontId="9" fillId="0" borderId="17" xfId="0" applyNumberFormat="1" applyFont="1" applyFill="1" applyBorder="1" applyAlignment="1">
      <alignment horizontal="center" vertical="center" wrapText="1"/>
    </xf>
    <xf numFmtId="3" fontId="9" fillId="0" borderId="9" xfId="0" applyNumberFormat="1" applyFont="1" applyBorder="1" applyAlignment="1">
      <alignment horizontal="justify" vertical="center" wrapText="1"/>
    </xf>
    <xf numFmtId="3" fontId="9" fillId="0" borderId="17" xfId="0" applyNumberFormat="1" applyFont="1" applyBorder="1" applyAlignment="1">
      <alignment horizontal="justify" vertical="center" wrapText="1"/>
    </xf>
    <xf numFmtId="3" fontId="9" fillId="2" borderId="17" xfId="0" applyNumberFormat="1" applyFont="1" applyFill="1" applyBorder="1" applyAlignment="1">
      <alignment horizontal="justify" vertical="center" wrapText="1"/>
    </xf>
    <xf numFmtId="3" fontId="9" fillId="2" borderId="16" xfId="0" applyNumberFormat="1" applyFont="1" applyFill="1" applyBorder="1" applyAlignment="1">
      <alignment horizontal="justify" vertical="center" wrapText="1"/>
    </xf>
    <xf numFmtId="3" fontId="9" fillId="0" borderId="16" xfId="0" applyNumberFormat="1" applyFont="1" applyBorder="1" applyAlignment="1">
      <alignment horizontal="justify" vertical="center" wrapText="1"/>
    </xf>
    <xf numFmtId="0" fontId="9" fillId="2" borderId="6" xfId="0" applyFont="1" applyFill="1" applyBorder="1" applyAlignment="1">
      <alignment horizontal="justify" vertical="center" wrapText="1"/>
    </xf>
    <xf numFmtId="1" fontId="9" fillId="0" borderId="40" xfId="0" applyNumberFormat="1" applyFont="1" applyFill="1" applyBorder="1" applyAlignment="1">
      <alignment horizontal="center" vertical="center" wrapText="1"/>
    </xf>
    <xf numFmtId="1" fontId="9" fillId="0" borderId="31" xfId="0" applyNumberFormat="1" applyFont="1" applyFill="1" applyBorder="1" applyAlignment="1">
      <alignment horizontal="center" vertical="center" wrapText="1"/>
    </xf>
    <xf numFmtId="0" fontId="9" fillId="2" borderId="8"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9" fillId="2" borderId="28" xfId="0" applyFont="1" applyFill="1" applyBorder="1" applyAlignment="1">
      <alignment horizontal="justify" vertical="center" wrapText="1"/>
    </xf>
    <xf numFmtId="0" fontId="9" fillId="2" borderId="35" xfId="0" applyFont="1" applyFill="1" applyBorder="1" applyAlignment="1">
      <alignment horizontal="justify" vertical="center" wrapText="1"/>
    </xf>
    <xf numFmtId="0" fontId="9" fillId="2" borderId="33" xfId="0" applyFont="1" applyFill="1" applyBorder="1" applyAlignment="1">
      <alignment horizontal="justify" vertical="center" wrapText="1"/>
    </xf>
    <xf numFmtId="180" fontId="9" fillId="2" borderId="9" xfId="0" applyNumberFormat="1" applyFont="1" applyFill="1" applyBorder="1" applyAlignment="1">
      <alignment horizontal="center" vertical="center" wrapText="1"/>
    </xf>
    <xf numFmtId="180" fontId="9" fillId="2" borderId="17" xfId="0" applyNumberFormat="1" applyFont="1" applyFill="1" applyBorder="1" applyAlignment="1">
      <alignment horizontal="center" vertical="center" wrapText="1"/>
    </xf>
    <xf numFmtId="0" fontId="9" fillId="2" borderId="2" xfId="0" applyFont="1" applyFill="1" applyBorder="1" applyAlignment="1">
      <alignment horizontal="justify" vertical="center" wrapText="1"/>
    </xf>
    <xf numFmtId="0" fontId="9" fillId="0" borderId="16" xfId="0" applyFont="1" applyBorder="1" applyAlignment="1">
      <alignment horizontal="center"/>
    </xf>
    <xf numFmtId="0" fontId="9" fillId="0" borderId="0" xfId="0" applyFont="1" applyAlignment="1">
      <alignment horizontal="center"/>
    </xf>
    <xf numFmtId="0" fontId="9" fillId="0" borderId="1" xfId="0" applyFont="1" applyBorder="1" applyAlignment="1">
      <alignment horizontal="center"/>
    </xf>
    <xf numFmtId="0" fontId="9" fillId="0" borderId="20" xfId="0" applyFont="1" applyFill="1" applyBorder="1" applyAlignment="1">
      <alignment horizontal="center" vertical="center" wrapText="1"/>
    </xf>
    <xf numFmtId="10" fontId="9" fillId="0" borderId="27" xfId="2" applyNumberFormat="1" applyFont="1" applyFill="1" applyBorder="1" applyAlignment="1">
      <alignment horizontal="center" vertical="center" wrapText="1"/>
    </xf>
    <xf numFmtId="10" fontId="9" fillId="0" borderId="20" xfId="2" applyNumberFormat="1" applyFont="1" applyFill="1" applyBorder="1" applyAlignment="1">
      <alignment horizontal="center" vertical="center" wrapText="1"/>
    </xf>
    <xf numFmtId="10" fontId="9" fillId="0" borderId="21" xfId="2" applyNumberFormat="1" applyFont="1" applyFill="1" applyBorder="1" applyAlignment="1">
      <alignment horizontal="center" vertical="center" wrapText="1"/>
    </xf>
    <xf numFmtId="43" fontId="9" fillId="0" borderId="27" xfId="12" applyFont="1" applyBorder="1" applyAlignment="1">
      <alignment horizontal="center" vertical="center"/>
    </xf>
    <xf numFmtId="43" fontId="9" fillId="0" borderId="20" xfId="12" applyFont="1" applyBorder="1" applyAlignment="1">
      <alignment horizontal="center" vertical="center"/>
    </xf>
    <xf numFmtId="43" fontId="9" fillId="0" borderId="21" xfId="12" applyFont="1" applyBorder="1" applyAlignment="1">
      <alignment horizontal="center" vertical="center"/>
    </xf>
    <xf numFmtId="3" fontId="9" fillId="0" borderId="27" xfId="0" applyNumberFormat="1" applyFont="1" applyBorder="1" applyAlignment="1">
      <alignment horizontal="justify" vertical="center" wrapText="1"/>
    </xf>
    <xf numFmtId="3" fontId="9" fillId="0" borderId="21" xfId="0" applyNumberFormat="1" applyFont="1" applyBorder="1" applyAlignment="1">
      <alignment horizontal="justify" vertical="center" wrapText="1"/>
    </xf>
    <xf numFmtId="0" fontId="9" fillId="2" borderId="21" xfId="0" applyFont="1" applyFill="1" applyBorder="1" applyAlignment="1">
      <alignment horizontal="justify" vertical="center" wrapText="1"/>
    </xf>
    <xf numFmtId="1" fontId="6" fillId="2" borderId="0" xfId="0" applyNumberFormat="1" applyFont="1" applyFill="1" applyAlignment="1">
      <alignment horizontal="center" vertical="center" wrapText="1"/>
    </xf>
    <xf numFmtId="1" fontId="6" fillId="2" borderId="1" xfId="0" applyNumberFormat="1" applyFont="1" applyFill="1" applyBorder="1" applyAlignment="1">
      <alignment horizontal="center" vertical="center" wrapText="1"/>
    </xf>
    <xf numFmtId="0" fontId="9" fillId="0" borderId="45" xfId="0" applyFont="1" applyBorder="1" applyAlignment="1">
      <alignment horizontal="center" vertical="center" wrapText="1"/>
    </xf>
    <xf numFmtId="1" fontId="9" fillId="0" borderId="23" xfId="0" applyNumberFormat="1" applyFont="1" applyFill="1" applyBorder="1" applyAlignment="1">
      <alignment horizontal="center" vertical="center" wrapText="1"/>
    </xf>
    <xf numFmtId="168" fontId="9" fillId="0" borderId="23" xfId="0" applyNumberFormat="1" applyFont="1" applyBorder="1" applyAlignment="1">
      <alignment horizontal="center" vertical="center"/>
    </xf>
    <xf numFmtId="43" fontId="9" fillId="0" borderId="24" xfId="12" applyFont="1" applyFill="1" applyBorder="1" applyAlignment="1">
      <alignment horizontal="center" vertical="center"/>
    </xf>
    <xf numFmtId="43" fontId="9" fillId="0" borderId="23" xfId="12" applyFont="1" applyFill="1" applyBorder="1" applyAlignment="1">
      <alignment horizontal="center" vertical="center"/>
    </xf>
    <xf numFmtId="43" fontId="9" fillId="0" borderId="27" xfId="12" applyFont="1" applyFill="1" applyBorder="1" applyAlignment="1">
      <alignment horizontal="center" vertical="center"/>
    </xf>
    <xf numFmtId="168" fontId="9" fillId="0" borderId="27" xfId="0" applyNumberFormat="1" applyFont="1" applyBorder="1" applyAlignment="1">
      <alignment horizontal="center" vertical="center"/>
    </xf>
    <xf numFmtId="168" fontId="9" fillId="0" borderId="20" xfId="0" applyNumberFormat="1" applyFont="1" applyBorder="1" applyAlignment="1">
      <alignment horizontal="center" vertical="center"/>
    </xf>
    <xf numFmtId="168" fontId="9" fillId="0" borderId="21" xfId="0" applyNumberFormat="1" applyFont="1" applyBorder="1" applyAlignment="1">
      <alignment horizontal="center" vertical="center"/>
    </xf>
    <xf numFmtId="1" fontId="9" fillId="2" borderId="36" xfId="0" applyNumberFormat="1" applyFont="1" applyFill="1" applyBorder="1" applyAlignment="1">
      <alignment horizontal="center" vertical="center" wrapText="1"/>
    </xf>
    <xf numFmtId="0" fontId="9" fillId="0" borderId="42" xfId="0" applyFont="1" applyFill="1" applyBorder="1" applyAlignment="1">
      <alignment horizontal="justify" vertical="center" wrapText="1"/>
    </xf>
    <xf numFmtId="1" fontId="9" fillId="2" borderId="44" xfId="6" applyNumberFormat="1" applyFont="1" applyFill="1" applyBorder="1" applyAlignment="1">
      <alignment horizontal="center" vertical="center" wrapText="1"/>
    </xf>
    <xf numFmtId="180" fontId="9" fillId="2" borderId="18" xfId="6" applyNumberFormat="1" applyFont="1" applyFill="1" applyBorder="1" applyAlignment="1">
      <alignment horizontal="center" vertical="center" wrapText="1"/>
    </xf>
    <xf numFmtId="9" fontId="9" fillId="2" borderId="18" xfId="2" applyFont="1" applyFill="1" applyBorder="1" applyAlignment="1">
      <alignment horizontal="center" vertical="center" wrapText="1"/>
    </xf>
    <xf numFmtId="1" fontId="9" fillId="2" borderId="35" xfId="0" applyNumberFormat="1" applyFont="1" applyFill="1" applyBorder="1" applyAlignment="1">
      <alignment horizontal="center" vertical="center" wrapText="1"/>
    </xf>
    <xf numFmtId="168" fontId="9" fillId="0" borderId="30" xfId="0" applyNumberFormat="1" applyFont="1" applyBorder="1" applyAlignment="1">
      <alignment horizontal="justify" vertical="center" wrapText="1"/>
    </xf>
    <xf numFmtId="168" fontId="9" fillId="0" borderId="34" xfId="0" applyNumberFormat="1" applyFont="1" applyBorder="1" applyAlignment="1">
      <alignment horizontal="justify" vertical="center" wrapText="1"/>
    </xf>
    <xf numFmtId="168" fontId="9" fillId="0" borderId="45" xfId="0" applyNumberFormat="1" applyFont="1" applyBorder="1" applyAlignment="1">
      <alignment horizontal="justify" vertical="center" wrapText="1"/>
    </xf>
    <xf numFmtId="1" fontId="9" fillId="0" borderId="20" xfId="0" applyNumberFormat="1" applyFont="1" applyFill="1" applyBorder="1" applyAlignment="1">
      <alignment horizontal="center" vertical="center" wrapText="1"/>
    </xf>
    <xf numFmtId="1" fontId="9" fillId="0" borderId="21" xfId="0" applyNumberFormat="1" applyFont="1" applyFill="1" applyBorder="1" applyAlignment="1">
      <alignment horizontal="center" vertical="center" wrapText="1"/>
    </xf>
    <xf numFmtId="1" fontId="9" fillId="0" borderId="27" xfId="0" applyNumberFormat="1" applyFont="1" applyFill="1" applyBorder="1" applyAlignment="1">
      <alignment horizontal="center" vertical="center" wrapText="1"/>
    </xf>
    <xf numFmtId="9" fontId="9" fillId="0" borderId="27" xfId="2" applyFont="1" applyFill="1" applyBorder="1" applyAlignment="1">
      <alignment horizontal="center" vertical="center" wrapText="1"/>
    </xf>
    <xf numFmtId="9" fontId="9" fillId="0" borderId="20" xfId="2" applyFont="1" applyFill="1" applyBorder="1" applyAlignment="1">
      <alignment horizontal="center" vertical="center" wrapText="1"/>
    </xf>
    <xf numFmtId="1" fontId="9" fillId="2" borderId="41" xfId="0" applyNumberFormat="1" applyFont="1" applyFill="1" applyBorder="1" applyAlignment="1">
      <alignment horizontal="center" vertical="center" wrapText="1"/>
    </xf>
    <xf numFmtId="0" fontId="9" fillId="2" borderId="20"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37" xfId="0" applyFont="1" applyFill="1" applyBorder="1" applyAlignment="1">
      <alignment horizontal="left" vertical="center" wrapText="1"/>
    </xf>
    <xf numFmtId="0" fontId="9" fillId="2" borderId="68" xfId="0" applyFont="1" applyFill="1" applyBorder="1" applyAlignment="1">
      <alignment horizontal="left" vertical="center" wrapText="1"/>
    </xf>
    <xf numFmtId="0" fontId="9" fillId="2" borderId="41" xfId="0" applyFont="1" applyFill="1" applyBorder="1" applyAlignment="1">
      <alignment horizontal="left" vertical="center" wrapText="1"/>
    </xf>
    <xf numFmtId="0" fontId="9" fillId="9" borderId="9"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9" fillId="9" borderId="18" xfId="0" applyFont="1" applyFill="1" applyBorder="1" applyAlignment="1">
      <alignment horizontal="center" vertical="center" wrapText="1"/>
    </xf>
    <xf numFmtId="1" fontId="9" fillId="2" borderId="18" xfId="0" applyNumberFormat="1" applyFont="1" applyFill="1" applyBorder="1" applyAlignment="1">
      <alignment horizontal="justify" vertical="center" wrapText="1"/>
    </xf>
    <xf numFmtId="168" fontId="9" fillId="0" borderId="34" xfId="0" applyNumberFormat="1" applyFont="1" applyBorder="1" applyAlignment="1">
      <alignment horizontal="center" vertical="center"/>
    </xf>
    <xf numFmtId="168" fontId="9" fillId="0" borderId="25" xfId="0" applyNumberFormat="1" applyFont="1" applyBorder="1" applyAlignment="1">
      <alignment horizontal="center" vertical="center"/>
    </xf>
    <xf numFmtId="1" fontId="9" fillId="0" borderId="2" xfId="0" applyNumberFormat="1" applyFont="1" applyBorder="1" applyAlignment="1">
      <alignment horizontal="center" vertical="center" wrapText="1"/>
    </xf>
    <xf numFmtId="0" fontId="9" fillId="2" borderId="21"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0" xfId="0" applyFont="1" applyFill="1" applyBorder="1" applyAlignment="1">
      <alignment horizontal="center" vertical="center"/>
    </xf>
    <xf numFmtId="0" fontId="9" fillId="0" borderId="5" xfId="0" applyFont="1" applyBorder="1" applyAlignment="1">
      <alignment horizontal="center"/>
    </xf>
    <xf numFmtId="0" fontId="9" fillId="0" borderId="7"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10" fontId="9" fillId="2" borderId="9" xfId="2" applyNumberFormat="1" applyFont="1" applyFill="1" applyBorder="1" applyAlignment="1">
      <alignment horizontal="center" vertical="center" wrapText="1"/>
    </xf>
    <xf numFmtId="10" fontId="9" fillId="2" borderId="18" xfId="2" applyNumberFormat="1" applyFont="1" applyFill="1" applyBorder="1" applyAlignment="1">
      <alignment horizontal="center" vertical="center" wrapText="1"/>
    </xf>
    <xf numFmtId="43" fontId="9" fillId="0" borderId="9" xfId="12" applyFont="1" applyFill="1" applyBorder="1" applyAlignment="1">
      <alignment horizontal="center" vertical="center"/>
    </xf>
    <xf numFmtId="43" fontId="9" fillId="0" borderId="18" xfId="12" applyFont="1" applyFill="1" applyBorder="1" applyAlignment="1">
      <alignment horizontal="center" vertical="center"/>
    </xf>
    <xf numFmtId="3" fontId="9" fillId="2" borderId="2" xfId="0" applyNumberFormat="1" applyFont="1" applyFill="1" applyBorder="1" applyAlignment="1">
      <alignment horizontal="justify" vertical="center" wrapText="1"/>
    </xf>
    <xf numFmtId="3" fontId="9" fillId="2" borderId="18" xfId="0" applyNumberFormat="1" applyFont="1" applyFill="1" applyBorder="1" applyAlignment="1">
      <alignment horizontal="justify" vertical="center" wrapText="1"/>
    </xf>
    <xf numFmtId="1" fontId="9" fillId="2" borderId="28" xfId="0" applyNumberFormat="1" applyFont="1" applyFill="1" applyBorder="1" applyAlignment="1">
      <alignment horizontal="center" vertical="center" wrapText="1"/>
    </xf>
    <xf numFmtId="1" fontId="9" fillId="2" borderId="59" xfId="0" applyNumberFormat="1" applyFont="1" applyFill="1" applyBorder="1" applyAlignment="1">
      <alignment horizontal="center" vertical="center" wrapText="1"/>
    </xf>
    <xf numFmtId="1" fontId="9" fillId="2" borderId="24" xfId="0" applyNumberFormat="1" applyFont="1" applyFill="1" applyBorder="1" applyAlignment="1">
      <alignment horizontal="justify" vertical="center" wrapText="1"/>
    </xf>
    <xf numFmtId="168" fontId="9" fillId="0" borderId="24" xfId="0" applyNumberFormat="1" applyFont="1" applyBorder="1" applyAlignment="1">
      <alignment horizontal="center" vertical="center"/>
    </xf>
    <xf numFmtId="1" fontId="9" fillId="0" borderId="27" xfId="0" applyNumberFormat="1" applyFont="1" applyBorder="1" applyAlignment="1">
      <alignment horizontal="center" vertical="center"/>
    </xf>
    <xf numFmtId="1" fontId="9" fillId="2" borderId="9" xfId="6" applyNumberFormat="1" applyFont="1" applyFill="1" applyBorder="1" applyAlignment="1">
      <alignment horizontal="center" vertical="center" wrapText="1"/>
    </xf>
    <xf numFmtId="1" fontId="9" fillId="2" borderId="18" xfId="6" applyNumberFormat="1" applyFont="1" applyFill="1" applyBorder="1" applyAlignment="1">
      <alignment horizontal="center" vertical="center" wrapText="1"/>
    </xf>
    <xf numFmtId="1" fontId="9" fillId="2" borderId="7" xfId="6" applyNumberFormat="1" applyFont="1" applyFill="1" applyBorder="1" applyAlignment="1">
      <alignment horizontal="center" vertical="center" wrapText="1"/>
    </xf>
    <xf numFmtId="1" fontId="9" fillId="2" borderId="4" xfId="6" applyNumberFormat="1" applyFont="1" applyFill="1" applyBorder="1" applyAlignment="1">
      <alignment horizontal="center" vertical="center" wrapText="1"/>
    </xf>
    <xf numFmtId="1" fontId="9" fillId="2" borderId="40" xfId="6" applyNumberFormat="1" applyFont="1" applyFill="1" applyBorder="1" applyAlignment="1">
      <alignment horizontal="justify" vertical="center" wrapText="1"/>
    </xf>
    <xf numFmtId="1" fontId="9" fillId="2" borderId="41" xfId="6" applyNumberFormat="1" applyFont="1" applyFill="1" applyBorder="1" applyAlignment="1">
      <alignment horizontal="justify" vertical="center" wrapText="1"/>
    </xf>
    <xf numFmtId="168" fontId="9" fillId="0" borderId="18" xfId="0" applyNumberFormat="1" applyFont="1" applyBorder="1" applyAlignment="1">
      <alignment horizontal="center" vertical="center"/>
    </xf>
    <xf numFmtId="1" fontId="9" fillId="2" borderId="17" xfId="6" applyNumberFormat="1" applyFont="1" applyFill="1" applyBorder="1" applyAlignment="1">
      <alignment horizontal="center" vertical="center" wrapText="1"/>
    </xf>
    <xf numFmtId="3" fontId="9" fillId="0" borderId="2" xfId="0" applyNumberFormat="1" applyFont="1" applyBorder="1" applyAlignment="1">
      <alignment horizontal="justify" vertical="center" wrapText="1"/>
    </xf>
    <xf numFmtId="3" fontId="9" fillId="0" borderId="1" xfId="0" applyNumberFormat="1" applyFont="1" applyBorder="1" applyAlignment="1">
      <alignment horizontal="justify" vertical="center" wrapText="1"/>
    </xf>
    <xf numFmtId="0" fontId="9" fillId="2" borderId="2" xfId="0" applyFont="1" applyFill="1" applyBorder="1" applyAlignment="1">
      <alignment horizontal="left" vertical="center" wrapText="1"/>
    </xf>
    <xf numFmtId="1" fontId="9" fillId="2" borderId="2" xfId="6" applyNumberFormat="1" applyFont="1" applyFill="1" applyBorder="1" applyAlignment="1">
      <alignment horizontal="center" vertical="center" wrapText="1"/>
    </xf>
    <xf numFmtId="1" fontId="9" fillId="2" borderId="37" xfId="6"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8" xfId="0" applyFont="1" applyBorder="1" applyAlignment="1">
      <alignment horizontal="justify" vertical="center" wrapText="1"/>
    </xf>
    <xf numFmtId="0" fontId="9" fillId="0" borderId="16" xfId="0" applyFont="1" applyBorder="1" applyAlignment="1">
      <alignment horizontal="justify" vertical="center" wrapText="1"/>
    </xf>
    <xf numFmtId="0" fontId="9" fillId="0" borderId="6" xfId="0" applyFont="1" applyBorder="1" applyAlignment="1">
      <alignment horizontal="justify" vertical="center" wrapText="1"/>
    </xf>
    <xf numFmtId="10" fontId="9" fillId="0" borderId="23" xfId="2" applyNumberFormat="1" applyFont="1" applyFill="1" applyBorder="1" applyAlignment="1">
      <alignment horizontal="center" vertical="center" wrapText="1"/>
    </xf>
    <xf numFmtId="0" fontId="9" fillId="0" borderId="37" xfId="0" applyFont="1" applyBorder="1" applyAlignment="1">
      <alignment horizontal="center" vertical="center" wrapText="1"/>
    </xf>
    <xf numFmtId="1" fontId="9" fillId="2" borderId="36" xfId="6" applyNumberFormat="1" applyFont="1" applyFill="1" applyBorder="1" applyAlignment="1">
      <alignment horizontal="center" vertical="center" wrapText="1"/>
    </xf>
    <xf numFmtId="0" fontId="9" fillId="0" borderId="28" xfId="0" applyFont="1" applyFill="1" applyBorder="1" applyAlignment="1">
      <alignment horizontal="left" vertical="center" wrapText="1"/>
    </xf>
    <xf numFmtId="0" fontId="9" fillId="0" borderId="35" xfId="0" applyFont="1" applyFill="1" applyBorder="1" applyAlignment="1">
      <alignment horizontal="left" vertical="center" wrapText="1"/>
    </xf>
    <xf numFmtId="1" fontId="9" fillId="2" borderId="8" xfId="0" applyNumberFormat="1" applyFont="1" applyFill="1" applyBorder="1" applyAlignment="1">
      <alignment horizontal="center" vertical="center" wrapText="1"/>
    </xf>
    <xf numFmtId="1" fontId="9" fillId="2" borderId="16" xfId="0" applyNumberFormat="1" applyFont="1" applyFill="1" applyBorder="1" applyAlignment="1">
      <alignment horizontal="center" vertical="center" wrapText="1"/>
    </xf>
    <xf numFmtId="1" fontId="9" fillId="2" borderId="6" xfId="0" applyNumberFormat="1" applyFont="1" applyFill="1" applyBorder="1" applyAlignment="1">
      <alignment horizontal="center" vertical="center" wrapText="1"/>
    </xf>
    <xf numFmtId="1" fontId="9" fillId="2" borderId="24" xfId="0" applyNumberFormat="1" applyFont="1" applyFill="1" applyBorder="1" applyAlignment="1">
      <alignment horizontal="center" vertical="center" wrapText="1"/>
    </xf>
    <xf numFmtId="1" fontId="9" fillId="2" borderId="25" xfId="0" applyNumberFormat="1" applyFont="1" applyFill="1" applyBorder="1" applyAlignment="1">
      <alignment horizontal="center" vertical="center" wrapText="1"/>
    </xf>
    <xf numFmtId="1" fontId="9" fillId="2" borderId="41" xfId="6" applyNumberFormat="1" applyFont="1" applyFill="1" applyBorder="1" applyAlignment="1">
      <alignment horizontal="center" vertical="center" wrapText="1"/>
    </xf>
    <xf numFmtId="1" fontId="9" fillId="2" borderId="38" xfId="0" applyNumberFormat="1" applyFont="1" applyFill="1" applyBorder="1" applyAlignment="1">
      <alignment horizontal="center" vertical="center" wrapText="1"/>
    </xf>
    <xf numFmtId="1" fontId="9" fillId="2" borderId="44" xfId="0" applyNumberFormat="1" applyFont="1" applyFill="1" applyBorder="1" applyAlignment="1">
      <alignment horizontal="center" vertical="center" wrapText="1"/>
    </xf>
    <xf numFmtId="1" fontId="9" fillId="2" borderId="39" xfId="0" applyNumberFormat="1" applyFont="1" applyFill="1" applyBorder="1" applyAlignment="1">
      <alignment horizontal="center" vertical="center" wrapText="1"/>
    </xf>
    <xf numFmtId="0" fontId="9" fillId="0" borderId="9"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1" fontId="9" fillId="2" borderId="18" xfId="0" applyNumberFormat="1" applyFont="1" applyFill="1" applyBorder="1" applyAlignment="1">
      <alignment horizontal="center" vertical="center" wrapText="1"/>
    </xf>
    <xf numFmtId="0" fontId="9" fillId="0" borderId="7"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180" fontId="9" fillId="0" borderId="9" xfId="0" applyNumberFormat="1" applyFont="1" applyBorder="1" applyAlignment="1">
      <alignment horizontal="center" vertical="center"/>
    </xf>
    <xf numFmtId="180" fontId="9" fillId="0" borderId="17" xfId="0" applyNumberFormat="1" applyFont="1" applyBorder="1" applyAlignment="1">
      <alignment horizontal="center" vertical="center"/>
    </xf>
    <xf numFmtId="180" fontId="9" fillId="0" borderId="18" xfId="0" applyNumberFormat="1" applyFont="1" applyBorder="1" applyAlignment="1">
      <alignment horizontal="center" vertical="center"/>
    </xf>
    <xf numFmtId="9" fontId="9" fillId="0" borderId="9" xfId="2" applyFont="1" applyBorder="1" applyAlignment="1">
      <alignment horizontal="center" vertical="center"/>
    </xf>
    <xf numFmtId="9" fontId="9" fillId="0" borderId="17" xfId="2" applyFont="1" applyBorder="1" applyAlignment="1">
      <alignment horizontal="center" vertical="center"/>
    </xf>
    <xf numFmtId="9" fontId="9" fillId="0" borderId="18" xfId="2" applyFont="1" applyBorder="1" applyAlignment="1">
      <alignment horizontal="center" vertical="center"/>
    </xf>
    <xf numFmtId="0" fontId="9" fillId="0" borderId="40" xfId="0" applyFont="1" applyBorder="1" applyAlignment="1">
      <alignment horizontal="justify" vertical="center" wrapText="1"/>
    </xf>
    <xf numFmtId="0" fontId="9" fillId="0" borderId="31" xfId="0" applyFont="1" applyBorder="1" applyAlignment="1">
      <alignment horizontal="justify" vertical="center" wrapText="1"/>
    </xf>
    <xf numFmtId="0" fontId="9" fillId="0" borderId="41" xfId="0" applyFont="1" applyBorder="1" applyAlignment="1">
      <alignment horizontal="justify" vertical="center" wrapText="1"/>
    </xf>
    <xf numFmtId="1" fontId="9" fillId="0" borderId="9" xfId="0" applyNumberFormat="1" applyFont="1" applyBorder="1" applyAlignment="1">
      <alignment horizontal="center" vertical="center" wrapText="1"/>
    </xf>
    <xf numFmtId="1" fontId="9" fillId="0" borderId="17" xfId="0" applyNumberFormat="1" applyFont="1" applyBorder="1" applyAlignment="1">
      <alignment horizontal="center" vertical="center" wrapText="1"/>
    </xf>
    <xf numFmtId="1" fontId="9" fillId="0" borderId="18" xfId="0" applyNumberFormat="1" applyFont="1" applyBorder="1" applyAlignment="1">
      <alignment horizontal="center" vertical="center" wrapText="1"/>
    </xf>
    <xf numFmtId="0" fontId="9" fillId="0" borderId="18" xfId="0" applyFont="1" applyFill="1" applyBorder="1" applyAlignment="1">
      <alignment horizontal="center" vertical="center" wrapText="1"/>
    </xf>
    <xf numFmtId="9" fontId="9" fillId="0" borderId="9" xfId="2" applyFont="1" applyFill="1" applyBorder="1" applyAlignment="1">
      <alignment horizontal="center" vertical="center"/>
    </xf>
    <xf numFmtId="9" fontId="9" fillId="0" borderId="17" xfId="2" applyFont="1" applyFill="1" applyBorder="1" applyAlignment="1">
      <alignment horizontal="center" vertical="center"/>
    </xf>
    <xf numFmtId="9" fontId="9" fillId="0" borderId="18" xfId="2" applyFont="1" applyFill="1" applyBorder="1" applyAlignment="1">
      <alignment horizontal="center" vertical="center"/>
    </xf>
    <xf numFmtId="1" fontId="9" fillId="0" borderId="9" xfId="0" applyNumberFormat="1" applyFont="1" applyBorder="1" applyAlignment="1">
      <alignment horizontal="center" vertical="center"/>
    </xf>
    <xf numFmtId="1" fontId="9" fillId="0" borderId="16" xfId="0" applyNumberFormat="1" applyFont="1" applyBorder="1" applyAlignment="1">
      <alignment horizontal="center"/>
    </xf>
    <xf numFmtId="0" fontId="9" fillId="0" borderId="6" xfId="0" applyFont="1" applyBorder="1" applyAlignment="1">
      <alignment horizontal="center"/>
    </xf>
    <xf numFmtId="9" fontId="9" fillId="0" borderId="9" xfId="2" applyFont="1" applyBorder="1" applyAlignment="1">
      <alignment horizontal="center" vertical="center" wrapText="1"/>
    </xf>
    <xf numFmtId="9" fontId="9" fillId="0" borderId="17" xfId="2" applyFont="1" applyBorder="1" applyAlignment="1">
      <alignment horizontal="center" vertical="center" wrapText="1"/>
    </xf>
    <xf numFmtId="9" fontId="9" fillId="0" borderId="18" xfId="2" applyFont="1" applyBorder="1" applyAlignment="1">
      <alignment horizontal="center" vertical="center" wrapText="1"/>
    </xf>
    <xf numFmtId="1" fontId="9" fillId="2" borderId="37"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2" borderId="33" xfId="0" applyFont="1" applyFill="1" applyBorder="1" applyAlignment="1">
      <alignment horizontal="left" vertical="center" wrapText="1"/>
    </xf>
    <xf numFmtId="0" fontId="9" fillId="0" borderId="8" xfId="5" applyNumberFormat="1" applyFont="1" applyFill="1" applyBorder="1">
      <alignment horizontal="center" vertical="center" wrapText="1"/>
    </xf>
    <xf numFmtId="0" fontId="9" fillId="0" borderId="16" xfId="5" applyNumberFormat="1" applyFont="1" applyFill="1" applyBorder="1">
      <alignment horizontal="center" vertical="center" wrapText="1"/>
    </xf>
    <xf numFmtId="0" fontId="9" fillId="0" borderId="6" xfId="5" applyNumberFormat="1" applyFont="1" applyFill="1" applyBorder="1">
      <alignment horizontal="center" vertical="center" wrapText="1"/>
    </xf>
    <xf numFmtId="0" fontId="9" fillId="0" borderId="29" xfId="0" applyFont="1" applyBorder="1" applyAlignment="1">
      <alignment horizontal="center" vertical="center" wrapText="1"/>
    </xf>
    <xf numFmtId="0" fontId="9" fillId="0" borderId="42" xfId="0" applyFont="1" applyBorder="1" applyAlignment="1">
      <alignment horizontal="center" vertical="center" wrapText="1"/>
    </xf>
    <xf numFmtId="9" fontId="9" fillId="0" borderId="28" xfId="2" applyFont="1" applyBorder="1" applyAlignment="1">
      <alignment horizontal="center" vertical="center" wrapText="1"/>
    </xf>
    <xf numFmtId="9" fontId="9" fillId="0" borderId="32" xfId="2" applyFont="1" applyBorder="1" applyAlignment="1">
      <alignment horizontal="center" vertical="center" wrapText="1"/>
    </xf>
    <xf numFmtId="9" fontId="9" fillId="0" borderId="35" xfId="2"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0" xfId="0" applyFont="1" applyFill="1" applyAlignment="1">
      <alignment horizontal="center" wrapText="1"/>
    </xf>
    <xf numFmtId="0" fontId="3" fillId="0" borderId="16" xfId="0"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0" fontId="9" fillId="2" borderId="9" xfId="9" applyNumberFormat="1" applyFont="1" applyFill="1" applyBorder="1" applyAlignment="1">
      <alignment horizontal="center" vertical="center" wrapText="1"/>
    </xf>
    <xf numFmtId="0" fontId="9" fillId="2" borderId="17" xfId="9" applyNumberFormat="1" applyFont="1" applyFill="1" applyBorder="1" applyAlignment="1">
      <alignment horizontal="center" vertical="center" wrapText="1"/>
    </xf>
    <xf numFmtId="0" fontId="9" fillId="2" borderId="18" xfId="9" applyNumberFormat="1" applyFont="1" applyFill="1" applyBorder="1" applyAlignment="1">
      <alignment horizontal="center" vertical="center" wrapText="1"/>
    </xf>
    <xf numFmtId="0" fontId="9" fillId="2" borderId="66" xfId="0" applyFont="1" applyFill="1" applyBorder="1" applyAlignment="1">
      <alignment horizontal="justify" vertical="center" wrapText="1"/>
    </xf>
    <xf numFmtId="0" fontId="9" fillId="0" borderId="18" xfId="0" applyFont="1" applyFill="1" applyBorder="1" applyAlignment="1">
      <alignment horizontal="justify" vertical="center" wrapText="1"/>
    </xf>
    <xf numFmtId="0" fontId="3" fillId="2" borderId="18" xfId="0" applyFont="1" applyFill="1" applyBorder="1" applyAlignment="1">
      <alignment horizontal="center" vertical="center"/>
    </xf>
    <xf numFmtId="3" fontId="3" fillId="0" borderId="9"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14" fontId="3" fillId="0" borderId="9" xfId="0" applyNumberFormat="1" applyFont="1" applyBorder="1" applyAlignment="1">
      <alignment horizontal="center" vertical="center" wrapText="1"/>
    </xf>
    <xf numFmtId="14" fontId="3" fillId="0" borderId="17" xfId="0" applyNumberFormat="1" applyFont="1" applyBorder="1" applyAlignment="1">
      <alignment horizontal="center" vertical="center" wrapText="1"/>
    </xf>
    <xf numFmtId="14" fontId="3" fillId="0" borderId="18" xfId="0" applyNumberFormat="1" applyFont="1" applyBorder="1" applyAlignment="1">
      <alignment horizontal="center" vertical="center" wrapText="1"/>
    </xf>
    <xf numFmtId="3" fontId="3" fillId="0" borderId="9" xfId="0" applyNumberFormat="1" applyFont="1" applyBorder="1" applyAlignment="1">
      <alignment horizontal="center" vertical="center"/>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9" fontId="3" fillId="0" borderId="9" xfId="0" applyNumberFormat="1" applyFont="1" applyBorder="1" applyAlignment="1">
      <alignment horizontal="center" vertical="center"/>
    </xf>
    <xf numFmtId="9" fontId="3" fillId="0" borderId="17" xfId="0" applyNumberFormat="1" applyFont="1" applyBorder="1" applyAlignment="1">
      <alignment horizontal="center" vertical="center"/>
    </xf>
    <xf numFmtId="9" fontId="3" fillId="0" borderId="18" xfId="0" applyNumberFormat="1" applyFont="1" applyBorder="1" applyAlignment="1">
      <alignment horizontal="center" vertical="center"/>
    </xf>
    <xf numFmtId="3" fontId="3" fillId="0" borderId="7"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4" xfId="0" applyNumberFormat="1" applyFont="1" applyBorder="1" applyAlignment="1">
      <alignment horizontal="center" vertical="center"/>
    </xf>
    <xf numFmtId="0" fontId="3" fillId="0" borderId="2" xfId="0" applyFont="1" applyFill="1" applyBorder="1" applyAlignment="1">
      <alignment horizontal="center" vertical="center"/>
    </xf>
    <xf numFmtId="9" fontId="3" fillId="2" borderId="2" xfId="2" applyNumberFormat="1" applyFont="1" applyFill="1" applyBorder="1" applyAlignment="1">
      <alignment horizontal="center" vertical="center"/>
    </xf>
    <xf numFmtId="43" fontId="3" fillId="2" borderId="2" xfId="0" applyNumberFormat="1" applyFont="1" applyFill="1" applyBorder="1" applyAlignment="1">
      <alignment horizontal="center" vertical="center"/>
    </xf>
    <xf numFmtId="9" fontId="3" fillId="2" borderId="9" xfId="2" applyNumberFormat="1" applyFont="1" applyFill="1" applyBorder="1" applyAlignment="1">
      <alignment horizontal="center" vertical="center"/>
    </xf>
    <xf numFmtId="0" fontId="6" fillId="0" borderId="16"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9" fillId="0" borderId="9" xfId="9" applyNumberFormat="1" applyFont="1" applyFill="1" applyBorder="1" applyAlignment="1">
      <alignment horizontal="center" vertical="center" wrapText="1"/>
    </xf>
    <xf numFmtId="0" fontId="9" fillId="0" borderId="17" xfId="9" applyNumberFormat="1" applyFont="1" applyFill="1" applyBorder="1" applyAlignment="1">
      <alignment horizontal="center" vertical="center" wrapText="1"/>
    </xf>
    <xf numFmtId="0" fontId="9" fillId="0" borderId="18" xfId="9" applyNumberFormat="1" applyFont="1" applyFill="1" applyBorder="1" applyAlignment="1">
      <alignment horizontal="center" vertical="center" wrapText="1"/>
    </xf>
    <xf numFmtId="0" fontId="9" fillId="2" borderId="8" xfId="9" applyNumberFormat="1" applyFont="1" applyFill="1" applyBorder="1" applyAlignment="1">
      <alignment horizontal="center" vertical="center" wrapText="1"/>
    </xf>
    <xf numFmtId="0" fontId="9" fillId="2" borderId="16" xfId="9" applyNumberFormat="1" applyFont="1" applyFill="1" applyBorder="1" applyAlignment="1">
      <alignment horizontal="center" vertical="center" wrapText="1"/>
    </xf>
    <xf numFmtId="0" fontId="9" fillId="2" borderId="6" xfId="9" applyNumberFormat="1" applyFont="1" applyFill="1" applyBorder="1" applyAlignment="1">
      <alignment horizontal="center" vertical="center" wrapText="1"/>
    </xf>
    <xf numFmtId="0" fontId="9" fillId="0" borderId="7"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3" fillId="0" borderId="9" xfId="0" applyFont="1" applyFill="1" applyBorder="1" applyAlignment="1">
      <alignment horizontal="center" vertical="center"/>
    </xf>
    <xf numFmtId="0" fontId="3" fillId="0" borderId="18" xfId="0" applyFont="1" applyFill="1" applyBorder="1" applyAlignment="1">
      <alignment horizontal="center" vertical="center"/>
    </xf>
    <xf numFmtId="3" fontId="3" fillId="0" borderId="40" xfId="0" applyNumberFormat="1" applyFont="1" applyBorder="1" applyAlignment="1">
      <alignment horizontal="center" vertical="center"/>
    </xf>
    <xf numFmtId="3" fontId="3" fillId="0" borderId="31" xfId="0" applyNumberFormat="1" applyFont="1" applyBorder="1" applyAlignment="1">
      <alignment horizontal="center" vertical="center"/>
    </xf>
    <xf numFmtId="3" fontId="3" fillId="0" borderId="41" xfId="0" applyNumberFormat="1" applyFont="1" applyBorder="1" applyAlignment="1">
      <alignment horizontal="center" vertical="center"/>
    </xf>
    <xf numFmtId="9" fontId="3" fillId="2" borderId="9" xfId="2" applyFont="1" applyFill="1" applyBorder="1" applyAlignment="1">
      <alignment horizontal="center" vertical="center"/>
    </xf>
    <xf numFmtId="9" fontId="3" fillId="2" borderId="17" xfId="2" applyFont="1" applyFill="1" applyBorder="1" applyAlignment="1">
      <alignment horizontal="center" vertical="center"/>
    </xf>
    <xf numFmtId="9" fontId="3" fillId="2" borderId="18" xfId="2" applyFont="1" applyFill="1" applyBorder="1" applyAlignment="1">
      <alignment horizontal="center" vertical="center"/>
    </xf>
    <xf numFmtId="43" fontId="3" fillId="2" borderId="66" xfId="0" applyNumberFormat="1" applyFont="1" applyFill="1" applyBorder="1" applyAlignment="1">
      <alignment horizontal="center" vertical="center"/>
    </xf>
    <xf numFmtId="43" fontId="3" fillId="2" borderId="17" xfId="0" applyNumberFormat="1" applyFont="1" applyFill="1" applyBorder="1" applyAlignment="1">
      <alignment horizontal="center" vertical="center"/>
    </xf>
    <xf numFmtId="43" fontId="3" fillId="2" borderId="18"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2" borderId="20" xfId="0" applyNumberFormat="1" applyFont="1" applyFill="1" applyBorder="1" applyAlignment="1">
      <alignment horizontal="center" vertical="center" wrapText="1"/>
    </xf>
    <xf numFmtId="0" fontId="3" fillId="0" borderId="21" xfId="0" applyFont="1" applyFill="1" applyBorder="1" applyAlignment="1">
      <alignment horizontal="center" vertical="center"/>
    </xf>
    <xf numFmtId="0" fontId="3" fillId="0" borderId="27" xfId="0" applyFont="1" applyFill="1" applyBorder="1" applyAlignment="1">
      <alignment horizontal="center" vertical="center"/>
    </xf>
    <xf numFmtId="3" fontId="20" fillId="0" borderId="21" xfId="6" applyNumberFormat="1" applyFont="1" applyFill="1" applyBorder="1" applyAlignment="1">
      <alignment horizontal="center" vertical="center" wrapText="1"/>
    </xf>
    <xf numFmtId="3" fontId="20" fillId="0" borderId="23" xfId="6" applyNumberFormat="1" applyFont="1" applyFill="1" applyBorder="1" applyAlignment="1">
      <alignment horizontal="center" vertical="center" wrapText="1"/>
    </xf>
    <xf numFmtId="3" fontId="20" fillId="0" borderId="27" xfId="6" applyNumberFormat="1" applyFont="1" applyFill="1" applyBorder="1" applyAlignment="1">
      <alignment horizontal="center" vertical="center" wrapText="1"/>
    </xf>
    <xf numFmtId="14" fontId="3" fillId="0" borderId="20" xfId="0" applyNumberFormat="1" applyFont="1" applyFill="1" applyBorder="1" applyAlignment="1">
      <alignment horizontal="center" vertical="center" wrapText="1"/>
    </xf>
    <xf numFmtId="14" fontId="3" fillId="0" borderId="21" xfId="0" applyNumberFormat="1" applyFont="1" applyFill="1" applyBorder="1" applyAlignment="1">
      <alignment horizontal="center" vertical="center" wrapText="1"/>
    </xf>
    <xf numFmtId="14" fontId="3" fillId="0" borderId="23" xfId="0" applyNumberFormat="1"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0" fontId="3" fillId="0" borderId="20" xfId="0" applyFont="1" applyFill="1" applyBorder="1" applyAlignment="1">
      <alignment horizontal="justify" vertical="center" wrapText="1"/>
    </xf>
    <xf numFmtId="3" fontId="20" fillId="0" borderId="21" xfId="6" applyNumberFormat="1" applyFont="1" applyFill="1" applyBorder="1" applyAlignment="1">
      <alignment horizontal="center" vertical="center"/>
    </xf>
    <xf numFmtId="3" fontId="20" fillId="0" borderId="23" xfId="6" applyNumberFormat="1" applyFont="1" applyFill="1" applyBorder="1" applyAlignment="1">
      <alignment horizontal="center" vertical="center"/>
    </xf>
    <xf numFmtId="3" fontId="20" fillId="0" borderId="27" xfId="6" applyNumberFormat="1" applyFont="1" applyFill="1" applyBorder="1" applyAlignment="1">
      <alignment horizontal="center" vertical="center"/>
    </xf>
    <xf numFmtId="9" fontId="20" fillId="0" borderId="21" xfId="6" applyNumberFormat="1" applyFont="1" applyFill="1" applyBorder="1" applyAlignment="1">
      <alignment horizontal="center" vertical="center"/>
    </xf>
    <xf numFmtId="9" fontId="20" fillId="0" borderId="23" xfId="6" applyNumberFormat="1" applyFont="1" applyFill="1" applyBorder="1" applyAlignment="1">
      <alignment horizontal="center" vertical="center"/>
    </xf>
    <xf numFmtId="9" fontId="20" fillId="0" borderId="27" xfId="6" applyNumberFormat="1" applyFont="1" applyFill="1" applyBorder="1" applyAlignment="1">
      <alignment horizontal="center" vertical="center"/>
    </xf>
    <xf numFmtId="3" fontId="20" fillId="0" borderId="20" xfId="6" applyNumberFormat="1" applyFont="1" applyFill="1" applyBorder="1" applyAlignment="1">
      <alignment horizontal="center" vertical="center"/>
    </xf>
    <xf numFmtId="0" fontId="9" fillId="0" borderId="10" xfId="0" applyFont="1" applyFill="1" applyBorder="1" applyAlignment="1">
      <alignment horizontal="justify" vertical="center" wrapText="1"/>
    </xf>
    <xf numFmtId="9" fontId="3" fillId="0" borderId="21" xfId="2" applyNumberFormat="1" applyFont="1" applyFill="1" applyBorder="1" applyAlignment="1">
      <alignment horizontal="center" vertical="center"/>
    </xf>
    <xf numFmtId="9" fontId="3" fillId="0" borderId="23" xfId="2" applyNumberFormat="1" applyFont="1" applyFill="1" applyBorder="1" applyAlignment="1">
      <alignment horizontal="center" vertical="center"/>
    </xf>
    <xf numFmtId="9" fontId="3" fillId="0" borderId="27" xfId="2" applyNumberFormat="1" applyFont="1" applyFill="1" applyBorder="1" applyAlignment="1">
      <alignment horizontal="center" vertical="center"/>
    </xf>
    <xf numFmtId="43" fontId="3" fillId="0" borderId="20" xfId="0" applyNumberFormat="1"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3" fontId="20" fillId="0" borderId="34" xfId="6" applyNumberFormat="1" applyFont="1" applyFill="1" applyBorder="1" applyAlignment="1">
      <alignment horizontal="center" vertical="center"/>
    </xf>
    <xf numFmtId="0" fontId="9" fillId="0" borderId="58" xfId="0" applyFont="1" applyFill="1" applyBorder="1" applyAlignment="1">
      <alignment horizontal="left" vertical="center" wrapText="1"/>
    </xf>
    <xf numFmtId="0" fontId="3" fillId="0" borderId="23" xfId="0" applyFont="1" applyFill="1" applyBorder="1" applyAlignment="1">
      <alignment horizontal="center" vertical="center"/>
    </xf>
    <xf numFmtId="0" fontId="3" fillId="0" borderId="2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2" borderId="21" xfId="0" applyNumberFormat="1" applyFont="1" applyFill="1" applyBorder="1" applyAlignment="1">
      <alignment horizontal="center" vertical="center" wrapText="1"/>
    </xf>
    <xf numFmtId="3" fontId="3" fillId="2" borderId="17" xfId="0" applyNumberFormat="1" applyFont="1" applyFill="1" applyBorder="1" applyAlignment="1">
      <alignment horizontal="center" vertical="center" wrapText="1"/>
    </xf>
    <xf numFmtId="3" fontId="3" fillId="2" borderId="37" xfId="0" applyNumberFormat="1"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29" xfId="0" applyFont="1" applyFill="1" applyBorder="1" applyAlignment="1">
      <alignment horizontal="justify" vertical="center" wrapText="1"/>
    </xf>
    <xf numFmtId="9" fontId="3" fillId="2" borderId="33" xfId="2" applyNumberFormat="1" applyFont="1" applyFill="1" applyBorder="1" applyAlignment="1">
      <alignment horizontal="center" vertical="center" wrapText="1"/>
    </xf>
    <xf numFmtId="9" fontId="3" fillId="2" borderId="42" xfId="2" applyNumberFormat="1" applyFont="1" applyFill="1" applyBorder="1" applyAlignment="1">
      <alignment horizontal="center" vertical="center" wrapText="1"/>
    </xf>
    <xf numFmtId="9" fontId="3" fillId="2" borderId="9" xfId="0" applyNumberFormat="1" applyFont="1" applyFill="1" applyBorder="1" applyAlignment="1">
      <alignment horizontal="center" vertical="center" wrapText="1"/>
    </xf>
    <xf numFmtId="9" fontId="3" fillId="2" borderId="17" xfId="0" applyNumberFormat="1" applyFont="1" applyFill="1" applyBorder="1" applyAlignment="1">
      <alignment horizontal="center" vertical="center" wrapText="1"/>
    </xf>
    <xf numFmtId="9" fontId="3" fillId="2" borderId="37"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14" fontId="3" fillId="2" borderId="9" xfId="0" applyNumberFormat="1" applyFont="1" applyFill="1" applyBorder="1" applyAlignment="1">
      <alignment horizontal="center" vertical="center" wrapText="1"/>
    </xf>
    <xf numFmtId="14" fontId="3" fillId="2" borderId="17" xfId="0" applyNumberFormat="1" applyFont="1" applyFill="1" applyBorder="1" applyAlignment="1">
      <alignment horizontal="center" vertical="center" wrapText="1"/>
    </xf>
    <xf numFmtId="14" fontId="3" fillId="2" borderId="37" xfId="0" applyNumberFormat="1" applyFont="1" applyFill="1" applyBorder="1" applyAlignment="1">
      <alignment horizontal="center" vertical="center" wrapText="1"/>
    </xf>
    <xf numFmtId="3" fontId="25" fillId="5" borderId="2" xfId="0" applyNumberFormat="1" applyFont="1" applyFill="1" applyBorder="1" applyAlignment="1">
      <alignment horizontal="center" vertical="center" wrapText="1"/>
    </xf>
    <xf numFmtId="0" fontId="25" fillId="5" borderId="2" xfId="0" applyFont="1" applyFill="1" applyBorder="1" applyAlignment="1">
      <alignment horizontal="center" vertical="center" wrapText="1"/>
    </xf>
    <xf numFmtId="9" fontId="25" fillId="5" borderId="2" xfId="4" applyFont="1" applyFill="1" applyBorder="1" applyAlignment="1">
      <alignment horizontal="center" vertical="center" wrapText="1"/>
    </xf>
    <xf numFmtId="43" fontId="3" fillId="2" borderId="21" xfId="0" applyNumberFormat="1" applyFont="1" applyFill="1" applyBorder="1" applyAlignment="1">
      <alignment horizontal="center" vertical="center"/>
    </xf>
    <xf numFmtId="3" fontId="3" fillId="2" borderId="20" xfId="0" applyNumberFormat="1" applyFont="1" applyFill="1" applyBorder="1" applyAlignment="1">
      <alignment horizontal="justify" vertical="center" wrapText="1"/>
    </xf>
    <xf numFmtId="3" fontId="3" fillId="2" borderId="7"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25" fillId="5" borderId="9" xfId="0" applyFont="1" applyFill="1" applyBorder="1" applyAlignment="1">
      <alignment horizontal="center" vertical="center" wrapText="1"/>
    </xf>
    <xf numFmtId="0" fontId="25" fillId="5" borderId="18" xfId="0" applyFont="1" applyFill="1" applyBorder="1" applyAlignment="1">
      <alignment horizontal="center" vertical="center" wrapText="1"/>
    </xf>
    <xf numFmtId="0" fontId="6" fillId="5" borderId="2" xfId="0" applyFont="1" applyFill="1" applyBorder="1" applyAlignment="1">
      <alignment horizontal="center" vertical="center" textRotation="90"/>
    </xf>
    <xf numFmtId="0" fontId="6" fillId="5" borderId="10" xfId="0" applyFont="1" applyFill="1" applyBorder="1" applyAlignment="1">
      <alignment horizontal="center" vertical="center" textRotation="90" wrapText="1"/>
    </xf>
    <xf numFmtId="0" fontId="6" fillId="5" borderId="12" xfId="0" applyFont="1" applyFill="1" applyBorder="1" applyAlignment="1">
      <alignment horizontal="center" vertical="center" textRotation="90" wrapText="1"/>
    </xf>
    <xf numFmtId="167" fontId="32" fillId="3" borderId="13" xfId="3" applyFont="1" applyFill="1" applyBorder="1" applyAlignment="1">
      <alignment horizontal="center" vertical="center"/>
    </xf>
    <xf numFmtId="167" fontId="32" fillId="3" borderId="14" xfId="3" applyFont="1" applyFill="1" applyBorder="1" applyAlignment="1">
      <alignment horizontal="center" vertical="center"/>
    </xf>
    <xf numFmtId="167" fontId="32" fillId="3" borderId="15" xfId="3" applyFont="1" applyFill="1" applyBorder="1" applyAlignment="1">
      <alignment horizontal="center" vertical="center"/>
    </xf>
    <xf numFmtId="3" fontId="6" fillId="5" borderId="10" xfId="0" applyNumberFormat="1" applyFont="1" applyFill="1" applyBorder="1" applyAlignment="1">
      <alignment horizontal="center" vertical="center" textRotation="90" wrapText="1"/>
    </xf>
    <xf numFmtId="3" fontId="6" fillId="5" borderId="12" xfId="0" applyNumberFormat="1" applyFont="1" applyFill="1" applyBorder="1" applyAlignment="1">
      <alignment horizontal="center" vertical="center" textRotation="90" wrapText="1"/>
    </xf>
    <xf numFmtId="0" fontId="23" fillId="0" borderId="0" xfId="0" applyFont="1" applyBorder="1" applyAlignment="1">
      <alignment horizontal="center" vertical="center" wrapText="1"/>
    </xf>
    <xf numFmtId="0" fontId="6" fillId="0" borderId="84" xfId="0" applyFont="1" applyBorder="1" applyAlignment="1">
      <alignment horizontal="center" vertical="center"/>
    </xf>
    <xf numFmtId="168" fontId="2" fillId="3" borderId="5" xfId="0" applyNumberFormat="1" applyFont="1" applyFill="1" applyBorder="1" applyAlignment="1">
      <alignment horizontal="center" vertical="center" wrapText="1"/>
    </xf>
    <xf numFmtId="168" fontId="2" fillId="3" borderId="3" xfId="0" applyNumberFormat="1" applyFont="1" applyFill="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2" fillId="0" borderId="11" xfId="0" applyFont="1" applyBorder="1" applyAlignment="1">
      <alignment horizontal="center" vertical="center"/>
    </xf>
    <xf numFmtId="1" fontId="2" fillId="3" borderId="4" xfId="0" applyNumberFormat="1" applyFont="1" applyFill="1" applyBorder="1" applyAlignment="1">
      <alignment horizontal="center" vertical="center" wrapText="1"/>
    </xf>
    <xf numFmtId="166" fontId="2" fillId="3" borderId="5" xfId="0" applyNumberFormat="1" applyFont="1" applyFill="1" applyBorder="1" applyAlignment="1">
      <alignment horizontal="center" vertical="center" wrapText="1"/>
    </xf>
    <xf numFmtId="166" fontId="2" fillId="3" borderId="7" xfId="0" applyNumberFormat="1" applyFont="1" applyFill="1" applyBorder="1" applyAlignment="1">
      <alignment horizontal="center" vertical="center" wrapText="1"/>
    </xf>
    <xf numFmtId="168" fontId="2" fillId="3" borderId="10" xfId="0" applyNumberFormat="1" applyFont="1" applyFill="1" applyBorder="1" applyAlignment="1">
      <alignment horizontal="center" vertical="center" wrapText="1"/>
    </xf>
    <xf numFmtId="168" fontId="2" fillId="3" borderId="11" xfId="0" applyNumberFormat="1" applyFont="1" applyFill="1" applyBorder="1" applyAlignment="1">
      <alignment horizontal="center" vertical="center" wrapText="1"/>
    </xf>
    <xf numFmtId="168" fontId="2" fillId="3" borderId="12" xfId="0" applyNumberFormat="1" applyFont="1" applyFill="1" applyBorder="1" applyAlignment="1">
      <alignment horizontal="center" vertical="center" wrapText="1"/>
    </xf>
    <xf numFmtId="0" fontId="3" fillId="0" borderId="33" xfId="0" applyFont="1" applyBorder="1" applyAlignment="1">
      <alignment horizontal="justify" vertical="center" wrapText="1"/>
    </xf>
    <xf numFmtId="165" fontId="2" fillId="3" borderId="9" xfId="0" applyNumberFormat="1" applyFont="1" applyFill="1" applyBorder="1" applyAlignment="1">
      <alignment horizontal="center" vertical="center" wrapText="1"/>
    </xf>
    <xf numFmtId="165" fontId="2" fillId="3" borderId="17" xfId="0" applyNumberFormat="1" applyFont="1" applyFill="1" applyBorder="1" applyAlignment="1">
      <alignment horizontal="center" vertical="center" wrapText="1"/>
    </xf>
    <xf numFmtId="165" fontId="2" fillId="3" borderId="18" xfId="0" applyNumberFormat="1" applyFont="1" applyFill="1" applyBorder="1" applyAlignment="1">
      <alignment horizontal="center" vertical="center" wrapText="1"/>
    </xf>
    <xf numFmtId="166" fontId="2" fillId="3" borderId="17" xfId="0" applyNumberFormat="1" applyFont="1" applyFill="1" applyBorder="1" applyAlignment="1">
      <alignment horizontal="center" vertical="center" wrapText="1"/>
    </xf>
    <xf numFmtId="0" fontId="9" fillId="0" borderId="42" xfId="0" applyFont="1" applyBorder="1" applyAlignment="1">
      <alignment horizontal="center" vertical="center"/>
    </xf>
    <xf numFmtId="0" fontId="9" fillId="0" borderId="44" xfId="0" applyFont="1" applyBorder="1" applyAlignment="1">
      <alignment horizontal="center" vertical="center"/>
    </xf>
    <xf numFmtId="3" fontId="3" fillId="2" borderId="18" xfId="0" applyNumberFormat="1" applyFont="1" applyFill="1" applyBorder="1" applyAlignment="1">
      <alignment horizontal="center" vertical="center" wrapText="1"/>
    </xf>
    <xf numFmtId="0" fontId="9" fillId="0" borderId="24" xfId="5" applyNumberFormat="1" applyFont="1" applyFill="1" applyBorder="1">
      <alignment horizontal="center" vertical="center" wrapText="1"/>
    </xf>
    <xf numFmtId="0" fontId="9" fillId="0" borderId="23" xfId="5" applyNumberFormat="1" applyFont="1" applyFill="1" applyBorder="1">
      <alignment horizontal="center" vertical="center" wrapText="1"/>
    </xf>
    <xf numFmtId="0" fontId="9" fillId="0" borderId="27" xfId="5" applyNumberFormat="1" applyFont="1" applyFill="1" applyBorder="1">
      <alignment horizontal="center" vertical="center" wrapText="1"/>
    </xf>
    <xf numFmtId="0" fontId="9" fillId="2" borderId="23" xfId="5" applyNumberFormat="1" applyFont="1" applyFill="1" applyBorder="1">
      <alignment horizontal="center" vertical="center" wrapText="1"/>
    </xf>
    <xf numFmtId="0" fontId="9" fillId="2" borderId="27" xfId="5" applyNumberFormat="1" applyFont="1" applyFill="1" applyBorder="1">
      <alignment horizontal="center" vertical="center" wrapText="1"/>
    </xf>
    <xf numFmtId="0" fontId="3" fillId="0" borderId="18" xfId="0" applyFont="1" applyBorder="1" applyAlignment="1">
      <alignment horizontal="justify" vertical="center" wrapText="1"/>
    </xf>
    <xf numFmtId="9" fontId="3" fillId="0" borderId="44" xfId="2" applyFont="1" applyFill="1" applyBorder="1" applyAlignment="1">
      <alignment horizontal="center" vertical="center" wrapText="1"/>
    </xf>
    <xf numFmtId="9" fontId="3" fillId="0" borderId="29" xfId="2" applyFont="1" applyFill="1" applyBorder="1" applyAlignment="1">
      <alignment horizontal="center" vertical="center" wrapText="1"/>
    </xf>
    <xf numFmtId="3" fontId="3" fillId="0" borderId="21" xfId="0" applyNumberFormat="1" applyFont="1" applyBorder="1" applyAlignment="1">
      <alignment horizontal="justify" vertical="center" wrapText="1"/>
    </xf>
    <xf numFmtId="3" fontId="3" fillId="0" borderId="23" xfId="0" applyNumberFormat="1" applyFont="1" applyBorder="1" applyAlignment="1">
      <alignment horizontal="justify" vertical="center" wrapText="1"/>
    </xf>
    <xf numFmtId="3" fontId="3" fillId="0" borderId="27" xfId="0" applyNumberFormat="1" applyFont="1" applyBorder="1" applyAlignment="1">
      <alignment horizontal="justify" vertical="center" wrapText="1"/>
    </xf>
    <xf numFmtId="9" fontId="3" fillId="0" borderId="45" xfId="2" applyFont="1" applyFill="1" applyBorder="1" applyAlignment="1">
      <alignment horizontal="center" vertical="center" wrapText="1"/>
    </xf>
    <xf numFmtId="9" fontId="3" fillId="0" borderId="22" xfId="2" applyFont="1" applyFill="1" applyBorder="1" applyAlignment="1">
      <alignment horizontal="center" vertical="center" wrapText="1"/>
    </xf>
    <xf numFmtId="180" fontId="9" fillId="0" borderId="7" xfId="6" applyNumberFormat="1" applyFont="1" applyBorder="1" applyAlignment="1">
      <alignment horizontal="center" vertical="center"/>
    </xf>
    <xf numFmtId="180" fontId="9" fillId="0" borderId="1" xfId="6" applyNumberFormat="1" applyFont="1" applyBorder="1" applyAlignment="1">
      <alignment horizontal="center" vertical="center"/>
    </xf>
    <xf numFmtId="3" fontId="3" fillId="0" borderId="9" xfId="0" applyNumberFormat="1" applyFont="1" applyBorder="1" applyAlignment="1">
      <alignment horizontal="justify" vertical="center" wrapText="1"/>
    </xf>
    <xf numFmtId="3" fontId="3" fillId="0" borderId="17" xfId="0" applyNumberFormat="1" applyFont="1" applyBorder="1" applyAlignment="1">
      <alignment horizontal="justify" vertical="center" wrapText="1"/>
    </xf>
    <xf numFmtId="4" fontId="9" fillId="0" borderId="9" xfId="0" applyNumberFormat="1" applyFont="1" applyFill="1" applyBorder="1" applyAlignment="1">
      <alignment horizontal="right" vertical="center"/>
    </xf>
    <xf numFmtId="4" fontId="9" fillId="0" borderId="18" xfId="0" applyNumberFormat="1" applyFont="1" applyFill="1" applyBorder="1" applyAlignment="1">
      <alignment horizontal="right" vertical="center"/>
    </xf>
    <xf numFmtId="9" fontId="3" fillId="0" borderId="20" xfId="2" applyFont="1" applyFill="1" applyBorder="1" applyAlignment="1">
      <alignment horizontal="center" vertical="center" wrapText="1"/>
    </xf>
    <xf numFmtId="172" fontId="9" fillId="0" borderId="9" xfId="0" applyNumberFormat="1" applyFont="1" applyFill="1" applyBorder="1" applyAlignment="1">
      <alignment horizontal="center" vertical="center"/>
    </xf>
    <xf numFmtId="172" fontId="9" fillId="0" borderId="18" xfId="0" applyNumberFormat="1"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9" fontId="3" fillId="2" borderId="2" xfId="2" applyFont="1" applyFill="1" applyBorder="1" applyAlignment="1">
      <alignment horizontal="center" vertical="center" wrapText="1"/>
    </xf>
    <xf numFmtId="9" fontId="3" fillId="0" borderId="21" xfId="2" applyFont="1" applyFill="1" applyBorder="1" applyAlignment="1">
      <alignment horizontal="center" vertical="center" wrapText="1"/>
    </xf>
    <xf numFmtId="9" fontId="3" fillId="0" borderId="23" xfId="2" applyFont="1" applyFill="1" applyBorder="1" applyAlignment="1">
      <alignment horizontal="center" vertical="center" wrapText="1"/>
    </xf>
    <xf numFmtId="9" fontId="3" fillId="0" borderId="27" xfId="2" applyFont="1" applyFill="1" applyBorder="1" applyAlignment="1">
      <alignment horizontal="center" vertical="center" wrapText="1"/>
    </xf>
    <xf numFmtId="3" fontId="3" fillId="0" borderId="42" xfId="0" applyNumberFormat="1" applyFont="1" applyBorder="1" applyAlignment="1">
      <alignment horizontal="justify" vertical="center" wrapText="1"/>
    </xf>
    <xf numFmtId="3" fontId="3" fillId="0" borderId="44" xfId="0" applyNumberFormat="1" applyFont="1" applyBorder="1" applyAlignment="1">
      <alignment horizontal="justify" vertical="center" wrapText="1"/>
    </xf>
    <xf numFmtId="3" fontId="3" fillId="0" borderId="39" xfId="0" applyNumberFormat="1" applyFont="1" applyBorder="1" applyAlignment="1">
      <alignment horizontal="justify" vertical="center" wrapText="1"/>
    </xf>
    <xf numFmtId="0" fontId="9" fillId="0" borderId="21" xfId="0" applyFont="1" applyBorder="1" applyAlignment="1">
      <alignment horizontal="left" vertical="center" wrapText="1"/>
    </xf>
    <xf numFmtId="0" fontId="9" fillId="0" borderId="25" xfId="0" applyFont="1" applyBorder="1" applyAlignment="1">
      <alignment horizontal="left" vertical="center" wrapText="1"/>
    </xf>
    <xf numFmtId="0" fontId="9" fillId="0" borderId="42" xfId="5" applyNumberFormat="1" applyFont="1" applyFill="1" applyBorder="1">
      <alignment horizontal="center" vertical="center" wrapText="1"/>
    </xf>
    <xf numFmtId="0" fontId="9" fillId="0" borderId="44" xfId="5" applyNumberFormat="1" applyFont="1" applyFill="1" applyBorder="1">
      <alignment horizontal="center" vertical="center" wrapText="1"/>
    </xf>
    <xf numFmtId="0" fontId="9" fillId="2" borderId="21" xfId="5" applyNumberFormat="1" applyFont="1" applyFill="1" applyBorder="1">
      <alignment horizontal="center" vertical="center" wrapText="1"/>
    </xf>
    <xf numFmtId="0" fontId="3" fillId="2" borderId="25" xfId="0" applyFont="1" applyFill="1" applyBorder="1" applyAlignment="1">
      <alignment horizontal="center" vertical="center" wrapText="1"/>
    </xf>
    <xf numFmtId="1" fontId="3" fillId="2" borderId="2" xfId="0" applyNumberFormat="1" applyFont="1" applyFill="1" applyBorder="1" applyAlignment="1">
      <alignment horizontal="justify" vertical="center" wrapText="1"/>
    </xf>
    <xf numFmtId="0" fontId="9" fillId="2" borderId="20" xfId="5" applyNumberFormat="1" applyFont="1" applyFill="1" applyBorder="1">
      <alignment horizontal="center" vertical="center" wrapText="1"/>
    </xf>
    <xf numFmtId="0" fontId="9" fillId="0" borderId="45" xfId="0" applyFont="1" applyBorder="1" applyAlignment="1">
      <alignment horizontal="justify" vertical="center" wrapText="1"/>
    </xf>
    <xf numFmtId="0" fontId="9" fillId="0" borderId="22" xfId="0" applyFont="1" applyBorder="1" applyAlignment="1">
      <alignment horizontal="justify" vertical="center" wrapText="1"/>
    </xf>
    <xf numFmtId="0" fontId="3" fillId="2" borderId="24" xfId="0" applyFont="1" applyFill="1" applyBorder="1" applyAlignment="1">
      <alignment horizontal="center" vertical="center" wrapText="1"/>
    </xf>
    <xf numFmtId="0" fontId="3" fillId="0" borderId="24" xfId="0" applyFont="1" applyBorder="1" applyAlignment="1">
      <alignment horizontal="justify" vertical="center" wrapText="1"/>
    </xf>
    <xf numFmtId="0" fontId="9" fillId="0" borderId="21" xfId="5" applyNumberFormat="1" applyFont="1" applyFill="1" applyBorder="1">
      <alignment horizontal="center" vertical="center" wrapText="1"/>
    </xf>
    <xf numFmtId="3" fontId="3" fillId="0" borderId="2" xfId="0" applyNumberFormat="1" applyFont="1" applyBorder="1" applyAlignment="1">
      <alignment horizontal="center" vertical="center"/>
    </xf>
    <xf numFmtId="3" fontId="3" fillId="0" borderId="2" xfId="0" applyNumberFormat="1" applyFont="1" applyBorder="1" applyAlignment="1">
      <alignment horizontal="center" vertical="center" wrapText="1"/>
    </xf>
    <xf numFmtId="3" fontId="3" fillId="0" borderId="24" xfId="0" applyNumberFormat="1" applyFont="1" applyBorder="1" applyAlignment="1">
      <alignment horizontal="justify" vertical="center" wrapText="1"/>
    </xf>
    <xf numFmtId="0" fontId="6" fillId="0" borderId="8" xfId="0" applyFont="1" applyBorder="1" applyAlignment="1">
      <alignment horizontal="center" vertical="center"/>
    </xf>
    <xf numFmtId="0" fontId="6" fillId="0" borderId="16" xfId="0" applyFont="1" applyBorder="1" applyAlignment="1">
      <alignment horizontal="center" vertical="center"/>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172" fontId="3" fillId="2" borderId="2" xfId="0" applyNumberFormat="1" applyFont="1" applyFill="1" applyBorder="1" applyAlignment="1">
      <alignment horizontal="center" vertical="center" wrapText="1"/>
    </xf>
    <xf numFmtId="0" fontId="9" fillId="0" borderId="34" xfId="0" applyFont="1" applyBorder="1" applyAlignment="1">
      <alignment horizontal="justify" vertical="center" wrapText="1"/>
    </xf>
    <xf numFmtId="0" fontId="9" fillId="0" borderId="3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29" xfId="0" applyFont="1" applyBorder="1" applyAlignment="1">
      <alignment horizontal="justify" vertical="center" wrapText="1"/>
    </xf>
    <xf numFmtId="0" fontId="9" fillId="0" borderId="64" xfId="0" applyFont="1" applyBorder="1" applyAlignment="1">
      <alignment horizontal="justify" vertical="center" wrapText="1"/>
    </xf>
    <xf numFmtId="0" fontId="9" fillId="0" borderId="0" xfId="0" applyFont="1" applyAlignment="1">
      <alignment horizontal="justify" vertical="center" wrapText="1"/>
    </xf>
    <xf numFmtId="3" fontId="3" fillId="0" borderId="21" xfId="0" applyNumberFormat="1" applyFont="1" applyBorder="1" applyAlignment="1">
      <alignment horizontal="center" vertical="center"/>
    </xf>
    <xf numFmtId="3" fontId="3" fillId="0" borderId="23" xfId="0" applyNumberFormat="1" applyFont="1" applyBorder="1" applyAlignment="1">
      <alignment horizontal="center" vertical="center"/>
    </xf>
    <xf numFmtId="3" fontId="3" fillId="0" borderId="27" xfId="0" applyNumberFormat="1" applyFont="1" applyBorder="1" applyAlignment="1">
      <alignment horizontal="center" vertical="center"/>
    </xf>
    <xf numFmtId="3" fontId="3" fillId="0" borderId="20" xfId="0" applyNumberFormat="1" applyFont="1" applyBorder="1" applyAlignment="1">
      <alignment horizontal="center" vertical="center"/>
    </xf>
    <xf numFmtId="172" fontId="3" fillId="0" borderId="21" xfId="0" applyNumberFormat="1" applyFont="1" applyBorder="1" applyAlignment="1">
      <alignment horizontal="center" vertical="center"/>
    </xf>
    <xf numFmtId="0" fontId="9" fillId="0" borderId="33" xfId="0" applyFont="1" applyBorder="1" applyAlignment="1">
      <alignment horizontal="center" vertical="center"/>
    </xf>
    <xf numFmtId="0" fontId="3" fillId="0" borderId="33" xfId="0" applyFont="1" applyBorder="1" applyAlignment="1">
      <alignment horizontal="center" vertical="center" wrapText="1"/>
    </xf>
    <xf numFmtId="0" fontId="9" fillId="2" borderId="34" xfId="0" applyFont="1" applyFill="1" applyBorder="1" applyAlignment="1">
      <alignment horizontal="center" vertical="center"/>
    </xf>
    <xf numFmtId="0" fontId="9" fillId="0" borderId="21" xfId="0" applyFont="1" applyBorder="1" applyAlignment="1">
      <alignment horizontal="center" vertical="center"/>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5" fillId="2" borderId="0" xfId="0" applyFont="1" applyFill="1" applyAlignment="1">
      <alignment horizontal="center"/>
    </xf>
    <xf numFmtId="14" fontId="3" fillId="2" borderId="9" xfId="0" applyNumberFormat="1" applyFont="1" applyFill="1" applyBorder="1" applyAlignment="1">
      <alignment horizontal="center" vertical="center"/>
    </xf>
    <xf numFmtId="14" fontId="3" fillId="2" borderId="17" xfId="0" applyNumberFormat="1" applyFont="1" applyFill="1" applyBorder="1" applyAlignment="1">
      <alignment horizontal="center" vertical="center"/>
    </xf>
    <xf numFmtId="14" fontId="3" fillId="2" borderId="18"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14" fontId="3" fillId="0" borderId="17" xfId="0" applyNumberFormat="1" applyFont="1" applyFill="1" applyBorder="1" applyAlignment="1">
      <alignment horizontal="center" vertical="center"/>
    </xf>
    <xf numFmtId="14" fontId="3" fillId="0" borderId="18" xfId="0" applyNumberFormat="1" applyFont="1" applyFill="1" applyBorder="1" applyAlignment="1">
      <alignment horizontal="center" vertical="center"/>
    </xf>
    <xf numFmtId="0" fontId="3" fillId="2" borderId="9" xfId="0" applyNumberFormat="1" applyFont="1" applyFill="1" applyBorder="1" applyAlignment="1">
      <alignment horizontal="center" vertical="center" wrapText="1"/>
    </xf>
    <xf numFmtId="0" fontId="3" fillId="2" borderId="17" xfId="0" applyNumberFormat="1" applyFont="1" applyFill="1" applyBorder="1" applyAlignment="1">
      <alignment horizontal="center" vertical="center" wrapText="1"/>
    </xf>
    <xf numFmtId="0" fontId="3" fillId="2" borderId="18" xfId="0" applyNumberFormat="1" applyFont="1" applyFill="1" applyBorder="1" applyAlignment="1">
      <alignment horizontal="center" vertical="center" wrapText="1"/>
    </xf>
    <xf numFmtId="1" fontId="3" fillId="0" borderId="16" xfId="0" applyNumberFormat="1" applyFont="1" applyBorder="1" applyAlignment="1">
      <alignment horizontal="center"/>
    </xf>
    <xf numFmtId="1" fontId="3" fillId="0" borderId="0" xfId="0" applyNumberFormat="1" applyFont="1" applyBorder="1" applyAlignment="1">
      <alignment horizontal="center"/>
    </xf>
    <xf numFmtId="1" fontId="3" fillId="0" borderId="1" xfId="0" applyNumberFormat="1" applyFont="1" applyBorder="1" applyAlignment="1">
      <alignment horizontal="center"/>
    </xf>
    <xf numFmtId="4" fontId="3" fillId="2" borderId="9" xfId="0" applyNumberFormat="1" applyFont="1" applyFill="1" applyBorder="1" applyAlignment="1">
      <alignment horizontal="center" vertical="center"/>
    </xf>
    <xf numFmtId="4" fontId="3" fillId="2" borderId="17" xfId="0" applyNumberFormat="1" applyFont="1" applyFill="1" applyBorder="1" applyAlignment="1">
      <alignment horizontal="center" vertical="center"/>
    </xf>
    <xf numFmtId="4" fontId="3" fillId="2" borderId="18" xfId="0" applyNumberFormat="1" applyFont="1" applyFill="1" applyBorder="1" applyAlignment="1">
      <alignment horizontal="center" vertical="center"/>
    </xf>
    <xf numFmtId="0" fontId="3" fillId="2" borderId="17" xfId="0" applyNumberFormat="1" applyFont="1" applyFill="1" applyBorder="1" applyAlignment="1">
      <alignment horizontal="center" vertical="center"/>
    </xf>
    <xf numFmtId="0" fontId="3" fillId="2" borderId="18" xfId="0" applyNumberFormat="1" applyFont="1" applyFill="1" applyBorder="1" applyAlignment="1">
      <alignment horizontal="center" vertical="center"/>
    </xf>
    <xf numFmtId="0" fontId="3" fillId="2" borderId="9" xfId="0" applyNumberFormat="1" applyFont="1" applyFill="1" applyBorder="1" applyAlignment="1">
      <alignment horizontal="center" vertical="center"/>
    </xf>
    <xf numFmtId="172" fontId="3" fillId="0" borderId="9" xfId="0" applyNumberFormat="1" applyFont="1" applyFill="1" applyBorder="1" applyAlignment="1">
      <alignment horizontal="center" vertical="center"/>
    </xf>
    <xf numFmtId="172" fontId="3" fillId="0" borderId="17" xfId="0" applyNumberFormat="1" applyFont="1" applyFill="1" applyBorder="1" applyAlignment="1">
      <alignment horizontal="center" vertical="center"/>
    </xf>
    <xf numFmtId="172" fontId="3" fillId="0" borderId="18" xfId="0" applyNumberFormat="1" applyFont="1" applyFill="1" applyBorder="1" applyAlignment="1">
      <alignment horizontal="center" vertical="center"/>
    </xf>
    <xf numFmtId="0" fontId="3" fillId="0" borderId="9"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3" fillId="0" borderId="18" xfId="0" applyFont="1" applyFill="1" applyBorder="1" applyAlignment="1">
      <alignment horizontal="justify" vertical="center" wrapText="1"/>
    </xf>
    <xf numFmtId="0" fontId="3" fillId="0" borderId="17"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1" xfId="0" applyFont="1" applyFill="1" applyBorder="1" applyAlignment="1">
      <alignment horizontal="center"/>
    </xf>
    <xf numFmtId="0" fontId="3" fillId="0" borderId="4" xfId="0" applyFont="1" applyFill="1" applyBorder="1" applyAlignment="1">
      <alignment horizontal="center"/>
    </xf>
    <xf numFmtId="0" fontId="9" fillId="0" borderId="9" xfId="5" applyNumberFormat="1" applyFont="1" applyFill="1" applyBorder="1" applyAlignment="1">
      <alignment horizontal="center" vertical="center" wrapText="1"/>
    </xf>
    <xf numFmtId="0" fontId="9" fillId="0" borderId="17" xfId="5" applyNumberFormat="1" applyFont="1" applyFill="1" applyBorder="1" applyAlignment="1">
      <alignment horizontal="center" vertical="center" wrapText="1"/>
    </xf>
    <xf numFmtId="0" fontId="9" fillId="0" borderId="18" xfId="5" applyNumberFormat="1" applyFont="1" applyFill="1" applyBorder="1" applyAlignment="1">
      <alignment horizontal="center" vertical="center" wrapText="1"/>
    </xf>
    <xf numFmtId="0" fontId="9" fillId="2" borderId="9" xfId="5" applyNumberFormat="1" applyFont="1" applyFill="1" applyBorder="1" applyAlignment="1">
      <alignment horizontal="center" vertical="center" wrapText="1"/>
    </xf>
    <xf numFmtId="0" fontId="9" fillId="2" borderId="17" xfId="5" applyNumberFormat="1" applyFont="1" applyFill="1" applyBorder="1" applyAlignment="1">
      <alignment horizontal="center" vertical="center" wrapText="1"/>
    </xf>
    <xf numFmtId="0" fontId="9" fillId="2" borderId="18" xfId="5" applyNumberFormat="1" applyFont="1" applyFill="1" applyBorder="1" applyAlignment="1">
      <alignment horizontal="center" vertical="center" wrapText="1"/>
    </xf>
    <xf numFmtId="9" fontId="3" fillId="2" borderId="18" xfId="2" applyNumberFormat="1" applyFont="1" applyFill="1" applyBorder="1" applyAlignment="1">
      <alignment horizontal="center" vertical="center"/>
    </xf>
    <xf numFmtId="172" fontId="3" fillId="2" borderId="9" xfId="0" applyNumberFormat="1" applyFont="1" applyFill="1" applyBorder="1" applyAlignment="1">
      <alignment horizontal="center" vertical="center"/>
    </xf>
    <xf numFmtId="172" fontId="3" fillId="2" borderId="18" xfId="0" applyNumberFormat="1" applyFont="1" applyFill="1" applyBorder="1" applyAlignment="1">
      <alignment horizontal="center" vertical="center"/>
    </xf>
    <xf numFmtId="14" fontId="3" fillId="2" borderId="66" xfId="0" applyNumberFormat="1" applyFont="1" applyFill="1" applyBorder="1" applyAlignment="1">
      <alignment horizontal="center" vertical="center"/>
    </xf>
    <xf numFmtId="14" fontId="3" fillId="0" borderId="66" xfId="0" applyNumberFormat="1" applyFont="1" applyFill="1" applyBorder="1" applyAlignment="1">
      <alignment horizontal="center" vertical="center"/>
    </xf>
    <xf numFmtId="0" fontId="3" fillId="2" borderId="66" xfId="0" applyNumberFormat="1" applyFont="1" applyFill="1" applyBorder="1" applyAlignment="1">
      <alignment horizontal="center" vertical="center" wrapText="1"/>
    </xf>
    <xf numFmtId="0" fontId="3" fillId="2" borderId="66" xfId="0" applyNumberFormat="1" applyFont="1" applyFill="1" applyBorder="1" applyAlignment="1">
      <alignment horizontal="center" vertical="center"/>
    </xf>
    <xf numFmtId="4" fontId="3" fillId="2" borderId="66" xfId="0" applyNumberFormat="1" applyFont="1" applyFill="1" applyBorder="1" applyAlignment="1">
      <alignment horizontal="center" vertical="center"/>
    </xf>
    <xf numFmtId="9" fontId="3" fillId="2" borderId="66" xfId="2" applyFont="1" applyFill="1" applyBorder="1" applyAlignment="1">
      <alignment horizontal="center" vertical="center"/>
    </xf>
    <xf numFmtId="0" fontId="3" fillId="0" borderId="66"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9" fontId="3" fillId="2" borderId="17" xfId="2" applyNumberFormat="1" applyFont="1" applyFill="1" applyBorder="1" applyAlignment="1">
      <alignment horizontal="center" vertical="center"/>
    </xf>
    <xf numFmtId="172" fontId="3" fillId="2" borderId="17" xfId="0" applyNumberFormat="1" applyFont="1" applyFill="1" applyBorder="1" applyAlignment="1">
      <alignment horizontal="center" vertical="center"/>
    </xf>
    <xf numFmtId="0" fontId="3" fillId="2" borderId="23" xfId="0" applyNumberFormat="1" applyFont="1" applyFill="1" applyBorder="1" applyAlignment="1">
      <alignment horizontal="center" vertical="center" wrapText="1"/>
    </xf>
    <xf numFmtId="0" fontId="3" fillId="2" borderId="27" xfId="0" applyNumberFormat="1" applyFont="1" applyFill="1" applyBorder="1" applyAlignment="1">
      <alignment horizontal="center" vertical="center" wrapText="1"/>
    </xf>
    <xf numFmtId="1" fontId="3" fillId="2" borderId="21" xfId="0" applyNumberFormat="1" applyFont="1" applyFill="1" applyBorder="1" applyAlignment="1">
      <alignment horizontal="center" vertical="center"/>
    </xf>
    <xf numFmtId="1" fontId="3" fillId="2" borderId="27" xfId="0" applyNumberFormat="1" applyFont="1" applyFill="1" applyBorder="1" applyAlignment="1">
      <alignment horizontal="center" vertical="center"/>
    </xf>
    <xf numFmtId="0" fontId="3" fillId="2" borderId="28" xfId="0" applyFont="1" applyFill="1" applyBorder="1" applyAlignment="1">
      <alignment horizontal="justify" vertical="center" wrapText="1"/>
    </xf>
    <xf numFmtId="0" fontId="3" fillId="2" borderId="35" xfId="0" applyFont="1" applyFill="1" applyBorder="1" applyAlignment="1">
      <alignment horizontal="justify" vertical="center" wrapText="1"/>
    </xf>
    <xf numFmtId="9" fontId="3" fillId="2" borderId="21" xfId="2" applyFont="1" applyFill="1" applyBorder="1" applyAlignment="1">
      <alignment horizontal="center" vertical="center"/>
    </xf>
    <xf numFmtId="9" fontId="3" fillId="2" borderId="27" xfId="2" applyFont="1" applyFill="1" applyBorder="1" applyAlignment="1">
      <alignment horizontal="center" vertical="center"/>
    </xf>
    <xf numFmtId="0" fontId="3" fillId="2" borderId="21" xfId="0" applyNumberFormat="1" applyFont="1" applyFill="1" applyBorder="1" applyAlignment="1">
      <alignment horizontal="center" vertical="center" wrapText="1"/>
    </xf>
    <xf numFmtId="14" fontId="3" fillId="2" borderId="21" xfId="0" applyNumberFormat="1" applyFont="1" applyFill="1" applyBorder="1" applyAlignment="1">
      <alignment horizontal="center" vertical="center"/>
    </xf>
    <xf numFmtId="14" fontId="3" fillId="2" borderId="27" xfId="0" applyNumberFormat="1" applyFont="1" applyFill="1" applyBorder="1" applyAlignment="1">
      <alignment horizontal="center" vertical="center"/>
    </xf>
    <xf numFmtId="14" fontId="3" fillId="0" borderId="21" xfId="0" applyNumberFormat="1" applyFont="1" applyFill="1" applyBorder="1" applyAlignment="1">
      <alignment horizontal="center" vertical="center"/>
    </xf>
    <xf numFmtId="14" fontId="3" fillId="0" borderId="27" xfId="0" applyNumberFormat="1" applyFont="1" applyFill="1" applyBorder="1" applyAlignment="1">
      <alignment horizontal="center" vertical="center"/>
    </xf>
    <xf numFmtId="0" fontId="3" fillId="2" borderId="21" xfId="0" applyNumberFormat="1" applyFont="1" applyFill="1" applyBorder="1" applyAlignment="1">
      <alignment horizontal="center" vertical="center"/>
    </xf>
    <xf numFmtId="0" fontId="3" fillId="2" borderId="27" xfId="0" applyNumberFormat="1" applyFont="1" applyFill="1" applyBorder="1" applyAlignment="1">
      <alignment horizontal="center" vertical="center"/>
    </xf>
    <xf numFmtId="4" fontId="3" fillId="2" borderId="21" xfId="0" applyNumberFormat="1" applyFont="1" applyFill="1" applyBorder="1" applyAlignment="1">
      <alignment horizontal="center" vertical="center"/>
    </xf>
    <xf numFmtId="4" fontId="3" fillId="2" borderId="27" xfId="0" applyNumberFormat="1" applyFont="1" applyFill="1" applyBorder="1" applyAlignment="1">
      <alignment horizontal="center" vertical="center"/>
    </xf>
    <xf numFmtId="0" fontId="3" fillId="2" borderId="66" xfId="0" applyFont="1" applyFill="1" applyBorder="1" applyAlignment="1">
      <alignment horizontal="center" vertical="center" wrapText="1"/>
    </xf>
    <xf numFmtId="0" fontId="9" fillId="2" borderId="66" xfId="0" applyFont="1" applyFill="1" applyBorder="1" applyAlignment="1">
      <alignment horizontal="center" vertical="center" wrapText="1"/>
    </xf>
    <xf numFmtId="0" fontId="9" fillId="2" borderId="67" xfId="0" applyFont="1" applyFill="1" applyBorder="1" applyAlignment="1">
      <alignment horizontal="justify" vertical="center" wrapText="1"/>
    </xf>
    <xf numFmtId="9" fontId="3" fillId="2" borderId="20" xfId="2" applyNumberFormat="1" applyFont="1" applyFill="1" applyBorder="1" applyAlignment="1">
      <alignment horizontal="center" vertical="center"/>
    </xf>
    <xf numFmtId="172" fontId="3" fillId="2" borderId="20" xfId="0" applyNumberFormat="1" applyFont="1" applyFill="1" applyBorder="1" applyAlignment="1">
      <alignment horizontal="center" vertical="center"/>
    </xf>
    <xf numFmtId="0" fontId="3" fillId="2" borderId="40" xfId="0" applyFont="1" applyFill="1" applyBorder="1" applyAlignment="1">
      <alignment horizontal="justify" vertical="center" wrapText="1"/>
    </xf>
    <xf numFmtId="0" fontId="3" fillId="2" borderId="41" xfId="0" applyFont="1" applyFill="1" applyBorder="1" applyAlignment="1">
      <alignment horizontal="justify" vertical="center" wrapText="1"/>
    </xf>
    <xf numFmtId="0" fontId="9" fillId="2" borderId="65"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66" xfId="0" applyNumberFormat="1" applyFont="1" applyFill="1" applyBorder="1" applyAlignment="1">
      <alignment horizontal="center" vertical="center" wrapText="1"/>
    </xf>
    <xf numFmtId="0" fontId="9" fillId="2" borderId="18" xfId="0" applyNumberFormat="1" applyFont="1" applyFill="1" applyBorder="1" applyAlignment="1">
      <alignment horizontal="center" vertical="center" wrapText="1"/>
    </xf>
    <xf numFmtId="0" fontId="9" fillId="0" borderId="66" xfId="0" applyFont="1" applyFill="1" applyBorder="1" applyAlignment="1">
      <alignment horizontal="justify" vertical="center" wrapText="1"/>
    </xf>
    <xf numFmtId="0" fontId="3" fillId="2" borderId="2" xfId="0" applyFont="1" applyFill="1" applyBorder="1" applyAlignment="1">
      <alignment horizontal="center" vertical="center"/>
    </xf>
    <xf numFmtId="0" fontId="9" fillId="2" borderId="34" xfId="0" applyNumberFormat="1" applyFont="1" applyFill="1" applyBorder="1" applyAlignment="1">
      <alignment horizontal="center" vertical="center" wrapText="1"/>
    </xf>
    <xf numFmtId="0" fontId="3" fillId="2" borderId="33"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38" xfId="0" applyFont="1" applyBorder="1" applyAlignment="1">
      <alignment horizontal="center" vertical="center"/>
    </xf>
    <xf numFmtId="0" fontId="3" fillId="0" borderId="44" xfId="0" applyFont="1" applyBorder="1" applyAlignment="1">
      <alignment horizontal="center" vertical="center"/>
    </xf>
    <xf numFmtId="0" fontId="3" fillId="0" borderId="29" xfId="0" applyFont="1" applyBorder="1" applyAlignment="1">
      <alignment horizontal="center" vertical="center"/>
    </xf>
    <xf numFmtId="0" fontId="3" fillId="2" borderId="24" xfId="0" applyNumberFormat="1" applyFont="1" applyFill="1" applyBorder="1" applyAlignment="1">
      <alignment horizontal="center" vertical="center" wrapText="1"/>
    </xf>
    <xf numFmtId="14" fontId="3" fillId="2" borderId="38" xfId="0" applyNumberFormat="1" applyFont="1" applyFill="1" applyBorder="1" applyAlignment="1">
      <alignment horizontal="center" vertical="center"/>
    </xf>
    <xf numFmtId="14" fontId="3" fillId="2" borderId="44" xfId="0" applyNumberFormat="1" applyFont="1" applyFill="1" applyBorder="1" applyAlignment="1">
      <alignment horizontal="center" vertical="center"/>
    </xf>
    <xf numFmtId="14" fontId="3" fillId="2" borderId="29" xfId="0" applyNumberFormat="1" applyFont="1" applyFill="1" applyBorder="1" applyAlignment="1">
      <alignment horizontal="center" vertical="center"/>
    </xf>
    <xf numFmtId="14" fontId="3" fillId="0" borderId="38" xfId="0" applyNumberFormat="1" applyFont="1" applyFill="1" applyBorder="1" applyAlignment="1">
      <alignment horizontal="center" vertical="center"/>
    </xf>
    <xf numFmtId="14" fontId="3" fillId="0" borderId="44" xfId="0" applyNumberFormat="1" applyFont="1" applyFill="1" applyBorder="1" applyAlignment="1">
      <alignment horizontal="center" vertical="center"/>
    </xf>
    <xf numFmtId="14" fontId="3" fillId="0" borderId="29"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0" fontId="3" fillId="2" borderId="38" xfId="0" applyNumberFormat="1" applyFont="1" applyFill="1" applyBorder="1" applyAlignment="1">
      <alignment horizontal="center" vertical="center"/>
    </xf>
    <xf numFmtId="0" fontId="3" fillId="2" borderId="44" xfId="0" applyNumberFormat="1" applyFont="1" applyFill="1" applyBorder="1" applyAlignment="1">
      <alignment horizontal="center" vertical="center"/>
    </xf>
    <xf numFmtId="0" fontId="3" fillId="2" borderId="29" xfId="0" applyNumberFormat="1" applyFont="1" applyFill="1" applyBorder="1" applyAlignment="1">
      <alignment horizontal="center" vertical="center"/>
    </xf>
    <xf numFmtId="4" fontId="3" fillId="2" borderId="38" xfId="0" applyNumberFormat="1" applyFont="1" applyFill="1" applyBorder="1" applyAlignment="1">
      <alignment horizontal="center" vertical="center"/>
    </xf>
    <xf numFmtId="4" fontId="3" fillId="2" borderId="44" xfId="0" applyNumberFormat="1" applyFont="1" applyFill="1" applyBorder="1" applyAlignment="1">
      <alignment horizontal="center" vertical="center"/>
    </xf>
    <xf numFmtId="4" fontId="3" fillId="2" borderId="29" xfId="0" applyNumberFormat="1" applyFont="1" applyFill="1" applyBorder="1" applyAlignment="1">
      <alignment horizontal="center" vertical="center"/>
    </xf>
    <xf numFmtId="9" fontId="3" fillId="2" borderId="38" xfId="2" applyFont="1" applyFill="1" applyBorder="1" applyAlignment="1">
      <alignment horizontal="center" vertical="center"/>
    </xf>
    <xf numFmtId="9" fontId="3" fillId="2" borderId="44" xfId="2" applyFont="1" applyFill="1" applyBorder="1" applyAlignment="1">
      <alignment horizontal="center" vertical="center"/>
    </xf>
    <xf numFmtId="9" fontId="3" fillId="2" borderId="29" xfId="2" applyFont="1" applyFill="1" applyBorder="1" applyAlignment="1">
      <alignment horizontal="center" vertical="center"/>
    </xf>
    <xf numFmtId="0" fontId="3" fillId="2" borderId="38" xfId="0" applyNumberFormat="1" applyFont="1" applyFill="1" applyBorder="1" applyAlignment="1">
      <alignment horizontal="center" vertical="center" wrapText="1"/>
    </xf>
    <xf numFmtId="9" fontId="3" fillId="2" borderId="20" xfId="2" applyFont="1" applyFill="1" applyBorder="1" applyAlignment="1">
      <alignment horizontal="center" vertical="center"/>
    </xf>
    <xf numFmtId="172" fontId="3" fillId="2" borderId="21" xfId="0" applyNumberFormat="1" applyFont="1" applyFill="1" applyBorder="1" applyAlignment="1">
      <alignment horizontal="center" vertical="center"/>
    </xf>
    <xf numFmtId="172" fontId="3" fillId="2" borderId="23" xfId="0" applyNumberFormat="1" applyFont="1" applyFill="1" applyBorder="1" applyAlignment="1">
      <alignment horizontal="center" vertical="center"/>
    </xf>
    <xf numFmtId="0" fontId="9" fillId="0" borderId="40" xfId="0" applyFont="1" applyFill="1" applyBorder="1" applyAlignment="1">
      <alignment horizontal="justify" vertical="center" wrapText="1"/>
    </xf>
    <xf numFmtId="0" fontId="9" fillId="0" borderId="31" xfId="0" applyFont="1" applyFill="1" applyBorder="1" applyAlignment="1">
      <alignment horizontal="justify" vertical="center" wrapText="1"/>
    </xf>
    <xf numFmtId="0" fontId="9" fillId="0" borderId="41"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3" fillId="2" borderId="40" xfId="0" applyNumberFormat="1" applyFont="1" applyFill="1" applyBorder="1" applyAlignment="1">
      <alignment horizontal="center" vertical="center" wrapText="1"/>
    </xf>
    <xf numFmtId="0" fontId="3" fillId="2" borderId="31" xfId="0" applyNumberFormat="1" applyFont="1" applyFill="1" applyBorder="1" applyAlignment="1">
      <alignment horizontal="center" vertical="center" wrapText="1"/>
    </xf>
    <xf numFmtId="0" fontId="3" fillId="2" borderId="41" xfId="0" applyNumberFormat="1" applyFont="1" applyFill="1" applyBorder="1" applyAlignment="1">
      <alignment horizontal="center" vertical="center" wrapText="1"/>
    </xf>
    <xf numFmtId="0" fontId="9" fillId="2" borderId="34" xfId="5" applyNumberFormat="1" applyFont="1" applyFill="1" applyBorder="1" applyAlignment="1">
      <alignment horizontal="center" vertical="center" wrapText="1"/>
    </xf>
    <xf numFmtId="0" fontId="9" fillId="2" borderId="20" xfId="5" applyNumberFormat="1" applyFont="1" applyFill="1" applyBorder="1" applyAlignment="1">
      <alignment horizontal="center" vertical="center" wrapText="1"/>
    </xf>
    <xf numFmtId="0" fontId="3" fillId="2" borderId="31" xfId="0" applyNumberFormat="1" applyFont="1" applyFill="1" applyBorder="1" applyAlignment="1">
      <alignment horizontal="center" vertical="center"/>
    </xf>
    <xf numFmtId="0" fontId="3" fillId="2" borderId="41" xfId="0" applyNumberFormat="1" applyFont="1" applyFill="1" applyBorder="1" applyAlignment="1">
      <alignment horizontal="center" vertical="center"/>
    </xf>
    <xf numFmtId="14" fontId="3" fillId="2" borderId="40" xfId="0" applyNumberFormat="1" applyFont="1" applyFill="1" applyBorder="1" applyAlignment="1">
      <alignment horizontal="center" vertical="center"/>
    </xf>
    <xf numFmtId="14" fontId="3" fillId="2" borderId="31" xfId="0" applyNumberFormat="1" applyFont="1" applyFill="1" applyBorder="1" applyAlignment="1">
      <alignment horizontal="center" vertical="center"/>
    </xf>
    <xf numFmtId="14" fontId="3" fillId="2" borderId="41" xfId="0" applyNumberFormat="1" applyFont="1" applyFill="1" applyBorder="1" applyAlignment="1">
      <alignment horizontal="center" vertical="center"/>
    </xf>
    <xf numFmtId="14" fontId="3" fillId="0" borderId="40" xfId="0" applyNumberFormat="1" applyFont="1" applyFill="1" applyBorder="1" applyAlignment="1">
      <alignment horizontal="center" vertical="center"/>
    </xf>
    <xf numFmtId="14" fontId="3" fillId="0" borderId="31" xfId="0" applyNumberFormat="1" applyFont="1" applyFill="1" applyBorder="1" applyAlignment="1">
      <alignment horizontal="center" vertical="center"/>
    </xf>
    <xf numFmtId="14" fontId="3" fillId="0" borderId="41" xfId="0" applyNumberFormat="1" applyFont="1" applyFill="1" applyBorder="1" applyAlignment="1">
      <alignment horizontal="center" vertical="center"/>
    </xf>
    <xf numFmtId="0" fontId="3" fillId="0" borderId="40" xfId="0" applyFont="1" applyBorder="1" applyAlignment="1">
      <alignment horizontal="center" vertical="center"/>
    </xf>
    <xf numFmtId="0" fontId="3" fillId="2" borderId="40" xfId="0" applyNumberFormat="1" applyFont="1" applyFill="1" applyBorder="1" applyAlignment="1">
      <alignment horizontal="center" vertical="center"/>
    </xf>
    <xf numFmtId="4" fontId="3" fillId="2" borderId="40" xfId="0" applyNumberFormat="1" applyFont="1" applyFill="1" applyBorder="1" applyAlignment="1">
      <alignment horizontal="center" vertical="center"/>
    </xf>
    <xf numFmtId="4" fontId="3" fillId="2" borderId="31" xfId="0" applyNumberFormat="1" applyFont="1" applyFill="1" applyBorder="1" applyAlignment="1">
      <alignment horizontal="center" vertical="center"/>
    </xf>
    <xf numFmtId="4" fontId="3" fillId="2" borderId="41" xfId="0" applyNumberFormat="1" applyFont="1" applyFill="1" applyBorder="1" applyAlignment="1">
      <alignment horizontal="center" vertical="center"/>
    </xf>
    <xf numFmtId="9" fontId="3" fillId="2" borderId="40" xfId="2" applyFont="1" applyFill="1" applyBorder="1" applyAlignment="1">
      <alignment horizontal="center" vertical="center"/>
    </xf>
    <xf numFmtId="9" fontId="3" fillId="2" borderId="31" xfId="2" applyFont="1" applyFill="1" applyBorder="1" applyAlignment="1">
      <alignment horizontal="center" vertical="center"/>
    </xf>
    <xf numFmtId="9" fontId="3" fillId="2" borderId="41" xfId="2"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7" xfId="0" applyFont="1" applyFill="1" applyBorder="1" applyAlignment="1">
      <alignment horizontal="center" vertical="center"/>
    </xf>
    <xf numFmtId="1" fontId="3" fillId="0" borderId="16" xfId="0" applyNumberFormat="1" applyFont="1" applyFill="1" applyBorder="1" applyAlignment="1">
      <alignment horizontal="center"/>
    </xf>
    <xf numFmtId="1" fontId="3" fillId="0" borderId="0" xfId="0" applyNumberFormat="1" applyFont="1" applyFill="1" applyBorder="1" applyAlignment="1">
      <alignment horizontal="center"/>
    </xf>
    <xf numFmtId="0" fontId="2" fillId="0" borderId="8" xfId="0" applyFont="1" applyFill="1" applyBorder="1" applyAlignment="1">
      <alignment horizontal="center" vertical="center"/>
    </xf>
    <xf numFmtId="0" fontId="2"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9" fillId="2" borderId="45" xfId="5" applyNumberFormat="1" applyFont="1" applyFill="1" applyBorder="1" applyAlignment="1">
      <alignment horizontal="center" vertical="center" wrapText="1"/>
    </xf>
    <xf numFmtId="14" fontId="3" fillId="2" borderId="23" xfId="0" applyNumberFormat="1" applyFont="1" applyFill="1" applyBorder="1" applyAlignment="1">
      <alignment horizontal="center" vertical="center"/>
    </xf>
    <xf numFmtId="14" fontId="3" fillId="0" borderId="23" xfId="0" applyNumberFormat="1" applyFont="1" applyFill="1" applyBorder="1" applyAlignment="1">
      <alignment horizontal="center" vertical="center"/>
    </xf>
    <xf numFmtId="1" fontId="3" fillId="0" borderId="8" xfId="0" applyNumberFormat="1" applyFont="1" applyBorder="1" applyAlignment="1">
      <alignment horizontal="center"/>
    </xf>
    <xf numFmtId="1" fontId="3" fillId="0" borderId="5" xfId="0" applyNumberFormat="1" applyFont="1" applyBorder="1" applyAlignment="1">
      <alignment horizontal="center"/>
    </xf>
    <xf numFmtId="1" fontId="3" fillId="0" borderId="7" xfId="0" applyNumberFormat="1" applyFont="1" applyBorder="1" applyAlignment="1">
      <alignment horizontal="center"/>
    </xf>
    <xf numFmtId="0" fontId="9" fillId="2" borderId="7" xfId="5" applyNumberFormat="1" applyFont="1" applyFill="1" applyBorder="1" applyAlignment="1">
      <alignment horizontal="center" vertical="center" wrapText="1"/>
    </xf>
    <xf numFmtId="0" fontId="9" fillId="2" borderId="4" xfId="5" applyNumberFormat="1" applyFont="1" applyFill="1" applyBorder="1" applyAlignment="1">
      <alignment horizontal="center" vertical="center" wrapText="1"/>
    </xf>
    <xf numFmtId="4" fontId="3" fillId="2" borderId="23" xfId="0" applyNumberFormat="1" applyFont="1" applyFill="1" applyBorder="1" applyAlignment="1">
      <alignment horizontal="center" vertical="center"/>
    </xf>
    <xf numFmtId="0" fontId="3" fillId="2" borderId="23" xfId="0" applyNumberFormat="1" applyFont="1" applyFill="1" applyBorder="1" applyAlignment="1">
      <alignment horizontal="center" vertical="center"/>
    </xf>
    <xf numFmtId="1" fontId="3" fillId="0" borderId="21" xfId="0" applyNumberFormat="1" applyFont="1" applyBorder="1" applyAlignment="1">
      <alignment horizontal="center" vertical="center"/>
    </xf>
    <xf numFmtId="1" fontId="3" fillId="0" borderId="23" xfId="0" applyNumberFormat="1" applyFont="1" applyBorder="1" applyAlignment="1">
      <alignment horizontal="center" vertical="center"/>
    </xf>
    <xf numFmtId="1" fontId="3" fillId="0" borderId="27" xfId="0" applyNumberFormat="1" applyFont="1" applyBorder="1" applyAlignment="1">
      <alignment horizontal="center" vertical="center"/>
    </xf>
    <xf numFmtId="0" fontId="3" fillId="2" borderId="8" xfId="0" applyFont="1" applyFill="1" applyBorder="1" applyAlignment="1">
      <alignment horizontal="justify" vertical="center" wrapText="1"/>
    </xf>
    <xf numFmtId="0" fontId="3" fillId="2" borderId="6" xfId="0" applyFont="1" applyFill="1" applyBorder="1" applyAlignment="1">
      <alignment horizontal="justify" vertical="center" wrapText="1"/>
    </xf>
    <xf numFmtId="172" fontId="3" fillId="0" borderId="9" xfId="0" applyNumberFormat="1" applyFont="1" applyBorder="1" applyAlignment="1">
      <alignment horizontal="center" vertical="center"/>
    </xf>
    <xf numFmtId="172" fontId="3" fillId="0" borderId="17" xfId="0" applyNumberFormat="1" applyFont="1" applyBorder="1" applyAlignment="1">
      <alignment horizontal="center" vertical="center"/>
    </xf>
    <xf numFmtId="172" fontId="3" fillId="0" borderId="4" xfId="0" applyNumberFormat="1" applyFont="1" applyBorder="1" applyAlignment="1">
      <alignment horizontal="center" vertical="center"/>
    </xf>
    <xf numFmtId="0" fontId="2" fillId="0" borderId="42" xfId="0" applyFont="1" applyBorder="1" applyAlignment="1">
      <alignment horizontal="center" vertical="center"/>
    </xf>
    <xf numFmtId="0" fontId="2" fillId="0" borderId="44" xfId="0" applyFont="1" applyBorder="1" applyAlignment="1">
      <alignment horizontal="center" vertical="center"/>
    </xf>
    <xf numFmtId="0" fontId="2" fillId="0" borderId="29" xfId="0" applyFont="1" applyBorder="1" applyAlignment="1">
      <alignment horizontal="center" vertical="center"/>
    </xf>
    <xf numFmtId="0" fontId="2" fillId="0" borderId="64" xfId="0" applyFont="1" applyBorder="1" applyAlignment="1">
      <alignment horizontal="center" vertical="center"/>
    </xf>
    <xf numFmtId="0" fontId="2" fillId="0" borderId="0" xfId="0" applyFont="1" applyBorder="1" applyAlignment="1">
      <alignment horizontal="center" vertical="center"/>
    </xf>
    <xf numFmtId="0" fontId="2" fillId="0" borderId="63" xfId="0" applyFont="1" applyBorder="1" applyAlignment="1">
      <alignment horizontal="center" vertical="center"/>
    </xf>
    <xf numFmtId="0" fontId="2" fillId="0" borderId="30" xfId="0" applyFont="1" applyBorder="1" applyAlignment="1">
      <alignment horizontal="center" vertical="center"/>
    </xf>
    <xf numFmtId="0" fontId="9" fillId="2" borderId="8" xfId="5" applyNumberFormat="1" applyFont="1" applyFill="1" applyBorder="1" applyAlignment="1">
      <alignment horizontal="center" vertical="center" wrapText="1"/>
    </xf>
    <xf numFmtId="0" fontId="9" fillId="2" borderId="6" xfId="5" applyNumberFormat="1" applyFont="1" applyFill="1" applyBorder="1" applyAlignment="1">
      <alignment horizontal="center" vertical="center" wrapText="1"/>
    </xf>
    <xf numFmtId="0" fontId="9" fillId="2" borderId="33" xfId="5"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14" fontId="3" fillId="2" borderId="7" xfId="0" applyNumberFormat="1" applyFont="1" applyFill="1" applyBorder="1" applyAlignment="1">
      <alignment horizontal="center" vertical="center"/>
    </xf>
    <xf numFmtId="14" fontId="3" fillId="2" borderId="1"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9" fontId="3" fillId="2" borderId="7" xfId="2" applyFont="1" applyFill="1" applyBorder="1" applyAlignment="1">
      <alignment horizontal="center" vertical="center"/>
    </xf>
    <xf numFmtId="9" fontId="3" fillId="2" borderId="1" xfId="2" applyFont="1" applyFill="1" applyBorder="1" applyAlignment="1">
      <alignment horizontal="center" vertical="center"/>
    </xf>
    <xf numFmtId="0" fontId="6" fillId="7" borderId="17" xfId="0" applyFont="1" applyFill="1" applyBorder="1" applyAlignment="1">
      <alignment horizontal="left" vertical="center" wrapText="1"/>
    </xf>
    <xf numFmtId="0" fontId="6" fillId="7" borderId="18"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172" fontId="3" fillId="2" borderId="2" xfId="0" applyNumberFormat="1" applyFont="1" applyFill="1" applyBorder="1" applyAlignment="1">
      <alignment horizontal="center" vertical="center"/>
    </xf>
    <xf numFmtId="14" fontId="3" fillId="2" borderId="20" xfId="0" applyNumberFormat="1" applyFont="1" applyFill="1" applyBorder="1" applyAlignment="1">
      <alignment horizontal="center" vertical="center"/>
    </xf>
    <xf numFmtId="14" fontId="3" fillId="0" borderId="20" xfId="0" applyNumberFormat="1" applyFont="1" applyFill="1" applyBorder="1" applyAlignment="1">
      <alignment horizontal="center" vertical="center"/>
    </xf>
    <xf numFmtId="0" fontId="3" fillId="2" borderId="20" xfId="0" applyNumberFormat="1" applyFont="1" applyFill="1" applyBorder="1" applyAlignment="1">
      <alignment horizontal="center" vertical="center" wrapText="1"/>
    </xf>
    <xf numFmtId="0" fontId="3" fillId="2" borderId="20" xfId="0" applyNumberFormat="1" applyFont="1" applyFill="1" applyBorder="1" applyAlignment="1">
      <alignment horizontal="center" vertical="center"/>
    </xf>
    <xf numFmtId="4" fontId="3" fillId="2" borderId="20" xfId="0" applyNumberFormat="1" applyFont="1" applyFill="1" applyBorder="1" applyAlignment="1">
      <alignment horizontal="center" vertical="center"/>
    </xf>
    <xf numFmtId="1" fontId="3" fillId="2" borderId="20" xfId="0" applyNumberFormat="1" applyFont="1" applyFill="1" applyBorder="1" applyAlignment="1">
      <alignment horizontal="center" vertical="center"/>
    </xf>
    <xf numFmtId="172" fontId="3" fillId="0" borderId="20" xfId="0" applyNumberFormat="1" applyFont="1" applyFill="1" applyBorder="1" applyAlignment="1">
      <alignment horizontal="center" vertical="center"/>
    </xf>
    <xf numFmtId="1" fontId="3" fillId="2" borderId="5" xfId="0" applyNumberFormat="1"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0" fontId="9" fillId="2" borderId="16" xfId="5"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14" fontId="3" fillId="2" borderId="4"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xf>
    <xf numFmtId="1" fontId="3" fillId="2" borderId="4"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4" fontId="3" fillId="2" borderId="4" xfId="0" applyNumberFormat="1" applyFont="1" applyFill="1" applyBorder="1" applyAlignment="1">
      <alignment horizontal="center" vertical="center"/>
    </xf>
    <xf numFmtId="9" fontId="3" fillId="2" borderId="4" xfId="2" applyFont="1" applyFill="1" applyBorder="1" applyAlignment="1">
      <alignment horizontal="center" vertical="center"/>
    </xf>
    <xf numFmtId="1" fontId="3" fillId="2" borderId="40" xfId="0" applyNumberFormat="1" applyFont="1" applyFill="1" applyBorder="1" applyAlignment="1">
      <alignment horizontal="center" vertical="center"/>
    </xf>
    <xf numFmtId="1" fontId="3" fillId="2" borderId="41" xfId="0" applyNumberFormat="1" applyFont="1" applyFill="1" applyBorder="1" applyAlignment="1">
      <alignment horizontal="center" vertical="center"/>
    </xf>
    <xf numFmtId="0" fontId="3" fillId="2" borderId="7" xfId="0" applyFont="1" applyFill="1" applyBorder="1" applyAlignment="1">
      <alignment horizontal="justify" vertical="center" wrapText="1"/>
    </xf>
    <xf numFmtId="0" fontId="3" fillId="2" borderId="1" xfId="0" applyFont="1" applyFill="1" applyBorder="1" applyAlignment="1">
      <alignment horizontal="justify" vertical="center" wrapText="1"/>
    </xf>
    <xf numFmtId="172" fontId="9" fillId="2" borderId="2" xfId="10" applyNumberFormat="1" applyFont="1" applyFill="1" applyBorder="1" applyAlignment="1">
      <alignment horizontal="center" vertical="center" wrapText="1"/>
    </xf>
    <xf numFmtId="0" fontId="3" fillId="2" borderId="4" xfId="0" applyFont="1" applyFill="1" applyBorder="1" applyAlignment="1">
      <alignment horizontal="justify" vertical="center" wrapText="1"/>
    </xf>
    <xf numFmtId="172" fontId="9" fillId="0" borderId="2" xfId="10" applyNumberFormat="1" applyFont="1" applyFill="1" applyBorder="1" applyAlignment="1">
      <alignment horizontal="center" vertical="center" wrapText="1"/>
    </xf>
    <xf numFmtId="0" fontId="9" fillId="2" borderId="21" xfId="5" applyNumberFormat="1"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0" xfId="0" applyFont="1" applyFill="1" applyBorder="1" applyAlignment="1">
      <alignment horizontal="center" vertical="center"/>
    </xf>
    <xf numFmtId="172" fontId="9" fillId="0" borderId="20" xfId="10" applyNumberFormat="1" applyFont="1" applyFill="1" applyBorder="1" applyAlignment="1">
      <alignment horizontal="center" vertical="center" wrapText="1"/>
    </xf>
    <xf numFmtId="172" fontId="9" fillId="0" borderId="21" xfId="10" applyNumberFormat="1" applyFont="1" applyFill="1" applyBorder="1" applyAlignment="1">
      <alignment horizontal="center" vertical="center" wrapText="1"/>
    </xf>
    <xf numFmtId="14" fontId="9" fillId="0" borderId="20" xfId="0" applyNumberFormat="1" applyFont="1" applyFill="1" applyBorder="1" applyAlignment="1">
      <alignment horizontal="center" vertical="center"/>
    </xf>
    <xf numFmtId="14" fontId="9" fillId="0" borderId="21" xfId="0" applyNumberFormat="1" applyFont="1" applyFill="1" applyBorder="1" applyAlignment="1">
      <alignment horizontal="center" vertical="center"/>
    </xf>
    <xf numFmtId="0" fontId="3" fillId="2" borderId="42" xfId="0" applyFont="1" applyFill="1" applyBorder="1" applyAlignment="1">
      <alignment horizontal="justify" vertical="center" wrapText="1"/>
    </xf>
    <xf numFmtId="0" fontId="9" fillId="2" borderId="34" xfId="0" applyFont="1" applyFill="1" applyBorder="1" applyAlignment="1">
      <alignment horizontal="justify" vertical="center" wrapText="1"/>
    </xf>
    <xf numFmtId="0" fontId="9" fillId="2" borderId="45" xfId="0" applyFont="1" applyFill="1" applyBorder="1" applyAlignment="1">
      <alignment horizontal="justify" vertical="center" wrapText="1"/>
    </xf>
    <xf numFmtId="172" fontId="9" fillId="2" borderId="20" xfId="10" applyNumberFormat="1" applyFont="1" applyFill="1" applyBorder="1" applyAlignment="1">
      <alignment horizontal="center" vertical="center" wrapText="1"/>
    </xf>
    <xf numFmtId="172" fontId="9" fillId="2" borderId="21" xfId="10" applyNumberFormat="1" applyFont="1" applyFill="1" applyBorder="1" applyAlignment="1">
      <alignment horizontal="center" vertical="center" wrapText="1"/>
    </xf>
    <xf numFmtId="14" fontId="9" fillId="2" borderId="21" xfId="0" applyNumberFormat="1" applyFont="1" applyFill="1" applyBorder="1" applyAlignment="1">
      <alignment horizontal="center" vertical="center" wrapText="1"/>
    </xf>
    <xf numFmtId="14" fontId="9" fillId="2" borderId="23" xfId="0" applyNumberFormat="1" applyFont="1" applyFill="1" applyBorder="1" applyAlignment="1">
      <alignment horizontal="center" vertical="center" wrapText="1"/>
    </xf>
    <xf numFmtId="14" fontId="9" fillId="0" borderId="42" xfId="0" applyNumberFormat="1" applyFont="1" applyFill="1" applyBorder="1" applyAlignment="1">
      <alignment horizontal="center" vertical="center" wrapText="1"/>
    </xf>
    <xf numFmtId="14" fontId="9" fillId="0" borderId="44"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34" xfId="5" applyNumberFormat="1" applyFont="1" applyFill="1" applyBorder="1" applyAlignment="1">
      <alignment horizontal="center" vertical="center"/>
    </xf>
    <xf numFmtId="0" fontId="9" fillId="2" borderId="45" xfId="5" applyNumberFormat="1" applyFont="1" applyFill="1" applyBorder="1" applyAlignment="1">
      <alignment horizontal="center" vertical="center"/>
    </xf>
    <xf numFmtId="0" fontId="3" fillId="2" borderId="29" xfId="0" applyFont="1" applyFill="1" applyBorder="1" applyAlignment="1">
      <alignment horizontal="center" vertical="center"/>
    </xf>
    <xf numFmtId="0" fontId="3" fillId="2" borderId="24" xfId="0" applyFont="1" applyFill="1" applyBorder="1" applyAlignment="1">
      <alignment horizontal="center" vertical="center"/>
    </xf>
    <xf numFmtId="0" fontId="9" fillId="2" borderId="23" xfId="0" applyNumberFormat="1" applyFont="1" applyFill="1" applyBorder="1" applyAlignment="1">
      <alignment horizontal="center" vertical="center" wrapText="1"/>
    </xf>
    <xf numFmtId="1" fontId="9" fillId="0" borderId="21" xfId="0" applyNumberFormat="1" applyFont="1" applyBorder="1" applyAlignment="1">
      <alignment horizontal="center" vertical="center" wrapText="1"/>
    </xf>
    <xf numFmtId="1" fontId="9" fillId="0" borderId="23" xfId="0" applyNumberFormat="1" applyFont="1" applyBorder="1" applyAlignment="1">
      <alignment horizontal="center" vertical="center" wrapText="1"/>
    </xf>
    <xf numFmtId="178" fontId="9" fillId="2" borderId="27" xfId="10" applyNumberFormat="1" applyFont="1" applyFill="1" applyBorder="1" applyAlignment="1">
      <alignment horizontal="center" vertical="center" wrapText="1"/>
    </xf>
    <xf numFmtId="178" fontId="9" fillId="2" borderId="20" xfId="10" applyNumberFormat="1" applyFont="1" applyFill="1" applyBorder="1" applyAlignment="1">
      <alignment horizontal="center" vertical="center" wrapText="1"/>
    </xf>
    <xf numFmtId="1" fontId="9" fillId="0" borderId="20" xfId="0" applyNumberFormat="1" applyFont="1" applyBorder="1" applyAlignment="1">
      <alignment horizontal="center" vertical="center"/>
    </xf>
    <xf numFmtId="0" fontId="3" fillId="2" borderId="29"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9" fillId="2" borderId="63" xfId="5" applyNumberFormat="1" applyFont="1" applyFill="1" applyBorder="1" applyAlignment="1">
      <alignment horizontal="center" vertical="center" wrapText="1"/>
    </xf>
    <xf numFmtId="0" fontId="9" fillId="2" borderId="57" xfId="5" applyNumberFormat="1" applyFont="1" applyFill="1" applyBorder="1" applyAlignment="1">
      <alignment horizontal="center" vertical="center" wrapText="1"/>
    </xf>
    <xf numFmtId="0" fontId="9" fillId="2" borderId="27" xfId="5" applyNumberFormat="1" applyFont="1" applyFill="1" applyBorder="1" applyAlignment="1">
      <alignment horizontal="center" vertical="center" wrapText="1"/>
    </xf>
    <xf numFmtId="0" fontId="9" fillId="0" borderId="30" xfId="0" applyFont="1" applyFill="1" applyBorder="1" applyAlignment="1">
      <alignment horizontal="justify" vertical="center" wrapText="1"/>
    </xf>
    <xf numFmtId="0" fontId="9" fillId="0" borderId="34" xfId="0" applyFont="1" applyFill="1" applyBorder="1" applyAlignment="1">
      <alignment horizontal="justify" vertical="center" wrapText="1"/>
    </xf>
    <xf numFmtId="0" fontId="5" fillId="3" borderId="10" xfId="0" applyFont="1" applyFill="1" applyBorder="1" applyAlignment="1">
      <alignment horizontal="center" vertical="center" wrapText="1"/>
    </xf>
    <xf numFmtId="0" fontId="5" fillId="3" borderId="12" xfId="0" applyFont="1" applyFill="1" applyBorder="1" applyAlignment="1">
      <alignment horizontal="center" vertical="center" wrapText="1"/>
    </xf>
    <xf numFmtId="168" fontId="5" fillId="3" borderId="8" xfId="0" applyNumberFormat="1" applyFont="1" applyFill="1" applyBorder="1" applyAlignment="1">
      <alignment horizontal="center" vertical="center" wrapText="1"/>
    </xf>
    <xf numFmtId="168" fontId="5" fillId="3" borderId="7" xfId="0" applyNumberFormat="1" applyFont="1" applyFill="1" applyBorder="1" applyAlignment="1">
      <alignment horizontal="center" vertical="center" wrapText="1"/>
    </xf>
    <xf numFmtId="168" fontId="5" fillId="3" borderId="6" xfId="0" applyNumberFormat="1" applyFont="1" applyFill="1" applyBorder="1" applyAlignment="1">
      <alignment horizontal="center" vertical="center" wrapText="1"/>
    </xf>
    <xf numFmtId="168" fontId="5" fillId="3" borderId="4" xfId="0" applyNumberFormat="1"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0" fontId="5" fillId="3" borderId="10" xfId="0" applyFont="1" applyFill="1" applyBorder="1" applyAlignment="1">
      <alignment horizontal="center" vertical="center" textRotation="90" wrapText="1"/>
    </xf>
    <xf numFmtId="0" fontId="5" fillId="3" borderId="12" xfId="0" applyFont="1" applyFill="1" applyBorder="1" applyAlignment="1">
      <alignment horizontal="center" vertical="center" textRotation="90" wrapText="1"/>
    </xf>
    <xf numFmtId="0" fontId="25" fillId="4" borderId="10"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0" xfId="0" applyFont="1" applyFill="1" applyBorder="1" applyAlignment="1">
      <alignment horizontal="center" vertical="center"/>
    </xf>
    <xf numFmtId="0" fontId="25" fillId="4" borderId="11" xfId="0" applyFont="1" applyFill="1" applyBorder="1" applyAlignment="1">
      <alignment horizontal="center" vertical="center"/>
    </xf>
    <xf numFmtId="0" fontId="25" fillId="4" borderId="12" xfId="0" applyFont="1" applyFill="1" applyBorder="1" applyAlignment="1">
      <alignment horizontal="center" vertical="center"/>
    </xf>
    <xf numFmtId="0" fontId="25" fillId="4" borderId="8" xfId="0" applyFont="1" applyFill="1" applyBorder="1" applyAlignment="1">
      <alignment horizontal="center" vertical="center" textRotation="90" wrapText="1"/>
    </xf>
    <xf numFmtId="0" fontId="25" fillId="4" borderId="7" xfId="0" applyFont="1" applyFill="1" applyBorder="1" applyAlignment="1">
      <alignment horizontal="center" vertical="center" textRotation="90" wrapText="1"/>
    </xf>
    <xf numFmtId="0" fontId="25" fillId="4" borderId="16" xfId="0" applyFont="1" applyFill="1" applyBorder="1" applyAlignment="1">
      <alignment horizontal="center" vertical="center" textRotation="90" wrapText="1"/>
    </xf>
    <xf numFmtId="0" fontId="25" fillId="4" borderId="1" xfId="0" applyFont="1" applyFill="1" applyBorder="1" applyAlignment="1">
      <alignment horizontal="center" vertical="center" textRotation="90" wrapText="1"/>
    </xf>
    <xf numFmtId="167" fontId="27" fillId="3" borderId="13" xfId="3" applyFont="1" applyFill="1" applyBorder="1" applyAlignment="1">
      <alignment horizontal="center" vertical="center"/>
    </xf>
    <xf numFmtId="167" fontId="27" fillId="3" borderId="14" xfId="3" applyFont="1" applyFill="1" applyBorder="1" applyAlignment="1">
      <alignment horizontal="center" vertical="center"/>
    </xf>
    <xf numFmtId="167" fontId="27" fillId="3" borderId="15" xfId="3" applyFont="1" applyFill="1" applyBorder="1" applyAlignment="1">
      <alignment horizontal="center" vertical="center"/>
    </xf>
    <xf numFmtId="0" fontId="5" fillId="3" borderId="2" xfId="0" applyFont="1" applyFill="1" applyBorder="1" applyAlignment="1">
      <alignment horizontal="justify" vertical="center" wrapText="1"/>
    </xf>
    <xf numFmtId="166" fontId="5" fillId="3" borderId="2" xfId="0" applyNumberFormat="1" applyFont="1" applyFill="1" applyBorder="1" applyAlignment="1">
      <alignment horizontal="center" vertical="center" wrapText="1"/>
    </xf>
    <xf numFmtId="1" fontId="5" fillId="3" borderId="9" xfId="0" applyNumberFormat="1" applyFont="1" applyFill="1" applyBorder="1" applyAlignment="1">
      <alignment horizontal="center" vertical="center" wrapText="1"/>
    </xf>
    <xf numFmtId="1" fontId="5" fillId="3" borderId="18" xfId="0" applyNumberFormat="1" applyFont="1" applyFill="1" applyBorder="1" applyAlignment="1">
      <alignment horizontal="center" vertical="center" wrapText="1"/>
    </xf>
    <xf numFmtId="3" fontId="25" fillId="4" borderId="10" xfId="0" applyNumberFormat="1" applyFont="1" applyFill="1" applyBorder="1" applyAlignment="1">
      <alignment horizontal="center" vertical="center" wrapText="1"/>
    </xf>
    <xf numFmtId="3" fontId="25" fillId="4" borderId="11" xfId="0" applyNumberFormat="1" applyFont="1" applyFill="1" applyBorder="1" applyAlignment="1">
      <alignment horizontal="center" vertical="center" wrapText="1"/>
    </xf>
    <xf numFmtId="3" fontId="25" fillId="4" borderId="1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165" fontId="5"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25" fillId="0" borderId="50"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52" xfId="0" applyFont="1" applyBorder="1" applyAlignment="1">
      <alignment horizontal="center" vertical="center" wrapText="1"/>
    </xf>
    <xf numFmtId="14" fontId="3" fillId="2" borderId="18" xfId="0" applyNumberFormat="1" applyFont="1" applyFill="1" applyBorder="1" applyAlignment="1">
      <alignment horizontal="center" vertical="center" wrapText="1"/>
    </xf>
    <xf numFmtId="0" fontId="18" fillId="2" borderId="2" xfId="19" applyFont="1" applyFill="1" applyBorder="1" applyAlignment="1">
      <alignment horizontal="justify" vertical="center" wrapText="1"/>
    </xf>
    <xf numFmtId="1" fontId="3" fillId="0" borderId="0" xfId="0" applyNumberFormat="1" applyFont="1" applyAlignment="1">
      <alignment horizontal="center"/>
    </xf>
    <xf numFmtId="4" fontId="3" fillId="2" borderId="9" xfId="0" applyNumberFormat="1" applyFont="1" applyFill="1" applyBorder="1" applyAlignment="1">
      <alignment horizontal="center" vertical="center" wrapText="1"/>
    </xf>
    <xf numFmtId="4" fontId="3" fillId="2" borderId="17" xfId="0" applyNumberFormat="1" applyFont="1" applyFill="1" applyBorder="1" applyAlignment="1">
      <alignment horizontal="center" vertical="center" wrapText="1"/>
    </xf>
    <xf numFmtId="4" fontId="3" fillId="2" borderId="18" xfId="0" applyNumberFormat="1" applyFont="1" applyFill="1" applyBorder="1" applyAlignment="1">
      <alignment horizontal="center" vertical="center" wrapText="1"/>
    </xf>
    <xf numFmtId="0" fontId="18" fillId="0" borderId="2" xfId="0" applyFont="1" applyBorder="1" applyAlignment="1">
      <alignment horizontal="left" vertical="center" wrapText="1"/>
    </xf>
    <xf numFmtId="0" fontId="3" fillId="0" borderId="34" xfId="0" applyFont="1" applyBorder="1" applyAlignment="1">
      <alignment horizontal="center" vertical="center" wrapText="1"/>
    </xf>
    <xf numFmtId="0" fontId="9" fillId="0" borderId="57" xfId="0" applyFont="1" applyBorder="1" applyAlignment="1">
      <alignment horizontal="center" vertical="center" wrapText="1"/>
    </xf>
    <xf numFmtId="9" fontId="3" fillId="2" borderId="5" xfId="2" applyFont="1" applyFill="1" applyBorder="1" applyAlignment="1">
      <alignment horizontal="center" vertical="center" wrapText="1"/>
    </xf>
    <xf numFmtId="9" fontId="3" fillId="2" borderId="0" xfId="2" applyFont="1" applyFill="1" applyBorder="1" applyAlignment="1">
      <alignment horizontal="center" vertical="center" wrapText="1"/>
    </xf>
    <xf numFmtId="9" fontId="3" fillId="2" borderId="3" xfId="2" applyFont="1" applyFill="1" applyBorder="1" applyAlignment="1">
      <alignment horizontal="center" vertical="center" wrapText="1"/>
    </xf>
    <xf numFmtId="43" fontId="9" fillId="0" borderId="20" xfId="0" applyNumberFormat="1" applyFont="1" applyBorder="1" applyAlignment="1">
      <alignment horizontal="center" vertical="center" wrapText="1"/>
    </xf>
    <xf numFmtId="3" fontId="3" fillId="2" borderId="9" xfId="0" applyNumberFormat="1" applyFont="1" applyFill="1" applyBorder="1" applyAlignment="1">
      <alignment horizontal="justify" vertical="center" wrapText="1"/>
    </xf>
    <xf numFmtId="3" fontId="3" fillId="2" borderId="17" xfId="0" applyNumberFormat="1" applyFont="1" applyFill="1" applyBorder="1" applyAlignment="1">
      <alignment horizontal="justify" vertical="center" wrapText="1"/>
    </xf>
    <xf numFmtId="3" fontId="3" fillId="2" borderId="18" xfId="0" applyNumberFormat="1" applyFont="1" applyFill="1" applyBorder="1" applyAlignment="1">
      <alignment horizontal="justify" vertical="center" wrapText="1"/>
    </xf>
    <xf numFmtId="168" fontId="6" fillId="3" borderId="16" xfId="0" applyNumberFormat="1" applyFont="1" applyFill="1" applyBorder="1" applyAlignment="1">
      <alignment horizontal="center" vertical="center" wrapText="1"/>
    </xf>
    <xf numFmtId="168" fontId="6" fillId="3" borderId="1" xfId="0" applyNumberFormat="1"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9" fontId="9" fillId="0" borderId="7"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43" fontId="9" fillId="0" borderId="9" xfId="0" applyNumberFormat="1" applyFont="1" applyBorder="1" applyAlignment="1">
      <alignment horizontal="center" vertical="center" wrapText="1"/>
    </xf>
    <xf numFmtId="43" fontId="9" fillId="0" borderId="17" xfId="0" applyNumberFormat="1" applyFont="1" applyBorder="1" applyAlignment="1">
      <alignment horizontal="center" vertical="center" wrapText="1"/>
    </xf>
    <xf numFmtId="0" fontId="6" fillId="3" borderId="2" xfId="0" applyFont="1" applyFill="1" applyBorder="1" applyAlignment="1">
      <alignment horizontal="center" vertical="center" textRotation="90" wrapText="1"/>
    </xf>
    <xf numFmtId="1" fontId="6" fillId="3" borderId="9" xfId="0" applyNumberFormat="1" applyFont="1" applyFill="1" applyBorder="1" applyAlignment="1">
      <alignment horizontal="center" vertical="center" wrapText="1"/>
    </xf>
    <xf numFmtId="1" fontId="6" fillId="3" borderId="17" xfId="0" applyNumberFormat="1" applyFont="1" applyFill="1" applyBorder="1" applyAlignment="1">
      <alignment horizontal="center" vertical="center" wrapText="1"/>
    </xf>
    <xf numFmtId="1" fontId="6" fillId="3" borderId="18"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7" xfId="0" applyFont="1" applyFill="1" applyBorder="1" applyAlignment="1">
      <alignment horizontal="center" vertical="center" wrapText="1"/>
    </xf>
    <xf numFmtId="3" fontId="6" fillId="4" borderId="2"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61" xfId="0" applyFont="1" applyBorder="1" applyAlignment="1">
      <alignment horizontal="center" vertical="center"/>
    </xf>
    <xf numFmtId="1" fontId="6" fillId="3" borderId="81" xfId="0" applyNumberFormat="1" applyFont="1" applyFill="1" applyBorder="1" applyAlignment="1">
      <alignment horizontal="center" vertical="center" wrapText="1"/>
    </xf>
    <xf numFmtId="1" fontId="6" fillId="3" borderId="83" xfId="0"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6" xfId="0" applyFont="1" applyFill="1" applyBorder="1" applyAlignment="1">
      <alignment horizontal="center" vertical="center" wrapText="1"/>
    </xf>
    <xf numFmtId="165" fontId="6" fillId="3" borderId="8" xfId="0" applyNumberFormat="1" applyFont="1" applyFill="1" applyBorder="1" applyAlignment="1">
      <alignment horizontal="center" vertical="center" wrapText="1"/>
    </xf>
    <xf numFmtId="165" fontId="6" fillId="3" borderId="16" xfId="0" applyNumberFormat="1" applyFont="1" applyFill="1" applyBorder="1" applyAlignment="1">
      <alignment horizontal="center" vertical="center" wrapText="1"/>
    </xf>
    <xf numFmtId="43" fontId="6" fillId="3" borderId="8" xfId="9" applyFont="1" applyFill="1" applyBorder="1" applyAlignment="1">
      <alignment horizontal="center" vertical="center" wrapText="1"/>
    </xf>
    <xf numFmtId="43" fontId="6" fillId="3" borderId="16" xfId="9" applyFont="1" applyFill="1" applyBorder="1" applyAlignment="1">
      <alignment horizontal="center" vertical="center" wrapText="1"/>
    </xf>
    <xf numFmtId="166" fontId="6" fillId="3" borderId="8" xfId="0" applyNumberFormat="1" applyFont="1" applyFill="1" applyBorder="1" applyAlignment="1">
      <alignment horizontal="center" vertical="center" wrapText="1"/>
    </xf>
    <xf numFmtId="166" fontId="6" fillId="3" borderId="5" xfId="0" applyNumberFormat="1" applyFont="1" applyFill="1" applyBorder="1" applyAlignment="1">
      <alignment horizontal="center" vertical="center" wrapText="1"/>
    </xf>
    <xf numFmtId="166" fontId="6" fillId="3" borderId="7" xfId="0" applyNumberFormat="1" applyFont="1" applyFill="1" applyBorder="1" applyAlignment="1">
      <alignment horizontal="center" vertical="center" wrapText="1"/>
    </xf>
    <xf numFmtId="166" fontId="6" fillId="3" borderId="16" xfId="0" applyNumberFormat="1" applyFont="1" applyFill="1" applyBorder="1" applyAlignment="1">
      <alignment horizontal="center" vertical="center" wrapText="1"/>
    </xf>
    <xf numFmtId="166" fontId="6" fillId="3" borderId="0" xfId="0" applyNumberFormat="1" applyFont="1" applyFill="1" applyAlignment="1">
      <alignment horizontal="center" vertical="center" wrapText="1"/>
    </xf>
    <xf numFmtId="166" fontId="6" fillId="3" borderId="1" xfId="0" applyNumberFormat="1" applyFont="1" applyFill="1" applyBorder="1" applyAlignment="1">
      <alignment horizontal="center" vertical="center" wrapText="1"/>
    </xf>
    <xf numFmtId="3" fontId="6" fillId="3" borderId="82" xfId="0" applyNumberFormat="1" applyFont="1" applyFill="1" applyBorder="1" applyAlignment="1">
      <alignment horizontal="center" vertical="center" wrapText="1"/>
    </xf>
    <xf numFmtId="3" fontId="6" fillId="3" borderId="79" xfId="0" applyNumberFormat="1" applyFont="1" applyFill="1" applyBorder="1" applyAlignment="1">
      <alignment horizontal="center" vertical="center" wrapText="1"/>
    </xf>
    <xf numFmtId="3" fontId="6" fillId="4" borderId="6" xfId="0" applyNumberFormat="1" applyFont="1" applyFill="1" applyBorder="1" applyAlignment="1">
      <alignment horizontal="center" vertical="center" wrapText="1"/>
    </xf>
    <xf numFmtId="3" fontId="6" fillId="4" borderId="3" xfId="0" applyNumberFormat="1" applyFont="1" applyFill="1" applyBorder="1" applyAlignment="1">
      <alignment horizontal="center" vertical="center" wrapText="1"/>
    </xf>
    <xf numFmtId="3" fontId="6" fillId="4" borderId="4"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8" xfId="0" applyFont="1" applyFill="1" applyBorder="1" applyAlignment="1">
      <alignment horizontal="center" vertical="center"/>
    </xf>
    <xf numFmtId="10" fontId="6" fillId="5" borderId="2" xfId="4" applyNumberFormat="1" applyFont="1" applyFill="1" applyBorder="1" applyAlignment="1">
      <alignment horizontal="center" vertical="center" wrapText="1"/>
    </xf>
    <xf numFmtId="0" fontId="9" fillId="0" borderId="5" xfId="0" applyFont="1" applyBorder="1" applyAlignment="1">
      <alignment horizontal="justify" vertical="center" wrapText="1"/>
    </xf>
    <xf numFmtId="3" fontId="9" fillId="0" borderId="9" xfId="7" applyNumberFormat="1" applyFont="1" applyFill="1" applyBorder="1" applyAlignment="1">
      <alignment horizontal="center" vertical="center" wrapText="1"/>
    </xf>
    <xf numFmtId="3" fontId="9" fillId="0" borderId="17" xfId="7" applyNumberFormat="1" applyFont="1" applyFill="1" applyBorder="1" applyAlignment="1">
      <alignment horizontal="center" vertical="center" wrapText="1"/>
    </xf>
    <xf numFmtId="3" fontId="9" fillId="0" borderId="18" xfId="7" applyNumberFormat="1" applyFont="1" applyFill="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167" fontId="6" fillId="3" borderId="10" xfId="3" applyFont="1" applyFill="1" applyBorder="1" applyAlignment="1">
      <alignment horizontal="center" vertical="center"/>
    </xf>
    <xf numFmtId="167" fontId="6" fillId="3" borderId="11" xfId="3" applyFont="1" applyFill="1" applyBorder="1" applyAlignment="1">
      <alignment horizontal="center" vertical="center"/>
    </xf>
    <xf numFmtId="167" fontId="6" fillId="3" borderId="12" xfId="3" applyFont="1" applyFill="1" applyBorder="1" applyAlignment="1">
      <alignment horizontal="center" vertical="center"/>
    </xf>
    <xf numFmtId="3" fontId="9" fillId="0" borderId="7"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3" fontId="9" fillId="0" borderId="9" xfId="0" applyNumberFormat="1" applyFont="1" applyFill="1" applyBorder="1" applyAlignment="1">
      <alignment horizontal="center" vertical="center"/>
    </xf>
    <xf numFmtId="3" fontId="9" fillId="0" borderId="17" xfId="0" applyNumberFormat="1" applyFont="1" applyFill="1" applyBorder="1" applyAlignment="1">
      <alignment horizontal="center" vertical="center"/>
    </xf>
    <xf numFmtId="180" fontId="9" fillId="0" borderId="9" xfId="6" applyNumberFormat="1" applyFont="1" applyFill="1" applyBorder="1" applyAlignment="1">
      <alignment horizontal="center" vertical="center" wrapText="1"/>
    </xf>
    <xf numFmtId="180" fontId="9" fillId="0" borderId="18" xfId="6" applyNumberFormat="1" applyFont="1" applyFill="1" applyBorder="1" applyAlignment="1">
      <alignment horizontal="center" vertical="center" wrapText="1"/>
    </xf>
    <xf numFmtId="180" fontId="9" fillId="0" borderId="66" xfId="6" applyNumberFormat="1" applyFont="1" applyFill="1" applyBorder="1" applyAlignment="1">
      <alignment horizontal="center" vertical="center"/>
    </xf>
    <xf numFmtId="180" fontId="9" fillId="0" borderId="18" xfId="6" applyNumberFormat="1" applyFont="1" applyFill="1" applyBorder="1" applyAlignment="1">
      <alignment horizontal="center" vertical="center"/>
    </xf>
    <xf numFmtId="3" fontId="9" fillId="0" borderId="9" xfId="0" applyNumberFormat="1" applyFont="1" applyBorder="1" applyAlignment="1">
      <alignment horizontal="center" vertical="center"/>
    </xf>
    <xf numFmtId="3" fontId="9" fillId="0" borderId="17" xfId="0" applyNumberFormat="1" applyFont="1" applyBorder="1" applyAlignment="1">
      <alignment horizontal="center" vertical="center"/>
    </xf>
    <xf numFmtId="1" fontId="9" fillId="0" borderId="9" xfId="0" applyNumberFormat="1" applyFont="1" applyBorder="1" applyAlignment="1">
      <alignment horizontal="justify" vertical="center" wrapText="1"/>
    </xf>
    <xf numFmtId="1" fontId="9" fillId="0" borderId="17" xfId="0" applyNumberFormat="1" applyFont="1" applyBorder="1" applyAlignment="1">
      <alignment horizontal="justify" vertical="center" wrapText="1"/>
    </xf>
    <xf numFmtId="3" fontId="9" fillId="0" borderId="8" xfId="0" applyNumberFormat="1" applyFont="1" applyBorder="1" applyAlignment="1">
      <alignment horizontal="center" vertical="center"/>
    </xf>
    <xf numFmtId="3" fontId="9" fillId="0" borderId="16" xfId="0" applyNumberFormat="1" applyFont="1" applyBorder="1" applyAlignment="1">
      <alignment horizontal="center" vertical="center"/>
    </xf>
    <xf numFmtId="10" fontId="9" fillId="0" borderId="8" xfId="0" applyNumberFormat="1" applyFont="1" applyBorder="1" applyAlignment="1">
      <alignment horizontal="center" vertical="center"/>
    </xf>
    <xf numFmtId="10" fontId="9" fillId="0" borderId="16" xfId="0" applyNumberFormat="1" applyFont="1" applyBorder="1" applyAlignment="1">
      <alignment horizontal="center" vertical="center"/>
    </xf>
    <xf numFmtId="168" fontId="9" fillId="0" borderId="2" xfId="0" applyNumberFormat="1" applyFont="1" applyBorder="1" applyAlignment="1">
      <alignment horizontal="center" vertical="center"/>
    </xf>
    <xf numFmtId="168" fontId="9" fillId="0" borderId="7" xfId="0" applyNumberFormat="1" applyFont="1" applyBorder="1" applyAlignment="1">
      <alignment horizontal="center" vertical="center"/>
    </xf>
    <xf numFmtId="168" fontId="9" fillId="0" borderId="1" xfId="0" applyNumberFormat="1" applyFont="1" applyBorder="1" applyAlignment="1">
      <alignment horizontal="center" vertical="center"/>
    </xf>
    <xf numFmtId="180" fontId="9" fillId="0" borderId="1" xfId="6" applyNumberFormat="1" applyFont="1" applyFill="1" applyBorder="1" applyAlignment="1">
      <alignment horizontal="center" vertical="center"/>
    </xf>
    <xf numFmtId="180" fontId="9" fillId="0" borderId="74" xfId="6" applyNumberFormat="1" applyFont="1" applyFill="1" applyBorder="1" applyAlignment="1">
      <alignment horizontal="center" vertical="center"/>
    </xf>
    <xf numFmtId="0" fontId="9" fillId="0" borderId="66" xfId="0" applyFont="1" applyFill="1" applyBorder="1" applyAlignment="1">
      <alignment horizontal="center" vertical="center"/>
    </xf>
    <xf numFmtId="0" fontId="9" fillId="0" borderId="66" xfId="0" applyFont="1" applyBorder="1" applyAlignment="1">
      <alignment horizontal="justify" vertical="center" wrapText="1"/>
    </xf>
    <xf numFmtId="180" fontId="9" fillId="0" borderId="8" xfId="6" applyNumberFormat="1" applyFont="1" applyFill="1" applyBorder="1" applyAlignment="1">
      <alignment horizontal="center" vertical="center" wrapText="1"/>
    </xf>
    <xf numFmtId="180" fontId="9" fillId="0" borderId="6" xfId="6" applyNumberFormat="1" applyFont="1" applyFill="1" applyBorder="1" applyAlignment="1">
      <alignment horizontal="center" vertical="center" wrapText="1"/>
    </xf>
    <xf numFmtId="180" fontId="9" fillId="0" borderId="9" xfId="6" applyNumberFormat="1" applyFont="1" applyFill="1" applyBorder="1" applyAlignment="1">
      <alignment horizontal="center" vertical="center"/>
    </xf>
    <xf numFmtId="180" fontId="9" fillId="0" borderId="58" xfId="6" applyNumberFormat="1" applyFont="1" applyFill="1" applyBorder="1" applyAlignment="1">
      <alignment horizontal="center" vertical="center"/>
    </xf>
    <xf numFmtId="180" fontId="9" fillId="0" borderId="35" xfId="6" applyNumberFormat="1" applyFont="1" applyFill="1" applyBorder="1" applyAlignment="1">
      <alignment horizontal="center" vertical="center"/>
    </xf>
    <xf numFmtId="0" fontId="9" fillId="0" borderId="68"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28" xfId="0" applyFont="1" applyBorder="1" applyAlignment="1">
      <alignment horizontal="justify" vertical="center" wrapText="1"/>
    </xf>
    <xf numFmtId="0" fontId="9" fillId="0" borderId="32" xfId="0" applyFont="1" applyBorder="1" applyAlignment="1">
      <alignment horizontal="justify" vertical="center" wrapText="1"/>
    </xf>
    <xf numFmtId="0" fontId="9" fillId="0" borderId="35" xfId="0" applyFont="1" applyBorder="1" applyAlignment="1">
      <alignment horizontal="justify" vertical="center" wrapText="1"/>
    </xf>
    <xf numFmtId="180" fontId="9" fillId="0" borderId="57" xfId="6" applyNumberFormat="1" applyFont="1" applyFill="1" applyBorder="1" applyAlignment="1">
      <alignment horizontal="center" vertical="center"/>
    </xf>
    <xf numFmtId="3" fontId="9" fillId="0" borderId="8" xfId="0" applyNumberFormat="1" applyFont="1" applyBorder="1" applyAlignment="1">
      <alignment horizontal="justify" vertical="center" wrapText="1"/>
    </xf>
    <xf numFmtId="3" fontId="9" fillId="0" borderId="18"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3" fontId="9" fillId="0" borderId="6" xfId="0" applyNumberFormat="1" applyFont="1" applyBorder="1" applyAlignment="1">
      <alignment horizontal="center" vertical="center"/>
    </xf>
    <xf numFmtId="9" fontId="9" fillId="0" borderId="9" xfId="0" applyNumberFormat="1" applyFont="1" applyBorder="1" applyAlignment="1">
      <alignment horizontal="center" vertical="center"/>
    </xf>
    <xf numFmtId="9" fontId="9" fillId="0" borderId="18" xfId="0" applyNumberFormat="1" applyFont="1" applyBorder="1" applyAlignment="1">
      <alignment horizontal="center" vertical="center"/>
    </xf>
    <xf numFmtId="9" fontId="9" fillId="0" borderId="27" xfId="2" applyFont="1" applyFill="1" applyBorder="1" applyAlignment="1">
      <alignment horizontal="center" vertical="center"/>
    </xf>
    <xf numFmtId="9" fontId="9" fillId="0" borderId="20" xfId="2" applyFont="1" applyFill="1" applyBorder="1" applyAlignment="1">
      <alignment horizontal="center" vertical="center"/>
    </xf>
    <xf numFmtId="180" fontId="9" fillId="0" borderId="20" xfId="6" applyNumberFormat="1" applyFont="1" applyFill="1" applyBorder="1" applyAlignment="1">
      <alignment horizontal="center" vertical="center"/>
    </xf>
    <xf numFmtId="3" fontId="9" fillId="0" borderId="7" xfId="0" applyNumberFormat="1" applyFont="1" applyBorder="1" applyAlignment="1">
      <alignment horizontal="center" vertical="center"/>
    </xf>
    <xf numFmtId="3" fontId="9" fillId="0" borderId="1" xfId="0" applyNumberFormat="1" applyFont="1" applyBorder="1" applyAlignment="1">
      <alignment horizontal="center" vertical="center"/>
    </xf>
    <xf numFmtId="3" fontId="9" fillId="0" borderId="4" xfId="0" applyNumberFormat="1" applyFont="1" applyBorder="1" applyAlignment="1">
      <alignment horizontal="center" vertical="center"/>
    </xf>
    <xf numFmtId="3" fontId="9" fillId="0" borderId="9" xfId="7" applyNumberFormat="1" applyFont="1" applyFill="1" applyBorder="1" applyAlignment="1">
      <alignment horizontal="center" vertical="center"/>
    </xf>
    <xf numFmtId="3" fontId="9" fillId="0" borderId="17" xfId="7" applyNumberFormat="1" applyFont="1" applyFill="1" applyBorder="1" applyAlignment="1">
      <alignment horizontal="center" vertical="center"/>
    </xf>
    <xf numFmtId="3" fontId="9" fillId="0" borderId="18" xfId="7" applyNumberFormat="1" applyFont="1" applyFill="1" applyBorder="1" applyAlignment="1">
      <alignment horizontal="center" vertical="center"/>
    </xf>
    <xf numFmtId="168" fontId="9" fillId="0" borderId="4" xfId="0" applyNumberFormat="1" applyFont="1" applyBorder="1" applyAlignment="1">
      <alignment horizontal="center" vertical="center"/>
    </xf>
    <xf numFmtId="3" fontId="9" fillId="0" borderId="8" xfId="0" applyNumberFormat="1" applyFont="1" applyFill="1" applyBorder="1" applyAlignment="1">
      <alignment horizontal="center" vertical="center"/>
    </xf>
    <xf numFmtId="3" fontId="9" fillId="0" borderId="6" xfId="0" applyNumberFormat="1" applyFont="1" applyFill="1" applyBorder="1" applyAlignment="1">
      <alignment horizontal="center" vertical="center"/>
    </xf>
    <xf numFmtId="3" fontId="9" fillId="0" borderId="18" xfId="0" applyNumberFormat="1" applyFont="1" applyBorder="1" applyAlignment="1">
      <alignment horizontal="center" vertical="center"/>
    </xf>
    <xf numFmtId="169" fontId="9" fillId="0" borderId="9" xfId="0" applyNumberFormat="1" applyFont="1" applyBorder="1" applyAlignment="1">
      <alignment horizontal="center" vertical="center" wrapText="1"/>
    </xf>
    <xf numFmtId="169" fontId="9" fillId="0" borderId="17" xfId="0" applyNumberFormat="1" applyFont="1" applyBorder="1" applyAlignment="1">
      <alignment horizontal="center" vertical="center" wrapText="1"/>
    </xf>
    <xf numFmtId="169" fontId="9" fillId="0" borderId="18" xfId="0" applyNumberFormat="1" applyFont="1" applyBorder="1" applyAlignment="1">
      <alignment horizontal="center" vertical="center" wrapText="1"/>
    </xf>
    <xf numFmtId="0" fontId="9" fillId="0" borderId="27" xfId="9" applyNumberFormat="1" applyFont="1" applyFill="1" applyBorder="1" applyAlignment="1">
      <alignment horizontal="justify" vertical="center" wrapText="1"/>
    </xf>
    <xf numFmtId="0" fontId="9" fillId="0" borderId="20" xfId="9" applyNumberFormat="1" applyFont="1" applyFill="1" applyBorder="1" applyAlignment="1">
      <alignment horizontal="justify" vertical="center" wrapText="1"/>
    </xf>
    <xf numFmtId="0" fontId="9" fillId="0" borderId="21" xfId="9" applyNumberFormat="1" applyFont="1" applyFill="1" applyBorder="1" applyAlignment="1">
      <alignment horizontal="justify" vertical="center" wrapText="1"/>
    </xf>
    <xf numFmtId="0" fontId="9" fillId="0" borderId="63" xfId="0" applyFont="1" applyBorder="1" applyAlignment="1">
      <alignment horizontal="justify" vertical="center" wrapText="1"/>
    </xf>
    <xf numFmtId="0" fontId="9" fillId="0" borderId="57" xfId="0" applyFont="1" applyBorder="1" applyAlignment="1">
      <alignment horizontal="justify" vertical="center" wrapText="1"/>
    </xf>
    <xf numFmtId="9" fontId="9" fillId="0" borderId="17" xfId="0" applyNumberFormat="1" applyFont="1" applyBorder="1" applyAlignment="1">
      <alignment horizontal="center" vertical="center"/>
    </xf>
    <xf numFmtId="49" fontId="9" fillId="0" borderId="21"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9" fillId="0" borderId="27" xfId="0" applyNumberFormat="1" applyFont="1" applyBorder="1" applyAlignment="1">
      <alignment horizontal="center" vertical="center"/>
    </xf>
    <xf numFmtId="3" fontId="9" fillId="0" borderId="40" xfId="0" applyNumberFormat="1" applyFont="1" applyBorder="1" applyAlignment="1">
      <alignment horizontal="center" vertical="center"/>
    </xf>
    <xf numFmtId="3" fontId="9" fillId="0" borderId="31" xfId="0" applyNumberFormat="1" applyFont="1" applyBorder="1" applyAlignment="1">
      <alignment horizontal="center" vertical="center"/>
    </xf>
    <xf numFmtId="3" fontId="9" fillId="0" borderId="41" xfId="0" applyNumberFormat="1" applyFont="1" applyBorder="1" applyAlignment="1">
      <alignment horizontal="center" vertical="center"/>
    </xf>
    <xf numFmtId="180" fontId="9" fillId="0" borderId="17" xfId="6" applyNumberFormat="1" applyFont="1" applyFill="1" applyBorder="1" applyAlignment="1">
      <alignment horizontal="center" vertical="center"/>
    </xf>
    <xf numFmtId="10" fontId="9" fillId="0" borderId="9" xfId="0" applyNumberFormat="1" applyFont="1" applyBorder="1" applyAlignment="1">
      <alignment horizontal="center" vertical="center"/>
    </xf>
    <xf numFmtId="10" fontId="9" fillId="0" borderId="17" xfId="0" applyNumberFormat="1" applyFont="1" applyBorder="1" applyAlignment="1">
      <alignment horizontal="center" vertical="center"/>
    </xf>
    <xf numFmtId="10" fontId="9" fillId="0" borderId="18" xfId="0" applyNumberFormat="1" applyFont="1" applyBorder="1" applyAlignment="1">
      <alignment horizontal="center" vertical="center"/>
    </xf>
    <xf numFmtId="3" fontId="9" fillId="0" borderId="74" xfId="0" applyNumberFormat="1" applyFont="1" applyBorder="1" applyAlignment="1">
      <alignment horizontal="center" vertical="center"/>
    </xf>
    <xf numFmtId="3" fontId="9" fillId="0" borderId="37" xfId="0" applyNumberFormat="1" applyFont="1" applyBorder="1" applyAlignment="1">
      <alignment horizontal="center" vertical="center"/>
    </xf>
    <xf numFmtId="180" fontId="9" fillId="0" borderId="21" xfId="6" applyNumberFormat="1" applyFont="1" applyFill="1" applyBorder="1" applyAlignment="1">
      <alignment horizontal="justify" vertical="center" wrapText="1"/>
    </xf>
    <xf numFmtId="180" fontId="9" fillId="0" borderId="27" xfId="6" applyNumberFormat="1" applyFont="1" applyFill="1" applyBorder="1" applyAlignment="1">
      <alignment horizontal="justify" vertical="center" wrapText="1"/>
    </xf>
    <xf numFmtId="180" fontId="9" fillId="0" borderId="21" xfId="6" applyNumberFormat="1" applyFont="1" applyFill="1" applyBorder="1" applyAlignment="1">
      <alignment horizontal="right" vertical="center" wrapText="1"/>
    </xf>
    <xf numFmtId="180" fontId="9" fillId="0" borderId="27" xfId="6" applyNumberFormat="1" applyFont="1" applyFill="1" applyBorder="1" applyAlignment="1">
      <alignment horizontal="right" vertical="center" wrapText="1"/>
    </xf>
    <xf numFmtId="180" fontId="9" fillId="0" borderId="7" xfId="6" applyNumberFormat="1" applyFont="1" applyFill="1" applyBorder="1" applyAlignment="1">
      <alignment horizontal="center" vertical="center"/>
    </xf>
    <xf numFmtId="168" fontId="9" fillId="0" borderId="37" xfId="0" applyNumberFormat="1" applyFont="1" applyBorder="1" applyAlignment="1">
      <alignment horizontal="center" vertical="center"/>
    </xf>
    <xf numFmtId="3" fontId="9" fillId="0" borderId="78" xfId="0" applyNumberFormat="1" applyFont="1" applyBorder="1" applyAlignment="1">
      <alignment horizontal="center" vertical="center"/>
    </xf>
    <xf numFmtId="9" fontId="9" fillId="0" borderId="37" xfId="0" applyNumberFormat="1" applyFont="1" applyBorder="1" applyAlignment="1">
      <alignment horizontal="center" vertical="center"/>
    </xf>
    <xf numFmtId="168" fontId="9" fillId="0" borderId="74" xfId="0" applyNumberFormat="1" applyFont="1" applyBorder="1" applyAlignment="1">
      <alignment horizontal="center" vertical="center"/>
    </xf>
    <xf numFmtId="0" fontId="3" fillId="0" borderId="21" xfId="0" applyFont="1" applyFill="1" applyBorder="1" applyAlignment="1">
      <alignment horizontal="justify" vertical="center" wrapText="1"/>
    </xf>
    <xf numFmtId="0" fontId="3" fillId="0" borderId="27" xfId="0" applyFont="1" applyFill="1" applyBorder="1" applyAlignment="1">
      <alignment horizontal="justify" vertical="center" wrapText="1"/>
    </xf>
    <xf numFmtId="9" fontId="9" fillId="0" borderId="21" xfId="2" applyFont="1" applyFill="1" applyBorder="1" applyAlignment="1">
      <alignment horizontal="center" vertical="center"/>
    </xf>
    <xf numFmtId="0" fontId="9" fillId="0" borderId="37" xfId="0" applyFont="1" applyBorder="1" applyAlignment="1">
      <alignment horizontal="justify" vertical="center" wrapText="1"/>
    </xf>
    <xf numFmtId="0" fontId="9" fillId="0" borderId="78" xfId="0" applyFont="1" applyBorder="1" applyAlignment="1">
      <alignment horizontal="justify" vertical="center" wrapText="1"/>
    </xf>
    <xf numFmtId="3" fontId="9" fillId="0" borderId="66" xfId="0" applyNumberFormat="1" applyFont="1" applyBorder="1" applyAlignment="1">
      <alignment horizontal="center" vertical="center"/>
    </xf>
    <xf numFmtId="3" fontId="9" fillId="0" borderId="68" xfId="0" applyNumberFormat="1" applyFont="1" applyBorder="1" applyAlignment="1">
      <alignment horizontal="center" vertical="center"/>
    </xf>
    <xf numFmtId="3" fontId="9" fillId="0" borderId="36" xfId="0" applyNumberFormat="1" applyFont="1" applyBorder="1" applyAlignment="1">
      <alignment horizontal="center" vertical="center"/>
    </xf>
    <xf numFmtId="3" fontId="9" fillId="0" borderId="67" xfId="0" applyNumberFormat="1" applyFont="1" applyBorder="1" applyAlignment="1">
      <alignment horizontal="center" vertical="center"/>
    </xf>
    <xf numFmtId="0" fontId="9" fillId="0" borderId="58" xfId="0" applyFont="1" applyBorder="1" applyAlignment="1">
      <alignment horizontal="justify" vertical="center" wrapText="1"/>
    </xf>
    <xf numFmtId="180" fontId="9" fillId="0" borderId="21" xfId="6" applyNumberFormat="1" applyFont="1" applyFill="1" applyBorder="1" applyAlignment="1">
      <alignment horizontal="center" vertical="center"/>
    </xf>
    <xf numFmtId="180" fontId="9" fillId="0" borderId="27" xfId="6" applyNumberFormat="1" applyFont="1" applyFill="1" applyBorder="1" applyAlignment="1">
      <alignment horizontal="center" vertical="center"/>
    </xf>
    <xf numFmtId="0" fontId="9" fillId="0" borderId="68" xfId="0" applyFont="1" applyBorder="1" applyAlignment="1">
      <alignment horizontal="justify" vertical="center" wrapText="1"/>
    </xf>
    <xf numFmtId="0" fontId="9" fillId="0" borderId="36" xfId="0" applyFont="1" applyBorder="1" applyAlignment="1">
      <alignment horizontal="justify" vertical="center" wrapText="1"/>
    </xf>
    <xf numFmtId="0" fontId="9" fillId="0" borderId="59" xfId="0" applyFont="1" applyBorder="1" applyAlignment="1">
      <alignment horizontal="justify" vertical="center" wrapText="1"/>
    </xf>
    <xf numFmtId="169" fontId="9" fillId="0" borderId="20" xfId="0" applyNumberFormat="1" applyFont="1" applyBorder="1" applyAlignment="1">
      <alignment horizontal="center" vertical="center" wrapText="1"/>
    </xf>
    <xf numFmtId="169" fontId="9" fillId="0" borderId="21" xfId="0" applyNumberFormat="1" applyFont="1" applyBorder="1" applyAlignment="1">
      <alignment horizontal="center" vertical="center" wrapText="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66" xfId="0" applyFont="1" applyBorder="1" applyAlignment="1">
      <alignment horizontal="center" vertical="center" wrapText="1"/>
    </xf>
    <xf numFmtId="9" fontId="9" fillId="0" borderId="66" xfId="0" applyNumberFormat="1" applyFont="1" applyBorder="1" applyAlignment="1">
      <alignment horizontal="center" vertical="center"/>
    </xf>
    <xf numFmtId="3" fontId="9" fillId="0" borderId="2" xfId="0" applyNumberFormat="1" applyFont="1" applyFill="1" applyBorder="1" applyAlignment="1">
      <alignment horizontal="justify" vertical="center" wrapText="1"/>
    </xf>
    <xf numFmtId="168" fontId="9" fillId="0" borderId="45" xfId="0" applyNumberFormat="1" applyFont="1" applyBorder="1" applyAlignment="1">
      <alignment horizontal="center" vertical="center"/>
    </xf>
    <xf numFmtId="0" fontId="9" fillId="0" borderId="74" xfId="0" applyFont="1" applyBorder="1" applyAlignment="1">
      <alignment horizontal="center" vertical="center" wrapText="1"/>
    </xf>
    <xf numFmtId="3" fontId="9" fillId="0" borderId="9" xfId="0" applyNumberFormat="1" applyFont="1" applyBorder="1" applyAlignment="1">
      <alignment horizontal="center" vertical="center" wrapText="1"/>
    </xf>
    <xf numFmtId="3" fontId="9" fillId="0" borderId="17" xfId="0" applyNumberFormat="1" applyFont="1" applyBorder="1" applyAlignment="1">
      <alignment horizontal="center" vertical="center" wrapText="1"/>
    </xf>
    <xf numFmtId="3" fontId="9" fillId="0" borderId="18" xfId="0" applyNumberFormat="1" applyFont="1" applyBorder="1" applyAlignment="1">
      <alignment horizontal="center" vertical="center" wrapText="1"/>
    </xf>
    <xf numFmtId="169" fontId="9" fillId="0" borderId="27" xfId="0" applyNumberFormat="1" applyFont="1" applyBorder="1" applyAlignment="1">
      <alignment horizontal="center" vertical="center" wrapText="1"/>
    </xf>
    <xf numFmtId="43" fontId="9" fillId="0" borderId="27" xfId="9" applyFont="1" applyFill="1" applyBorder="1" applyAlignment="1">
      <alignment horizontal="center" vertical="center"/>
    </xf>
    <xf numFmtId="43" fontId="9" fillId="0" borderId="21" xfId="9" applyFont="1" applyFill="1" applyBorder="1" applyAlignment="1">
      <alignment horizontal="center" vertical="center"/>
    </xf>
    <xf numFmtId="168" fontId="9" fillId="0" borderId="30" xfId="0" applyNumberFormat="1" applyFont="1" applyBorder="1" applyAlignment="1">
      <alignment horizontal="center" vertical="center"/>
    </xf>
    <xf numFmtId="180" fontId="9" fillId="0" borderId="66" xfId="6" applyNumberFormat="1" applyFont="1" applyFill="1" applyBorder="1" applyAlignment="1" applyProtection="1">
      <alignment horizontal="center" vertical="center"/>
      <protection locked="0"/>
    </xf>
    <xf numFmtId="180" fontId="9" fillId="0" borderId="37" xfId="6" applyNumberFormat="1" applyFont="1" applyFill="1" applyBorder="1" applyAlignment="1" applyProtection="1">
      <alignment horizontal="center" vertical="center"/>
      <protection locked="0"/>
    </xf>
    <xf numFmtId="1" fontId="9" fillId="0" borderId="16" xfId="0" applyNumberFormat="1" applyFont="1" applyBorder="1" applyAlignment="1">
      <alignment horizontal="center" vertical="center"/>
    </xf>
    <xf numFmtId="1" fontId="9" fillId="0" borderId="27" xfId="0" applyNumberFormat="1" applyFont="1" applyBorder="1" applyAlignment="1">
      <alignment horizontal="justify" vertical="center" wrapText="1"/>
    </xf>
    <xf numFmtId="1" fontId="9" fillId="0" borderId="20" xfId="0" applyNumberFormat="1" applyFont="1" applyBorder="1" applyAlignment="1">
      <alignment horizontal="justify" vertical="center" wrapText="1"/>
    </xf>
    <xf numFmtId="180" fontId="9" fillId="0" borderId="9" xfId="6" applyNumberFormat="1" applyFont="1" applyFill="1" applyBorder="1" applyAlignment="1" applyProtection="1">
      <alignment horizontal="center" vertical="center"/>
      <protection locked="0"/>
    </xf>
    <xf numFmtId="0" fontId="9" fillId="0" borderId="63" xfId="0" applyFont="1" applyBorder="1" applyAlignment="1">
      <alignment horizontal="center" vertical="center" wrapText="1"/>
    </xf>
    <xf numFmtId="3" fontId="9" fillId="0" borderId="2" xfId="0" applyNumberFormat="1" applyFont="1" applyBorder="1" applyAlignment="1">
      <alignment horizontal="center" vertical="center"/>
    </xf>
    <xf numFmtId="180" fontId="9" fillId="0" borderId="2" xfId="6" applyNumberFormat="1" applyFont="1" applyFill="1" applyBorder="1" applyAlignment="1">
      <alignment horizontal="center" vertical="center"/>
    </xf>
    <xf numFmtId="43" fontId="9" fillId="0" borderId="9" xfId="0" applyNumberFormat="1" applyFont="1" applyBorder="1" applyAlignment="1">
      <alignment horizontal="center" vertical="center"/>
    </xf>
    <xf numFmtId="43" fontId="9" fillId="0" borderId="17" xfId="0" applyNumberFormat="1" applyFont="1" applyBorder="1" applyAlignment="1">
      <alignment horizontal="center" vertical="center"/>
    </xf>
    <xf numFmtId="43" fontId="9" fillId="0" borderId="18" xfId="0" applyNumberFormat="1" applyFont="1" applyBorder="1" applyAlignment="1">
      <alignment horizontal="center" vertical="center"/>
    </xf>
    <xf numFmtId="3" fontId="9" fillId="0" borderId="2" xfId="7" applyNumberFormat="1" applyFont="1" applyFill="1" applyBorder="1" applyAlignment="1">
      <alignment horizontal="center" vertical="center"/>
    </xf>
    <xf numFmtId="0" fontId="9" fillId="0" borderId="64" xfId="0" applyFont="1" applyBorder="1" applyAlignment="1">
      <alignment horizontal="center" vertical="center"/>
    </xf>
    <xf numFmtId="0" fontId="9" fillId="0" borderId="0" xfId="0" applyFont="1" applyAlignment="1">
      <alignment horizontal="center" vertical="center"/>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63" xfId="0" applyFont="1" applyBorder="1" applyAlignment="1">
      <alignment horizontal="center"/>
    </xf>
    <xf numFmtId="0" fontId="9" fillId="0" borderId="22" xfId="0" applyFont="1" applyBorder="1" applyAlignment="1">
      <alignment horizontal="center"/>
    </xf>
    <xf numFmtId="0" fontId="9" fillId="0" borderId="30" xfId="0" applyFont="1" applyBorder="1" applyAlignment="1">
      <alignment horizontal="center"/>
    </xf>
    <xf numFmtId="1" fontId="9" fillId="0" borderId="20" xfId="0" applyNumberFormat="1" applyFont="1" applyBorder="1" applyAlignment="1">
      <alignment horizontal="center" vertical="center" wrapText="1"/>
    </xf>
    <xf numFmtId="180" fontId="9" fillId="0" borderId="33" xfId="6" applyNumberFormat="1" applyFont="1" applyFill="1" applyBorder="1" applyAlignment="1">
      <alignment horizontal="center" vertical="center"/>
    </xf>
    <xf numFmtId="0" fontId="9" fillId="0" borderId="26" xfId="0" applyFont="1" applyBorder="1" applyAlignment="1">
      <alignment horizontal="justify" vertical="center" wrapText="1"/>
    </xf>
    <xf numFmtId="0" fontId="2" fillId="3" borderId="10" xfId="0" applyFont="1" applyFill="1" applyBorder="1" applyAlignment="1">
      <alignment horizontal="center" vertical="center" wrapText="1"/>
    </xf>
    <xf numFmtId="49" fontId="5" fillId="3" borderId="10" xfId="0" applyNumberFormat="1" applyFont="1" applyFill="1" applyBorder="1" applyAlignment="1">
      <alignment horizontal="center" vertical="center" textRotation="90" wrapText="1"/>
    </xf>
    <xf numFmtId="49" fontId="5" fillId="3" borderId="12" xfId="0" applyNumberFormat="1" applyFont="1" applyFill="1" applyBorder="1" applyAlignment="1">
      <alignment horizontal="center" vertical="center" textRotation="90" wrapText="1"/>
    </xf>
    <xf numFmtId="0" fontId="9" fillId="0" borderId="19"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3" fillId="0" borderId="23" xfId="0" applyFont="1" applyFill="1" applyBorder="1" applyAlignment="1">
      <alignment horizontal="justify" vertical="center" wrapText="1"/>
    </xf>
    <xf numFmtId="0" fontId="3" fillId="0" borderId="4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6" xfId="0" applyFont="1" applyFill="1" applyBorder="1" applyAlignment="1">
      <alignment horizontal="center" vertical="center" wrapText="1"/>
    </xf>
    <xf numFmtId="1" fontId="3" fillId="0" borderId="9" xfId="0" applyNumberFormat="1" applyFont="1" applyFill="1" applyBorder="1" applyAlignment="1">
      <alignment horizontal="center" vertical="center" wrapText="1"/>
    </xf>
    <xf numFmtId="1" fontId="3" fillId="0" borderId="17" xfId="0" applyNumberFormat="1" applyFont="1" applyFill="1" applyBorder="1" applyAlignment="1">
      <alignment horizontal="center" vertical="center" wrapText="1"/>
    </xf>
    <xf numFmtId="1" fontId="3" fillId="0" borderId="18" xfId="0" applyNumberFormat="1" applyFont="1" applyFill="1" applyBorder="1" applyAlignment="1">
      <alignment horizontal="center" vertical="center" wrapText="1"/>
    </xf>
    <xf numFmtId="9" fontId="2" fillId="3" borderId="8" xfId="2" applyFont="1" applyFill="1" applyBorder="1" applyAlignment="1">
      <alignment horizontal="center" vertical="center" wrapText="1"/>
    </xf>
    <xf numFmtId="0" fontId="2" fillId="3" borderId="8" xfId="0" applyFont="1" applyFill="1" applyBorder="1" applyAlignment="1">
      <alignment horizontal="justify" vertical="center" wrapText="1"/>
    </xf>
    <xf numFmtId="0" fontId="2" fillId="3" borderId="12" xfId="0" applyFont="1" applyFill="1" applyBorder="1" applyAlignment="1">
      <alignment horizontal="center" vertical="center" wrapText="1"/>
    </xf>
    <xf numFmtId="175" fontId="3" fillId="0" borderId="9" xfId="15" applyNumberFormat="1" applyFont="1" applyFill="1" applyBorder="1" applyAlignment="1">
      <alignment horizontal="center" vertical="center"/>
    </xf>
    <xf numFmtId="175" fontId="3" fillId="0" borderId="17" xfId="15" applyNumberFormat="1" applyFont="1" applyFill="1" applyBorder="1" applyAlignment="1">
      <alignment horizontal="center" vertical="center"/>
    </xf>
    <xf numFmtId="175" fontId="3" fillId="0" borderId="18" xfId="15" applyNumberFormat="1" applyFont="1" applyFill="1" applyBorder="1" applyAlignment="1">
      <alignment horizontal="center" vertical="center"/>
    </xf>
    <xf numFmtId="3" fontId="3" fillId="0" borderId="9" xfId="0" applyNumberFormat="1" applyFont="1" applyFill="1" applyBorder="1" applyAlignment="1">
      <alignment horizontal="justify" vertical="center" wrapText="1"/>
    </xf>
    <xf numFmtId="3" fontId="3" fillId="0" borderId="8" xfId="0" applyNumberFormat="1" applyFont="1" applyFill="1" applyBorder="1" applyAlignment="1">
      <alignment horizontal="justify" vertical="center" wrapText="1"/>
    </xf>
    <xf numFmtId="175" fontId="3" fillId="0" borderId="7" xfId="15" applyNumberFormat="1" applyFont="1" applyFill="1" applyBorder="1" applyAlignment="1">
      <alignment horizontal="center" vertical="center"/>
    </xf>
    <xf numFmtId="0" fontId="3" fillId="0" borderId="7" xfId="0" applyFont="1" applyFill="1" applyBorder="1" applyAlignment="1">
      <alignment vertical="center" wrapText="1"/>
    </xf>
    <xf numFmtId="176" fontId="9" fillId="0" borderId="8" xfId="13" applyFont="1" applyFill="1" applyBorder="1" applyAlignment="1">
      <alignment horizontal="justify" vertical="center" wrapText="1"/>
    </xf>
    <xf numFmtId="172" fontId="9" fillId="0" borderId="20" xfId="7" applyFont="1" applyFill="1" applyBorder="1" applyAlignment="1">
      <alignment horizontal="center" vertical="center" wrapText="1"/>
    </xf>
    <xf numFmtId="176" fontId="9" fillId="0" borderId="7" xfId="13" applyFont="1" applyFill="1" applyBorder="1" applyAlignment="1">
      <alignment horizontal="justify" vertical="center" wrapText="1"/>
    </xf>
    <xf numFmtId="172" fontId="3" fillId="0" borderId="9" xfId="14" applyNumberFormat="1" applyFont="1" applyFill="1" applyBorder="1" applyAlignment="1">
      <alignment horizontal="center" vertical="center"/>
    </xf>
    <xf numFmtId="172" fontId="3" fillId="0" borderId="17" xfId="14" applyNumberFormat="1" applyFont="1" applyFill="1" applyBorder="1" applyAlignment="1">
      <alignment horizontal="center" vertical="center"/>
    </xf>
    <xf numFmtId="172" fontId="3" fillId="0" borderId="18" xfId="14" applyNumberFormat="1" applyFont="1" applyFill="1" applyBorder="1" applyAlignment="1">
      <alignment horizontal="center" vertical="center"/>
    </xf>
    <xf numFmtId="1" fontId="3" fillId="0" borderId="21" xfId="0" applyNumberFormat="1" applyFont="1" applyFill="1" applyBorder="1" applyAlignment="1">
      <alignment horizontal="center" vertical="center" wrapText="1"/>
    </xf>
    <xf numFmtId="1" fontId="3" fillId="0" borderId="23" xfId="0" applyNumberFormat="1" applyFont="1" applyFill="1" applyBorder="1" applyAlignment="1">
      <alignment horizontal="center" vertical="center" wrapText="1"/>
    </xf>
    <xf numFmtId="1" fontId="3" fillId="0" borderId="27" xfId="0" applyNumberFormat="1" applyFont="1" applyFill="1" applyBorder="1" applyAlignment="1">
      <alignment horizontal="center" vertical="center" wrapText="1"/>
    </xf>
    <xf numFmtId="0" fontId="3" fillId="0" borderId="20" xfId="0" applyFont="1" applyFill="1" applyBorder="1" applyAlignment="1">
      <alignment vertical="center" wrapText="1"/>
    </xf>
    <xf numFmtId="0" fontId="3" fillId="0" borderId="0" xfId="0" applyFont="1" applyFill="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169" fontId="3" fillId="0" borderId="9" xfId="0" applyNumberFormat="1" applyFont="1" applyFill="1" applyBorder="1" applyAlignment="1">
      <alignment horizontal="center" vertical="center" wrapText="1"/>
    </xf>
    <xf numFmtId="169" fontId="3" fillId="0" borderId="17" xfId="0" applyNumberFormat="1" applyFont="1" applyFill="1" applyBorder="1" applyAlignment="1">
      <alignment horizontal="center" vertical="center" wrapText="1"/>
    </xf>
    <xf numFmtId="169" fontId="3" fillId="0" borderId="18" xfId="0" applyNumberFormat="1" applyFont="1" applyFill="1" applyBorder="1" applyAlignment="1">
      <alignment horizontal="center" vertical="center" wrapText="1"/>
    </xf>
    <xf numFmtId="176" fontId="9" fillId="0" borderId="9" xfId="13" applyFont="1" applyFill="1" applyBorder="1" applyAlignment="1">
      <alignment horizontal="center" vertical="center" wrapText="1"/>
    </xf>
    <xf numFmtId="176" fontId="9" fillId="0" borderId="17" xfId="13" applyFont="1" applyFill="1" applyBorder="1" applyAlignment="1">
      <alignment horizontal="center" vertical="center" wrapText="1"/>
    </xf>
    <xf numFmtId="176" fontId="9" fillId="0" borderId="18" xfId="13" applyFont="1" applyFill="1" applyBorder="1" applyAlignment="1">
      <alignment horizontal="center" vertical="center" wrapText="1"/>
    </xf>
    <xf numFmtId="0" fontId="20" fillId="0" borderId="20" xfId="0" applyFont="1" applyFill="1" applyBorder="1" applyAlignment="1">
      <alignment horizontal="justify" vertical="center" wrapText="1"/>
    </xf>
    <xf numFmtId="0" fontId="20" fillId="0" borderId="16" xfId="0" applyFont="1" applyFill="1" applyBorder="1" applyAlignment="1">
      <alignment horizontal="justify" vertical="center" wrapText="1"/>
    </xf>
    <xf numFmtId="0" fontId="20" fillId="0" borderId="6" xfId="0" applyFont="1" applyFill="1" applyBorder="1" applyAlignment="1">
      <alignment horizontal="justify" vertical="center" wrapText="1"/>
    </xf>
    <xf numFmtId="0" fontId="3" fillId="0" borderId="68" xfId="0" applyFont="1" applyFill="1" applyBorder="1" applyAlignment="1">
      <alignment horizontal="center" vertical="center" wrapText="1"/>
    </xf>
    <xf numFmtId="9" fontId="3" fillId="0" borderId="9" xfId="2" applyFont="1" applyFill="1" applyBorder="1" applyAlignment="1">
      <alignment horizontal="center" vertical="center"/>
    </xf>
    <xf numFmtId="9" fontId="3" fillId="0" borderId="17" xfId="2" applyFont="1" applyFill="1" applyBorder="1" applyAlignment="1">
      <alignment horizontal="center" vertical="center"/>
    </xf>
    <xf numFmtId="9" fontId="3" fillId="0" borderId="18" xfId="2" applyFont="1" applyFill="1" applyBorder="1" applyAlignment="1">
      <alignment horizontal="center" vertical="center"/>
    </xf>
    <xf numFmtId="175" fontId="3" fillId="0" borderId="9" xfId="15" applyNumberFormat="1" applyFont="1" applyFill="1" applyBorder="1" applyAlignment="1">
      <alignment horizontal="center" vertical="center" wrapText="1"/>
    </xf>
    <xf numFmtId="175" fontId="3" fillId="0" borderId="17" xfId="15" applyNumberFormat="1" applyFont="1" applyFill="1" applyBorder="1" applyAlignment="1">
      <alignment horizontal="center" vertical="center" wrapText="1"/>
    </xf>
    <xf numFmtId="175" fontId="3" fillId="0" borderId="18" xfId="15" applyNumberFormat="1" applyFont="1" applyFill="1" applyBorder="1" applyAlignment="1">
      <alignment horizontal="center" vertical="center" wrapText="1"/>
    </xf>
    <xf numFmtId="172" fontId="9" fillId="0" borderId="20" xfId="7" applyNumberFormat="1" applyFont="1" applyFill="1" applyBorder="1" applyAlignment="1">
      <alignment horizontal="right" vertical="center" wrapText="1"/>
    </xf>
    <xf numFmtId="0" fontId="3" fillId="0" borderId="33" xfId="0" applyFont="1" applyFill="1" applyBorder="1" applyAlignment="1">
      <alignment horizontal="justify" vertical="center" wrapText="1"/>
    </xf>
    <xf numFmtId="2" fontId="3" fillId="0" borderId="9" xfId="0" applyNumberFormat="1" applyFont="1" applyFill="1" applyBorder="1" applyAlignment="1">
      <alignment horizontal="center" vertical="center" wrapText="1"/>
    </xf>
    <xf numFmtId="2" fontId="3" fillId="0" borderId="17" xfId="0" applyNumberFormat="1" applyFont="1" applyFill="1" applyBorder="1" applyAlignment="1">
      <alignment horizontal="center" vertical="center" wrapText="1"/>
    </xf>
    <xf numFmtId="2" fontId="3" fillId="0" borderId="18" xfId="0" applyNumberFormat="1" applyFont="1" applyFill="1" applyBorder="1" applyAlignment="1">
      <alignment horizontal="center" vertical="center" wrapText="1"/>
    </xf>
    <xf numFmtId="14" fontId="9" fillId="0" borderId="20" xfId="0" applyNumberFormat="1" applyFont="1" applyFill="1" applyBorder="1" applyAlignment="1">
      <alignment horizontal="center" vertical="center" wrapText="1"/>
    </xf>
    <xf numFmtId="14" fontId="9" fillId="0" borderId="21" xfId="0" applyNumberFormat="1" applyFont="1" applyFill="1" applyBorder="1" applyAlignment="1">
      <alignment horizontal="center" vertical="center" wrapText="1"/>
    </xf>
    <xf numFmtId="14" fontId="9" fillId="0" borderId="23" xfId="0" applyNumberFormat="1" applyFont="1" applyFill="1" applyBorder="1" applyAlignment="1">
      <alignment horizontal="center" vertical="center" wrapText="1"/>
    </xf>
    <xf numFmtId="14" fontId="9" fillId="0" borderId="27" xfId="0" applyNumberFormat="1" applyFont="1" applyFill="1" applyBorder="1" applyAlignment="1">
      <alignment horizontal="center" vertical="center" wrapText="1"/>
    </xf>
    <xf numFmtId="172" fontId="9" fillId="0" borderId="21" xfId="14" applyNumberFormat="1" applyFont="1" applyFill="1" applyBorder="1" applyAlignment="1">
      <alignment horizontal="center" vertical="center" wrapText="1"/>
    </xf>
    <xf numFmtId="172" fontId="9" fillId="0" borderId="23" xfId="14" applyNumberFormat="1" applyFont="1" applyFill="1" applyBorder="1" applyAlignment="1">
      <alignment horizontal="center" vertical="center" wrapText="1"/>
    </xf>
    <xf numFmtId="172" fontId="9" fillId="0" borderId="27" xfId="14" applyNumberFormat="1" applyFont="1" applyFill="1" applyBorder="1" applyAlignment="1">
      <alignment horizontal="center" vertical="center" wrapText="1"/>
    </xf>
    <xf numFmtId="9" fontId="9" fillId="0" borderId="21" xfId="2" applyFont="1" applyFill="1" applyBorder="1" applyAlignment="1">
      <alignment horizontal="center" vertical="center" wrapText="1"/>
    </xf>
    <xf numFmtId="9" fontId="9" fillId="0" borderId="23" xfId="2" applyFont="1" applyFill="1" applyBorder="1" applyAlignment="1">
      <alignment horizontal="center" vertical="center" wrapText="1"/>
    </xf>
    <xf numFmtId="172" fontId="9" fillId="0" borderId="17" xfId="7" applyNumberFormat="1" applyFont="1" applyBorder="1" applyAlignment="1">
      <alignment vertical="center" wrapText="1"/>
    </xf>
    <xf numFmtId="172" fontId="9" fillId="0" borderId="9" xfId="14" applyNumberFormat="1" applyFont="1" applyBorder="1" applyAlignment="1">
      <alignment horizontal="center" vertical="center" wrapText="1"/>
    </xf>
    <xf numFmtId="172" fontId="9" fillId="0" borderId="17" xfId="14" applyNumberFormat="1" applyFont="1" applyBorder="1" applyAlignment="1">
      <alignment horizontal="center" vertical="center" wrapText="1"/>
    </xf>
    <xf numFmtId="172" fontId="9" fillId="0" borderId="18" xfId="14" applyNumberFormat="1" applyFont="1" applyBorder="1" applyAlignment="1">
      <alignment horizontal="center" vertical="center" wrapText="1"/>
    </xf>
    <xf numFmtId="0" fontId="3" fillId="2" borderId="0" xfId="0" applyFont="1" applyFill="1" applyAlignment="1">
      <alignment horizontal="center" vertical="center" wrapText="1"/>
    </xf>
    <xf numFmtId="14" fontId="9" fillId="0" borderId="9" xfId="0" applyNumberFormat="1" applyFont="1" applyBorder="1" applyAlignment="1">
      <alignment horizontal="center" vertical="center" wrapText="1"/>
    </xf>
    <xf numFmtId="1" fontId="3" fillId="0" borderId="40" xfId="0" applyNumberFormat="1" applyFont="1" applyFill="1" applyBorder="1" applyAlignment="1">
      <alignment horizontal="center" vertical="center" wrapText="1"/>
    </xf>
    <xf numFmtId="1" fontId="3" fillId="0" borderId="31" xfId="0" applyNumberFormat="1" applyFont="1" applyFill="1" applyBorder="1" applyAlignment="1">
      <alignment horizontal="center" vertical="center" wrapText="1"/>
    </xf>
    <xf numFmtId="1" fontId="3" fillId="0" borderId="36" xfId="0" applyNumberFormat="1" applyFont="1" applyFill="1" applyBorder="1" applyAlignment="1">
      <alignment horizontal="center" vertical="center" wrapText="1"/>
    </xf>
    <xf numFmtId="172" fontId="9" fillId="0" borderId="33" xfId="7" applyNumberFormat="1" applyFont="1" applyBorder="1" applyAlignment="1">
      <alignment vertical="center" wrapText="1"/>
    </xf>
    <xf numFmtId="172" fontId="9" fillId="0" borderId="42" xfId="7" applyNumberFormat="1" applyFont="1" applyBorder="1" applyAlignment="1">
      <alignment vertical="center" wrapText="1"/>
    </xf>
    <xf numFmtId="0" fontId="9" fillId="0" borderId="64" xfId="0" applyFont="1" applyBorder="1" applyAlignment="1">
      <alignment horizontal="center" vertical="center" wrapText="1"/>
    </xf>
    <xf numFmtId="0" fontId="9" fillId="2" borderId="42" xfId="0" applyFont="1" applyFill="1" applyBorder="1" applyAlignment="1">
      <alignment horizontal="center" vertical="center" wrapText="1"/>
    </xf>
    <xf numFmtId="0" fontId="3" fillId="2" borderId="42" xfId="0" applyFont="1" applyFill="1" applyBorder="1" applyAlignment="1">
      <alignment horizontal="center" vertical="center" wrapText="1"/>
    </xf>
    <xf numFmtId="2" fontId="3" fillId="0" borderId="21" xfId="0" applyNumberFormat="1" applyFont="1" applyFill="1" applyBorder="1" applyAlignment="1">
      <alignment horizontal="center" vertical="center" wrapText="1"/>
    </xf>
    <xf numFmtId="2" fontId="3" fillId="0" borderId="23" xfId="0" applyNumberFormat="1" applyFont="1" applyFill="1" applyBorder="1" applyAlignment="1">
      <alignment horizontal="center" vertical="center" wrapText="1"/>
    </xf>
    <xf numFmtId="2" fontId="3" fillId="0" borderId="27" xfId="0" applyNumberFormat="1" applyFont="1" applyFill="1" applyBorder="1" applyAlignment="1">
      <alignment horizontal="center" vertical="center" wrapText="1"/>
    </xf>
    <xf numFmtId="14" fontId="9" fillId="0" borderId="17" xfId="0" applyNumberFormat="1" applyFont="1" applyBorder="1" applyAlignment="1">
      <alignment horizontal="center" vertical="center" wrapText="1"/>
    </xf>
    <xf numFmtId="14" fontId="9" fillId="0" borderId="7" xfId="0" applyNumberFormat="1" applyFont="1" applyBorder="1" applyAlignment="1">
      <alignment horizontal="center" vertical="center" wrapText="1"/>
    </xf>
    <xf numFmtId="172" fontId="9" fillId="0" borderId="37" xfId="14" applyNumberFormat="1" applyFont="1" applyBorder="1" applyAlignment="1">
      <alignment horizontal="center" vertical="center" wrapText="1"/>
    </xf>
    <xf numFmtId="9" fontId="9" fillId="0" borderId="37" xfId="2" applyFont="1" applyBorder="1" applyAlignment="1">
      <alignment horizontal="center" vertical="center" wrapText="1"/>
    </xf>
    <xf numFmtId="172" fontId="9" fillId="0" borderId="20" xfId="7" applyNumberFormat="1" applyFont="1" applyFill="1" applyBorder="1" applyAlignment="1">
      <alignment vertical="center" wrapText="1"/>
    </xf>
    <xf numFmtId="172" fontId="9" fillId="0" borderId="21" xfId="7" applyNumberFormat="1" applyFont="1" applyFill="1" applyBorder="1" applyAlignment="1">
      <alignment vertical="center" wrapText="1"/>
    </xf>
    <xf numFmtId="172" fontId="9" fillId="0" borderId="20" xfId="14" applyNumberFormat="1" applyFont="1" applyBorder="1" applyAlignment="1">
      <alignment horizontal="center" vertical="center" wrapText="1"/>
    </xf>
    <xf numFmtId="172" fontId="9" fillId="0" borderId="21" xfId="14" applyNumberFormat="1" applyFont="1" applyBorder="1" applyAlignment="1">
      <alignment horizontal="center" vertical="center" wrapText="1"/>
    </xf>
    <xf numFmtId="172" fontId="9" fillId="0" borderId="20" xfId="7" applyNumberFormat="1" applyFont="1" applyBorder="1" applyAlignment="1">
      <alignment vertical="center" wrapText="1"/>
    </xf>
    <xf numFmtId="14" fontId="9" fillId="0" borderId="20" xfId="0" applyNumberFormat="1" applyFont="1" applyBorder="1" applyAlignment="1">
      <alignment horizontal="center" vertical="center" wrapText="1"/>
    </xf>
    <xf numFmtId="9" fontId="9" fillId="0" borderId="20" xfId="2" applyFont="1" applyBorder="1" applyAlignment="1">
      <alignment horizontal="center" vertical="center" wrapText="1"/>
    </xf>
    <xf numFmtId="9" fontId="9" fillId="0" borderId="21" xfId="2" applyFont="1" applyBorder="1" applyAlignment="1">
      <alignment horizontal="center" vertical="center" wrapText="1"/>
    </xf>
    <xf numFmtId="14" fontId="9" fillId="0" borderId="21" xfId="0" applyNumberFormat="1" applyFont="1" applyBorder="1" applyAlignment="1">
      <alignment horizontal="center" vertical="center" wrapText="1"/>
    </xf>
    <xf numFmtId="14" fontId="9" fillId="0" borderId="23" xfId="0" applyNumberFormat="1" applyFont="1" applyBorder="1" applyAlignment="1">
      <alignment horizontal="center" vertical="center" wrapText="1"/>
    </xf>
    <xf numFmtId="14" fontId="9" fillId="0" borderId="27" xfId="0" applyNumberFormat="1" applyFont="1" applyBorder="1" applyAlignment="1">
      <alignment horizontal="center" vertical="center" wrapText="1"/>
    </xf>
    <xf numFmtId="0" fontId="9" fillId="0" borderId="66" xfId="0" applyFont="1" applyFill="1" applyBorder="1" applyAlignment="1" applyProtection="1">
      <alignment horizontal="justify" vertical="center" wrapText="1"/>
      <protection locked="0"/>
    </xf>
    <xf numFmtId="0" fontId="9" fillId="0" borderId="17" xfId="0" applyFont="1" applyFill="1" applyBorder="1" applyAlignment="1" applyProtection="1">
      <alignment horizontal="justify" vertical="center" wrapText="1"/>
      <protection locked="0"/>
    </xf>
    <xf numFmtId="0" fontId="9" fillId="0" borderId="18" xfId="0" applyFont="1" applyFill="1" applyBorder="1" applyAlignment="1" applyProtection="1">
      <alignment horizontal="justify" vertical="center" wrapText="1"/>
      <protection locked="0"/>
    </xf>
    <xf numFmtId="0" fontId="3" fillId="0" borderId="66" xfId="0" applyFont="1" applyFill="1" applyBorder="1" applyAlignment="1">
      <alignment horizontal="justify" vertical="center" wrapText="1"/>
    </xf>
    <xf numFmtId="175" fontId="3" fillId="0" borderId="68" xfId="15" applyNumberFormat="1" applyFont="1" applyFill="1" applyBorder="1" applyAlignment="1">
      <alignment horizontal="center" vertical="center"/>
    </xf>
    <xf numFmtId="175" fontId="3" fillId="0" borderId="31" xfId="15" applyNumberFormat="1" applyFont="1" applyFill="1" applyBorder="1" applyAlignment="1">
      <alignment horizontal="center" vertical="center"/>
    </xf>
    <xf numFmtId="175" fontId="3" fillId="0" borderId="66" xfId="15" applyNumberFormat="1" applyFont="1" applyFill="1" applyBorder="1" applyAlignment="1">
      <alignment horizontal="center" vertical="center"/>
    </xf>
    <xf numFmtId="0" fontId="9" fillId="0" borderId="65" xfId="0" applyFont="1" applyFill="1" applyBorder="1" applyAlignment="1">
      <alignment horizontal="center" vertical="center" wrapText="1"/>
    </xf>
    <xf numFmtId="0" fontId="3" fillId="0" borderId="66" xfId="0" applyFont="1" applyFill="1" applyBorder="1" applyAlignment="1">
      <alignment horizontal="center" vertical="center" wrapText="1"/>
    </xf>
    <xf numFmtId="1" fontId="3" fillId="0" borderId="66" xfId="0" applyNumberFormat="1" applyFont="1" applyFill="1" applyBorder="1" applyAlignment="1">
      <alignment horizontal="center" vertical="center" wrapText="1"/>
    </xf>
    <xf numFmtId="0" fontId="9" fillId="0" borderId="66" xfId="0" applyFont="1" applyFill="1" applyBorder="1" applyAlignment="1">
      <alignment horizontal="center" vertical="center" wrapText="1"/>
    </xf>
    <xf numFmtId="172" fontId="9" fillId="0" borderId="23" xfId="14" applyNumberFormat="1" applyFont="1" applyBorder="1" applyAlignment="1">
      <alignment horizontal="center" vertical="center" wrapText="1"/>
    </xf>
    <xf numFmtId="172" fontId="9" fillId="0" borderId="27" xfId="14" applyNumberFormat="1" applyFont="1" applyBorder="1" applyAlignment="1">
      <alignment horizontal="center" vertical="center" wrapText="1"/>
    </xf>
    <xf numFmtId="9" fontId="9" fillId="0" borderId="23" xfId="2" applyFont="1" applyBorder="1" applyAlignment="1">
      <alignment horizontal="center" vertical="center" wrapText="1"/>
    </xf>
    <xf numFmtId="9" fontId="9" fillId="0" borderId="27" xfId="2" applyFont="1" applyBorder="1" applyAlignment="1">
      <alignment horizontal="center" vertical="center" wrapText="1"/>
    </xf>
    <xf numFmtId="14" fontId="3" fillId="0" borderId="68" xfId="15" applyNumberFormat="1" applyFont="1" applyFill="1" applyBorder="1" applyAlignment="1">
      <alignment horizontal="center" vertical="center"/>
    </xf>
    <xf numFmtId="14" fontId="3" fillId="0" borderId="31" xfId="15" applyNumberFormat="1" applyFont="1" applyFill="1" applyBorder="1" applyAlignment="1">
      <alignment horizontal="center" vertical="center"/>
    </xf>
    <xf numFmtId="14" fontId="3" fillId="0" borderId="41" xfId="15" applyNumberFormat="1" applyFont="1" applyFill="1" applyBorder="1" applyAlignment="1">
      <alignment horizontal="center" vertical="center"/>
    </xf>
    <xf numFmtId="0" fontId="3" fillId="0" borderId="0" xfId="0" applyFont="1" applyAlignment="1">
      <alignment horizontal="center"/>
    </xf>
    <xf numFmtId="0" fontId="9" fillId="0" borderId="8" xfId="0" applyFont="1" applyFill="1" applyBorder="1" applyAlignment="1">
      <alignment horizontal="center" vertical="center" wrapText="1"/>
    </xf>
    <xf numFmtId="0" fontId="9" fillId="0" borderId="16" xfId="0" applyFont="1" applyFill="1" applyBorder="1" applyAlignment="1">
      <alignment horizontal="center" vertical="center" wrapText="1"/>
    </xf>
    <xf numFmtId="175" fontId="3" fillId="0" borderId="66" xfId="0" applyNumberFormat="1" applyFont="1" applyFill="1" applyBorder="1" applyAlignment="1">
      <alignment horizontal="center" vertical="center"/>
    </xf>
    <xf numFmtId="175" fontId="3" fillId="0" borderId="17" xfId="0" applyNumberFormat="1" applyFont="1" applyFill="1" applyBorder="1" applyAlignment="1">
      <alignment horizontal="center" vertical="center"/>
    </xf>
    <xf numFmtId="175" fontId="3" fillId="0" borderId="18" xfId="0" applyNumberFormat="1" applyFont="1" applyFill="1" applyBorder="1" applyAlignment="1">
      <alignment horizontal="center" vertical="center"/>
    </xf>
    <xf numFmtId="172" fontId="3" fillId="0" borderId="66" xfId="14" applyNumberFormat="1" applyFont="1" applyFill="1" applyBorder="1" applyAlignment="1">
      <alignment horizontal="center" vertical="center"/>
    </xf>
    <xf numFmtId="9" fontId="3" fillId="0" borderId="66" xfId="2" applyFont="1" applyFill="1" applyBorder="1" applyAlignment="1">
      <alignment horizontal="center" vertical="center"/>
    </xf>
    <xf numFmtId="175" fontId="3" fillId="0" borderId="66" xfId="0" applyNumberFormat="1" applyFont="1" applyFill="1" applyBorder="1" applyAlignment="1">
      <alignment horizontal="center" vertical="center" wrapText="1"/>
    </xf>
    <xf numFmtId="175" fontId="3" fillId="0" borderId="17" xfId="0" applyNumberFormat="1" applyFont="1" applyFill="1" applyBorder="1" applyAlignment="1">
      <alignment horizontal="center" vertical="center" wrapText="1"/>
    </xf>
    <xf numFmtId="175" fontId="3" fillId="0" borderId="18" xfId="0" applyNumberFormat="1" applyFont="1" applyFill="1" applyBorder="1" applyAlignment="1">
      <alignment horizontal="center" vertical="center" wrapText="1"/>
    </xf>
    <xf numFmtId="0" fontId="3" fillId="0" borderId="66" xfId="0" applyFont="1" applyFill="1" applyBorder="1" applyAlignment="1">
      <alignment horizontal="center" vertical="center"/>
    </xf>
    <xf numFmtId="175" fontId="3" fillId="0" borderId="2" xfId="15" applyNumberFormat="1" applyFont="1" applyFill="1" applyBorder="1" applyAlignment="1">
      <alignment horizontal="center" vertical="center"/>
    </xf>
    <xf numFmtId="0" fontId="9" fillId="0" borderId="2" xfId="0" applyFont="1" applyFill="1" applyBorder="1" applyAlignment="1" applyProtection="1">
      <alignment horizontal="justify" vertical="center" wrapText="1"/>
      <protection locked="0"/>
    </xf>
    <xf numFmtId="9" fontId="3" fillId="0" borderId="2" xfId="2" applyFont="1" applyFill="1" applyBorder="1" applyAlignment="1">
      <alignment horizontal="center" vertical="center"/>
    </xf>
    <xf numFmtId="172" fontId="9" fillId="0" borderId="2" xfId="7" applyFont="1" applyFill="1" applyBorder="1" applyAlignment="1">
      <alignment horizontal="center" vertical="center" wrapText="1"/>
    </xf>
    <xf numFmtId="0" fontId="3" fillId="0" borderId="2" xfId="0"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4" fontId="9" fillId="0" borderId="66" xfId="0" applyNumberFormat="1" applyFont="1" applyFill="1" applyBorder="1" applyAlignment="1" applyProtection="1">
      <alignment horizontal="center" vertical="center" wrapText="1"/>
      <protection locked="0"/>
    </xf>
    <xf numFmtId="14" fontId="9" fillId="0" borderId="17" xfId="0" applyNumberFormat="1" applyFont="1" applyFill="1" applyBorder="1" applyAlignment="1" applyProtection="1">
      <alignment horizontal="center" vertical="center" wrapText="1"/>
      <protection locked="0"/>
    </xf>
    <xf numFmtId="14" fontId="9" fillId="0" borderId="18" xfId="0" applyNumberFormat="1" applyFont="1" applyFill="1" applyBorder="1" applyAlignment="1" applyProtection="1">
      <alignment horizontal="center" vertical="center" wrapText="1"/>
      <protection locked="0"/>
    </xf>
    <xf numFmtId="172" fontId="9" fillId="0" borderId="66" xfId="7" applyFont="1" applyFill="1" applyBorder="1" applyAlignment="1">
      <alignment vertical="center" wrapText="1"/>
    </xf>
    <xf numFmtId="172" fontId="9" fillId="0" borderId="17" xfId="7" applyFont="1" applyFill="1" applyBorder="1" applyAlignment="1">
      <alignment vertical="center" wrapText="1"/>
    </xf>
    <xf numFmtId="172" fontId="9" fillId="0" borderId="18" xfId="7" applyFont="1" applyFill="1" applyBorder="1" applyAlignment="1">
      <alignment vertical="center" wrapText="1"/>
    </xf>
    <xf numFmtId="0" fontId="9" fillId="0" borderId="2" xfId="0" applyFont="1" applyBorder="1" applyAlignment="1" applyProtection="1">
      <alignment horizontal="center" vertical="center" wrapText="1"/>
      <protection locked="0"/>
    </xf>
    <xf numFmtId="172" fontId="3" fillId="0" borderId="2" xfId="14" applyNumberFormat="1" applyFont="1" applyFill="1" applyBorder="1" applyAlignment="1">
      <alignment horizontal="center" vertical="center"/>
    </xf>
    <xf numFmtId="1" fontId="3" fillId="0" borderId="24" xfId="0" applyNumberFormat="1" applyFont="1" applyFill="1" applyBorder="1" applyAlignment="1">
      <alignment horizontal="center" vertical="center" wrapText="1"/>
    </xf>
    <xf numFmtId="0" fontId="9" fillId="0" borderId="44"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27" xfId="0" applyFont="1" applyBorder="1" applyAlignment="1" applyProtection="1">
      <alignment horizontal="justify" vertical="center" wrapText="1"/>
      <protection locked="0"/>
    </xf>
    <xf numFmtId="0" fontId="9" fillId="0" borderId="20" xfId="0" applyFont="1" applyBorder="1" applyAlignment="1" applyProtection="1">
      <alignment horizontal="justify" vertical="center" wrapText="1"/>
      <protection locked="0"/>
    </xf>
    <xf numFmtId="0" fontId="3" fillId="0" borderId="6"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175" fontId="3" fillId="0" borderId="2" xfId="15" applyNumberFormat="1" applyFont="1" applyFill="1" applyBorder="1" applyAlignment="1">
      <alignment horizontal="center" vertical="center" wrapText="1"/>
    </xf>
    <xf numFmtId="14" fontId="9" fillId="0" borderId="2" xfId="0" applyNumberFormat="1" applyFont="1" applyBorder="1" applyAlignment="1" applyProtection="1">
      <alignment horizontal="center" vertical="center" wrapText="1"/>
      <protection locked="0"/>
    </xf>
    <xf numFmtId="9" fontId="3" fillId="2" borderId="33" xfId="2" applyFont="1" applyFill="1" applyBorder="1" applyAlignment="1">
      <alignment horizontal="center" vertical="center"/>
    </xf>
    <xf numFmtId="172" fontId="9" fillId="0" borderId="27" xfId="7" applyFont="1" applyFill="1" applyBorder="1" applyAlignment="1">
      <alignment vertical="center" wrapText="1"/>
    </xf>
    <xf numFmtId="172" fontId="9" fillId="0" borderId="20" xfId="7" applyFont="1" applyFill="1" applyBorder="1" applyAlignment="1">
      <alignment vertical="center" wrapText="1"/>
    </xf>
    <xf numFmtId="14" fontId="9" fillId="0" borderId="27" xfId="0" applyNumberFormat="1" applyFont="1" applyBorder="1" applyAlignment="1" applyProtection="1">
      <alignment horizontal="center" vertical="center" wrapText="1"/>
      <protection locked="0"/>
    </xf>
    <xf numFmtId="14" fontId="9" fillId="0" borderId="20" xfId="0" applyNumberFormat="1" applyFont="1" applyBorder="1" applyAlignment="1" applyProtection="1">
      <alignment horizontal="center" vertical="center" wrapText="1"/>
      <protection locked="0"/>
    </xf>
    <xf numFmtId="14" fontId="9" fillId="0" borderId="23" xfId="0" applyNumberFormat="1" applyFont="1" applyBorder="1" applyAlignment="1" applyProtection="1">
      <alignment horizontal="center" vertical="center" wrapText="1"/>
      <protection locked="0"/>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172" fontId="3" fillId="0" borderId="27" xfId="14" applyNumberFormat="1" applyFont="1" applyFill="1" applyBorder="1" applyAlignment="1">
      <alignment horizontal="center" vertical="center"/>
    </xf>
    <xf numFmtId="172" fontId="3" fillId="0" borderId="20" xfId="14" applyNumberFormat="1" applyFont="1" applyFill="1" applyBorder="1" applyAlignment="1">
      <alignment horizontal="center" vertical="center"/>
    </xf>
    <xf numFmtId="3" fontId="3" fillId="0" borderId="23" xfId="0" applyNumberFormat="1" applyFont="1" applyBorder="1" applyAlignment="1">
      <alignment horizontal="center" vertical="center" wrapText="1"/>
    </xf>
    <xf numFmtId="3" fontId="3" fillId="0" borderId="27" xfId="0" applyNumberFormat="1" applyFont="1" applyBorder="1" applyAlignment="1">
      <alignment horizontal="center" vertical="center" wrapText="1"/>
    </xf>
    <xf numFmtId="2" fontId="3" fillId="0" borderId="37" xfId="0" applyNumberFormat="1" applyFont="1" applyFill="1" applyBorder="1" applyAlignment="1">
      <alignment horizontal="center" vertical="center" wrapText="1"/>
    </xf>
    <xf numFmtId="172" fontId="9" fillId="0" borderId="9" xfId="7" applyFont="1" applyFill="1" applyBorder="1" applyAlignment="1">
      <alignment vertical="center" wrapText="1"/>
    </xf>
    <xf numFmtId="172" fontId="9" fillId="0" borderId="9" xfId="14" applyNumberFormat="1" applyFont="1" applyFill="1" applyBorder="1" applyAlignment="1">
      <alignment horizontal="center" vertical="center" wrapText="1"/>
    </xf>
    <xf numFmtId="172" fontId="9" fillId="0" borderId="17" xfId="14" applyNumberFormat="1" applyFont="1" applyFill="1" applyBorder="1" applyAlignment="1">
      <alignment horizontal="center" vertical="center" wrapText="1"/>
    </xf>
    <xf numFmtId="172" fontId="9" fillId="0" borderId="18" xfId="14" applyNumberFormat="1" applyFont="1" applyFill="1" applyBorder="1" applyAlignment="1">
      <alignment horizontal="center" vertical="center" wrapText="1"/>
    </xf>
    <xf numFmtId="9" fontId="9" fillId="0" borderId="20" xfId="2" applyFont="1" applyFill="1" applyBorder="1" applyAlignment="1" applyProtection="1">
      <alignment horizontal="center" vertical="center" wrapText="1"/>
      <protection locked="0"/>
    </xf>
    <xf numFmtId="0" fontId="9" fillId="0" borderId="20" xfId="0" applyFont="1" applyFill="1" applyBorder="1" applyAlignment="1" applyProtection="1">
      <alignment horizontal="justify" vertical="center" wrapText="1"/>
      <protection locked="0"/>
    </xf>
    <xf numFmtId="175" fontId="3" fillId="0" borderId="27" xfId="15" applyNumberFormat="1" applyFont="1" applyFill="1" applyBorder="1" applyAlignment="1">
      <alignment horizontal="center" vertical="center"/>
    </xf>
    <xf numFmtId="175" fontId="3" fillId="0" borderId="20" xfId="15" applyNumberFormat="1" applyFont="1" applyFill="1" applyBorder="1" applyAlignment="1">
      <alignment horizontal="center" vertical="center"/>
    </xf>
    <xf numFmtId="175" fontId="2" fillId="0" borderId="24" xfId="0" applyNumberFormat="1" applyFont="1" applyFill="1" applyBorder="1" applyAlignment="1">
      <alignment horizontal="center" vertical="center"/>
    </xf>
    <xf numFmtId="175" fontId="2" fillId="0" borderId="27" xfId="0" applyNumberFormat="1" applyFont="1" applyFill="1" applyBorder="1" applyAlignment="1">
      <alignment horizontal="center" vertical="center"/>
    </xf>
    <xf numFmtId="0" fontId="3" fillId="0" borderId="21" xfId="0" applyFont="1" applyFill="1" applyBorder="1" applyAlignment="1">
      <alignment horizontal="center" vertical="center" wrapText="1"/>
    </xf>
    <xf numFmtId="14" fontId="9" fillId="0" borderId="2" xfId="0" applyNumberFormat="1" applyFont="1" applyBorder="1" applyAlignment="1">
      <alignment horizontal="center" vertical="center" wrapText="1"/>
    </xf>
    <xf numFmtId="0" fontId="3" fillId="0" borderId="0" xfId="0" applyFont="1" applyFill="1" applyAlignment="1">
      <alignment horizontal="center"/>
    </xf>
    <xf numFmtId="0" fontId="3" fillId="0" borderId="16" xfId="0" applyFont="1" applyFill="1" applyBorder="1" applyAlignment="1">
      <alignment horizontal="center"/>
    </xf>
    <xf numFmtId="0" fontId="9" fillId="0" borderId="45" xfId="0" applyFont="1" applyFill="1" applyBorder="1" applyAlignment="1">
      <alignment horizontal="center" vertical="center" wrapText="1"/>
    </xf>
    <xf numFmtId="0" fontId="9" fillId="0" borderId="30" xfId="0" applyFont="1" applyFill="1" applyBorder="1" applyAlignment="1">
      <alignment horizontal="center" vertical="center" wrapText="1"/>
    </xf>
    <xf numFmtId="1" fontId="3" fillId="0" borderId="58" xfId="0" applyNumberFormat="1" applyFont="1" applyFill="1" applyBorder="1" applyAlignment="1">
      <alignment horizontal="center" vertical="center" wrapText="1"/>
    </xf>
    <xf numFmtId="1" fontId="3" fillId="0" borderId="32" xfId="0" applyNumberFormat="1" applyFont="1" applyFill="1" applyBorder="1" applyAlignment="1">
      <alignment horizontal="center" vertical="center" wrapText="1"/>
    </xf>
    <xf numFmtId="1" fontId="3" fillId="0" borderId="59" xfId="0" applyNumberFormat="1" applyFont="1" applyFill="1" applyBorder="1" applyAlignment="1">
      <alignment horizontal="center" vertical="center" wrapText="1"/>
    </xf>
    <xf numFmtId="9" fontId="9" fillId="0" borderId="30" xfId="2" applyFont="1" applyFill="1" applyBorder="1" applyAlignment="1">
      <alignment horizontal="center" vertical="center" wrapText="1"/>
    </xf>
    <xf numFmtId="9" fontId="9" fillId="0" borderId="34" xfId="2" applyFont="1" applyFill="1" applyBorder="1" applyAlignment="1">
      <alignment horizontal="center" vertical="center" wrapText="1"/>
    </xf>
    <xf numFmtId="9" fontId="9" fillId="0" borderId="45" xfId="2" applyFont="1" applyFill="1" applyBorder="1" applyAlignment="1">
      <alignment horizontal="center" vertical="center" wrapText="1"/>
    </xf>
    <xf numFmtId="172" fontId="9" fillId="0" borderId="21" xfId="7" applyFont="1" applyFill="1" applyBorder="1" applyAlignment="1">
      <alignment vertical="center" wrapText="1"/>
    </xf>
    <xf numFmtId="14" fontId="9" fillId="0" borderId="27" xfId="0" applyNumberFormat="1" applyFont="1" applyFill="1" applyBorder="1" applyAlignment="1" applyProtection="1">
      <alignment horizontal="center" vertical="center" wrapText="1"/>
      <protection locked="0"/>
    </xf>
    <xf numFmtId="14" fontId="9" fillId="0" borderId="20" xfId="0" applyNumberFormat="1" applyFont="1" applyFill="1" applyBorder="1" applyAlignment="1" applyProtection="1">
      <alignment horizontal="center" vertical="center" wrapText="1"/>
      <protection locked="0"/>
    </xf>
    <xf numFmtId="14" fontId="9" fillId="0" borderId="24" xfId="0" applyNumberFormat="1" applyFont="1" applyFill="1" applyBorder="1" applyAlignment="1" applyProtection="1">
      <alignment horizontal="center" vertical="center" wrapText="1"/>
      <protection locked="0"/>
    </xf>
    <xf numFmtId="0" fontId="9" fillId="0" borderId="45" xfId="5" applyNumberFormat="1" applyFont="1" applyFill="1" applyBorder="1">
      <alignment horizontal="center" vertical="center" wrapText="1"/>
    </xf>
    <xf numFmtId="0" fontId="9" fillId="0" borderId="22" xfId="5" applyNumberFormat="1" applyFont="1" applyFill="1" applyBorder="1">
      <alignment horizontal="center" vertical="center" wrapText="1"/>
    </xf>
    <xf numFmtId="0" fontId="9" fillId="0" borderId="26" xfId="5" applyNumberFormat="1" applyFont="1" applyFill="1" applyBorder="1">
      <alignment horizontal="center" vertical="center" wrapText="1"/>
    </xf>
    <xf numFmtId="0" fontId="3" fillId="0" borderId="29" xfId="0" applyFont="1" applyFill="1" applyBorder="1" applyAlignment="1">
      <alignment horizontal="justify" vertical="center" wrapText="1"/>
    </xf>
    <xf numFmtId="0" fontId="3" fillId="0" borderId="42" xfId="0" applyFont="1" applyFill="1" applyBorder="1" applyAlignment="1">
      <alignment horizontal="justify" vertical="center" wrapText="1"/>
    </xf>
    <xf numFmtId="0" fontId="3" fillId="0" borderId="71"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73" xfId="0" applyFont="1" applyFill="1" applyBorder="1" applyAlignment="1">
      <alignment horizontal="center" vertical="center" wrapText="1"/>
    </xf>
    <xf numFmtId="175" fontId="3" fillId="0" borderId="24" xfId="0" applyNumberFormat="1" applyFont="1" applyFill="1" applyBorder="1" applyAlignment="1">
      <alignment horizontal="center" vertical="center"/>
    </xf>
    <xf numFmtId="175" fontId="3" fillId="0" borderId="27" xfId="0" applyNumberFormat="1" applyFont="1" applyFill="1" applyBorder="1" applyAlignment="1">
      <alignment horizontal="center" vertical="center"/>
    </xf>
    <xf numFmtId="172" fontId="3" fillId="0" borderId="24" xfId="14" applyNumberFormat="1" applyFont="1" applyFill="1" applyBorder="1" applyAlignment="1">
      <alignment horizontal="center" vertical="center"/>
    </xf>
    <xf numFmtId="9" fontId="3" fillId="0" borderId="24" xfId="2" applyFont="1" applyFill="1" applyBorder="1" applyAlignment="1">
      <alignment horizontal="center" vertical="center"/>
    </xf>
    <xf numFmtId="9" fontId="3" fillId="0" borderId="27" xfId="2" applyFont="1" applyFill="1" applyBorder="1" applyAlignment="1">
      <alignment horizontal="center" vertical="center"/>
    </xf>
    <xf numFmtId="175" fontId="3" fillId="0" borderId="24" xfId="0" applyNumberFormat="1" applyFont="1" applyFill="1" applyBorder="1" applyAlignment="1">
      <alignment horizontal="center" vertical="center" wrapText="1"/>
    </xf>
    <xf numFmtId="175" fontId="3" fillId="0" borderId="25" xfId="0" applyNumberFormat="1" applyFont="1" applyFill="1" applyBorder="1" applyAlignment="1">
      <alignment horizontal="center" vertical="center" wrapText="1"/>
    </xf>
    <xf numFmtId="175" fontId="3" fillId="0" borderId="20" xfId="0" applyNumberFormat="1" applyFont="1" applyFill="1" applyBorder="1" applyAlignment="1">
      <alignment horizontal="center" vertical="center"/>
    </xf>
    <xf numFmtId="182" fontId="3" fillId="0" borderId="66" xfId="13" applyNumberFormat="1" applyFont="1" applyFill="1" applyBorder="1" applyAlignment="1">
      <alignment horizontal="center" vertical="center"/>
    </xf>
    <xf numFmtId="182" fontId="3" fillId="0" borderId="17" xfId="13" applyNumberFormat="1" applyFont="1" applyFill="1" applyBorder="1" applyAlignment="1">
      <alignment horizontal="center" vertical="center"/>
    </xf>
    <xf numFmtId="182" fontId="3" fillId="0" borderId="18" xfId="13" applyNumberFormat="1" applyFont="1" applyFill="1" applyBorder="1" applyAlignment="1">
      <alignment horizontal="center" vertical="center"/>
    </xf>
    <xf numFmtId="0" fontId="9" fillId="0" borderId="23" xfId="0" applyFont="1" applyFill="1" applyBorder="1" applyAlignment="1">
      <alignment horizontal="justify" vertical="center" wrapText="1"/>
    </xf>
    <xf numFmtId="182" fontId="3" fillId="0" borderId="67" xfId="13" applyNumberFormat="1" applyFont="1" applyFill="1" applyBorder="1" applyAlignment="1">
      <alignment horizontal="center" vertical="center"/>
    </xf>
    <xf numFmtId="182" fontId="3" fillId="0" borderId="16" xfId="13" applyNumberFormat="1" applyFont="1" applyFill="1" applyBorder="1" applyAlignment="1">
      <alignment horizontal="center" vertical="center"/>
    </xf>
    <xf numFmtId="182" fontId="3" fillId="0" borderId="6" xfId="13" applyNumberFormat="1" applyFont="1" applyFill="1" applyBorder="1" applyAlignment="1">
      <alignment horizontal="center" vertical="center"/>
    </xf>
    <xf numFmtId="0" fontId="9" fillId="0" borderId="19" xfId="5" applyNumberFormat="1" applyFont="1" applyFill="1" applyBorder="1">
      <alignment horizontal="center" vertical="center" wrapText="1"/>
    </xf>
    <xf numFmtId="172" fontId="2" fillId="0" borderId="66" xfId="0" applyNumberFormat="1" applyFont="1" applyFill="1" applyBorder="1" applyAlignment="1">
      <alignment horizontal="center" vertical="center"/>
    </xf>
    <xf numFmtId="172" fontId="2" fillId="0" borderId="17" xfId="0" applyNumberFormat="1" applyFont="1" applyFill="1" applyBorder="1" applyAlignment="1">
      <alignment horizontal="center" vertical="center"/>
    </xf>
    <xf numFmtId="172" fontId="2" fillId="0" borderId="18" xfId="0" applyNumberFormat="1" applyFont="1" applyFill="1" applyBorder="1" applyAlignment="1">
      <alignment horizontal="center" vertical="center"/>
    </xf>
    <xf numFmtId="175" fontId="3" fillId="0" borderId="2" xfId="0" applyNumberFormat="1" applyFont="1" applyFill="1" applyBorder="1" applyAlignment="1">
      <alignment horizontal="center" vertical="center" wrapText="1"/>
    </xf>
    <xf numFmtId="175" fontId="2" fillId="0" borderId="2" xfId="0" applyNumberFormat="1" applyFont="1" applyFill="1" applyBorder="1" applyAlignment="1">
      <alignment horizontal="center" vertical="center" wrapText="1"/>
    </xf>
    <xf numFmtId="175" fontId="2" fillId="0" borderId="66" xfId="0" applyNumberFormat="1" applyFont="1" applyFill="1" applyBorder="1" applyAlignment="1">
      <alignment horizontal="center" vertical="center"/>
    </xf>
    <xf numFmtId="175" fontId="2" fillId="0" borderId="17" xfId="0" applyNumberFormat="1" applyFont="1" applyFill="1" applyBorder="1" applyAlignment="1">
      <alignment horizontal="center" vertical="center"/>
    </xf>
    <xf numFmtId="175" fontId="2" fillId="0" borderId="18" xfId="0" applyNumberFormat="1" applyFont="1" applyFill="1" applyBorder="1" applyAlignment="1">
      <alignment horizontal="center" vertical="center"/>
    </xf>
    <xf numFmtId="0" fontId="9" fillId="0" borderId="3" xfId="0" applyFont="1" applyBorder="1" applyAlignment="1">
      <alignment horizontal="justify" vertical="center" wrapText="1"/>
    </xf>
    <xf numFmtId="172" fontId="9" fillId="0" borderId="37" xfId="14" applyNumberFormat="1" applyFont="1" applyFill="1" applyBorder="1" applyAlignment="1">
      <alignment horizontal="center" vertical="center" wrapText="1"/>
    </xf>
    <xf numFmtId="14" fontId="9" fillId="0" borderId="37" xfId="0" applyNumberFormat="1" applyFont="1" applyBorder="1" applyAlignment="1">
      <alignment horizontal="center" vertical="center" wrapText="1"/>
    </xf>
    <xf numFmtId="0" fontId="9" fillId="0" borderId="7" xfId="5" applyNumberFormat="1" applyFont="1" applyFill="1" applyBorder="1">
      <alignment horizontal="center" vertical="center" wrapText="1"/>
    </xf>
    <xf numFmtId="0" fontId="9" fillId="0" borderId="1" xfId="5" applyNumberFormat="1" applyFont="1" applyFill="1" applyBorder="1">
      <alignment horizontal="center" vertical="center" wrapText="1"/>
    </xf>
    <xf numFmtId="0" fontId="9" fillId="0" borderId="4" xfId="5" applyNumberFormat="1" applyFont="1" applyFill="1" applyBorder="1">
      <alignment horizontal="center" vertical="center" wrapText="1"/>
    </xf>
    <xf numFmtId="0" fontId="9" fillId="2" borderId="9" xfId="5" applyNumberFormat="1" applyFont="1" applyFill="1" applyBorder="1">
      <alignment horizontal="center" vertical="center" wrapText="1"/>
    </xf>
    <xf numFmtId="0" fontId="9" fillId="2" borderId="17" xfId="5" applyNumberFormat="1" applyFont="1" applyFill="1" applyBorder="1">
      <alignment horizontal="center" vertical="center" wrapText="1"/>
    </xf>
    <xf numFmtId="0" fontId="9" fillId="2" borderId="37" xfId="5" applyNumberFormat="1" applyFont="1" applyFill="1" applyBorder="1">
      <alignment horizontal="center" vertical="center" wrapText="1"/>
    </xf>
    <xf numFmtId="182" fontId="3" fillId="0" borderId="75" xfId="13" applyNumberFormat="1" applyFont="1" applyFill="1" applyBorder="1" applyAlignment="1">
      <alignment horizontal="center" vertical="center"/>
    </xf>
    <xf numFmtId="182" fontId="3" fillId="0" borderId="37" xfId="13" applyNumberFormat="1" applyFont="1" applyFill="1" applyBorder="1" applyAlignment="1">
      <alignment horizontal="center" vertical="center"/>
    </xf>
    <xf numFmtId="182" fontId="3" fillId="0" borderId="52" xfId="13" applyNumberFormat="1" applyFont="1" applyFill="1" applyBorder="1" applyAlignment="1">
      <alignment horizontal="center" vertical="center"/>
    </xf>
    <xf numFmtId="182" fontId="3" fillId="0" borderId="1" xfId="13" applyNumberFormat="1" applyFont="1" applyFill="1" applyBorder="1" applyAlignment="1">
      <alignment horizontal="center" vertical="center"/>
    </xf>
    <xf numFmtId="0" fontId="9" fillId="0" borderId="17" xfId="2" applyNumberFormat="1" applyFont="1" applyFill="1" applyBorder="1" applyAlignment="1">
      <alignment horizontal="center" vertical="center" wrapText="1"/>
    </xf>
    <xf numFmtId="182" fontId="3" fillId="0" borderId="9" xfId="13" applyNumberFormat="1" applyFont="1" applyFill="1" applyBorder="1" applyAlignment="1">
      <alignment horizontal="center" vertical="center"/>
    </xf>
    <xf numFmtId="9" fontId="9" fillId="0" borderId="20" xfId="7" applyNumberFormat="1" applyFont="1" applyBorder="1" applyAlignment="1">
      <alignment horizontal="center" vertical="center" wrapText="1"/>
    </xf>
    <xf numFmtId="172" fontId="9" fillId="0" borderId="20" xfId="7" applyFont="1" applyBorder="1" applyAlignment="1">
      <alignment vertical="center" wrapText="1"/>
    </xf>
    <xf numFmtId="0" fontId="9" fillId="2" borderId="34" xfId="5" applyNumberFormat="1" applyFont="1" applyFill="1" applyBorder="1">
      <alignment horizontal="center" vertical="center" wrapText="1"/>
    </xf>
    <xf numFmtId="14" fontId="9" fillId="0" borderId="9" xfId="0" applyNumberFormat="1" applyFont="1" applyFill="1" applyBorder="1" applyAlignment="1">
      <alignment horizontal="center" vertical="center" wrapText="1"/>
    </xf>
    <xf numFmtId="14" fontId="9" fillId="0" borderId="17" xfId="0" applyNumberFormat="1" applyFont="1" applyFill="1" applyBorder="1" applyAlignment="1">
      <alignment horizontal="center" vertical="center" wrapText="1"/>
    </xf>
    <xf numFmtId="14" fontId="9" fillId="0" borderId="37"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1" fontId="3" fillId="0" borderId="37" xfId="0" applyNumberFormat="1" applyFont="1" applyFill="1" applyBorder="1" applyAlignment="1">
      <alignment horizontal="center" vertical="center" wrapText="1"/>
    </xf>
    <xf numFmtId="172" fontId="3" fillId="0" borderId="37" xfId="14" applyNumberFormat="1" applyFont="1" applyFill="1" applyBorder="1" applyAlignment="1">
      <alignment horizontal="center" vertical="center"/>
    </xf>
    <xf numFmtId="9" fontId="3" fillId="0" borderId="37" xfId="2" applyFont="1" applyFill="1" applyBorder="1" applyAlignment="1">
      <alignment horizontal="center" vertical="center"/>
    </xf>
    <xf numFmtId="175" fontId="3" fillId="0" borderId="9" xfId="0" applyNumberFormat="1" applyFont="1" applyFill="1" applyBorder="1" applyAlignment="1">
      <alignment horizontal="center" vertical="center" wrapText="1"/>
    </xf>
    <xf numFmtId="175" fontId="3" fillId="0" borderId="37" xfId="0" applyNumberFormat="1" applyFont="1" applyFill="1" applyBorder="1" applyAlignment="1">
      <alignment horizontal="center" vertical="center" wrapText="1"/>
    </xf>
    <xf numFmtId="0" fontId="9" fillId="0" borderId="63" xfId="0" applyFont="1" applyBorder="1" applyAlignment="1" applyProtection="1">
      <alignment horizontal="center" vertical="center" wrapText="1"/>
      <protection locked="0"/>
    </xf>
    <xf numFmtId="0" fontId="9" fillId="0" borderId="57" xfId="0" applyFont="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171" fontId="9" fillId="0" borderId="17" xfId="7" applyNumberFormat="1" applyFont="1" applyBorder="1" applyAlignment="1">
      <alignment vertical="center" wrapText="1"/>
    </xf>
    <xf numFmtId="171" fontId="9" fillId="0" borderId="18" xfId="7" applyNumberFormat="1" applyFont="1" applyBorder="1" applyAlignment="1">
      <alignment vertical="center" wrapText="1"/>
    </xf>
    <xf numFmtId="0" fontId="3" fillId="0" borderId="28" xfId="0" applyFont="1" applyBorder="1" applyAlignment="1">
      <alignment horizontal="justify" vertical="center" wrapText="1"/>
    </xf>
    <xf numFmtId="0" fontId="9" fillId="0" borderId="65"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2" fontId="3" fillId="0" borderId="66" xfId="0" applyNumberFormat="1" applyFont="1" applyFill="1" applyBorder="1" applyAlignment="1">
      <alignment horizontal="center" vertical="center" wrapText="1"/>
    </xf>
    <xf numFmtId="14" fontId="9" fillId="0" borderId="18" xfId="0" applyNumberFormat="1" applyFont="1" applyBorder="1" applyAlignment="1">
      <alignment horizontal="center" vertical="center" wrapText="1"/>
    </xf>
    <xf numFmtId="172" fontId="9" fillId="0" borderId="66" xfId="14" applyNumberFormat="1" applyFont="1" applyBorder="1" applyAlignment="1">
      <alignment horizontal="center" vertical="center" wrapText="1"/>
    </xf>
    <xf numFmtId="9" fontId="9" fillId="0" borderId="66" xfId="2" applyFont="1" applyBorder="1" applyAlignment="1">
      <alignment horizontal="center" vertical="center" wrapText="1"/>
    </xf>
    <xf numFmtId="172" fontId="9" fillId="0" borderId="34" xfId="7" applyFont="1" applyFill="1" applyBorder="1" applyAlignment="1">
      <alignment vertical="center" wrapText="1"/>
    </xf>
    <xf numFmtId="0" fontId="9" fillId="0" borderId="57"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center" vertical="center" wrapText="1"/>
      <protection locked="0"/>
    </xf>
    <xf numFmtId="0" fontId="9" fillId="0" borderId="34" xfId="0" applyFont="1" applyFill="1" applyBorder="1" applyAlignment="1" applyProtection="1">
      <alignment horizontal="justify" vertical="center" wrapText="1"/>
      <protection locked="0"/>
    </xf>
    <xf numFmtId="0" fontId="9" fillId="0" borderId="45" xfId="0" applyFont="1" applyFill="1" applyBorder="1" applyAlignment="1" applyProtection="1">
      <alignment horizontal="justify" vertical="center" wrapText="1"/>
      <protection locked="0"/>
    </xf>
    <xf numFmtId="0" fontId="9" fillId="0" borderId="23" xfId="0" applyFont="1" applyBorder="1" applyAlignment="1" applyProtection="1">
      <alignment horizontal="justify" vertical="center" wrapText="1"/>
      <protection locked="0"/>
    </xf>
    <xf numFmtId="0" fontId="9" fillId="0" borderId="67" xfId="5" applyNumberFormat="1" applyFont="1" applyFill="1" applyBorder="1" applyAlignment="1">
      <alignment horizontal="center" vertical="center" wrapText="1"/>
    </xf>
    <xf numFmtId="0" fontId="9" fillId="0" borderId="16" xfId="5" applyNumberFormat="1" applyFont="1" applyFill="1" applyBorder="1" applyAlignment="1">
      <alignment horizontal="center" vertical="center" wrapText="1"/>
    </xf>
    <xf numFmtId="0" fontId="9" fillId="0" borderId="32" xfId="5" applyNumberFormat="1" applyFont="1" applyFill="1" applyBorder="1" applyAlignment="1">
      <alignment horizontal="center" vertical="center" wrapText="1"/>
    </xf>
    <xf numFmtId="0" fontId="9" fillId="2" borderId="2" xfId="5" applyNumberFormat="1" applyFont="1" applyFill="1" applyBorder="1" applyAlignment="1">
      <alignment horizontal="center" vertical="center" wrapText="1"/>
    </xf>
    <xf numFmtId="10" fontId="9" fillId="0" borderId="2" xfId="2" applyNumberFormat="1" applyFont="1" applyFill="1" applyBorder="1" applyAlignment="1">
      <alignment horizontal="center" vertical="center" wrapText="1"/>
    </xf>
    <xf numFmtId="14" fontId="9" fillId="2" borderId="9" xfId="0" applyNumberFormat="1" applyFont="1" applyFill="1" applyBorder="1" applyAlignment="1">
      <alignment horizontal="center" vertical="center" wrapText="1"/>
    </xf>
    <xf numFmtId="14" fontId="9" fillId="2" borderId="17" xfId="0" applyNumberFormat="1" applyFont="1" applyFill="1" applyBorder="1" applyAlignment="1">
      <alignment horizontal="center" vertical="center" wrapText="1"/>
    </xf>
    <xf numFmtId="175" fontId="3" fillId="2" borderId="9" xfId="0" applyNumberFormat="1" applyFont="1" applyFill="1" applyBorder="1" applyAlignment="1">
      <alignment horizontal="center" vertical="center" wrapText="1"/>
    </xf>
    <xf numFmtId="175" fontId="3" fillId="2" borderId="17" xfId="0" applyNumberFormat="1" applyFont="1" applyFill="1" applyBorder="1" applyAlignment="1">
      <alignment horizontal="center" vertical="center" wrapText="1"/>
    </xf>
    <xf numFmtId="175" fontId="3" fillId="2" borderId="37" xfId="0" applyNumberFormat="1" applyFont="1" applyFill="1" applyBorder="1" applyAlignment="1">
      <alignment horizontal="center" vertical="center" wrapText="1"/>
    </xf>
    <xf numFmtId="172" fontId="9" fillId="2" borderId="9" xfId="14" applyNumberFormat="1" applyFont="1" applyFill="1" applyBorder="1" applyAlignment="1">
      <alignment horizontal="center" vertical="center" wrapText="1"/>
    </xf>
    <xf numFmtId="172" fontId="9" fillId="2" borderId="17" xfId="14" applyNumberFormat="1" applyFont="1" applyFill="1" applyBorder="1" applyAlignment="1">
      <alignment horizontal="center" vertical="center" wrapText="1"/>
    </xf>
    <xf numFmtId="9" fontId="9" fillId="0" borderId="30" xfId="2" applyFont="1" applyBorder="1" applyAlignment="1">
      <alignment horizontal="center" vertical="center" wrapText="1"/>
    </xf>
    <xf numFmtId="9" fontId="9" fillId="0" borderId="34" xfId="2" applyFont="1" applyBorder="1" applyAlignment="1">
      <alignment horizontal="center" vertical="center" wrapText="1"/>
    </xf>
    <xf numFmtId="0" fontId="9" fillId="0" borderId="24" xfId="0" applyFont="1" applyBorder="1" applyAlignment="1" applyProtection="1">
      <alignment horizontal="justify" vertical="center" wrapText="1"/>
      <protection locked="0"/>
    </xf>
    <xf numFmtId="0" fontId="9" fillId="0" borderId="59" xfId="5" applyNumberFormat="1" applyFont="1" applyFill="1" applyBorder="1" applyAlignment="1">
      <alignment horizontal="center" vertical="center" wrapText="1"/>
    </xf>
    <xf numFmtId="0" fontId="9" fillId="2" borderId="18" xfId="5" applyNumberFormat="1" applyFont="1" applyFill="1" applyBorder="1">
      <alignment horizontal="center" vertical="center" wrapText="1"/>
    </xf>
    <xf numFmtId="0" fontId="9" fillId="2" borderId="2" xfId="0" applyFont="1" applyFill="1" applyBorder="1" applyAlignment="1">
      <alignment horizontal="center" vertical="center"/>
    </xf>
    <xf numFmtId="3" fontId="3" fillId="0" borderId="2" xfId="0" applyNumberFormat="1" applyFont="1" applyFill="1" applyBorder="1" applyAlignment="1">
      <alignment horizontal="center" vertical="center"/>
    </xf>
    <xf numFmtId="0" fontId="3" fillId="0" borderId="2" xfId="0" applyFont="1" applyFill="1" applyBorder="1" applyAlignment="1">
      <alignment vertical="center" wrapText="1"/>
    </xf>
    <xf numFmtId="172" fontId="9" fillId="0" borderId="2" xfId="7" applyFont="1" applyFill="1" applyBorder="1" applyAlignment="1">
      <alignment vertical="center" wrapText="1"/>
    </xf>
    <xf numFmtId="0" fontId="9" fillId="0" borderId="38" xfId="0" applyFont="1" applyBorder="1" applyAlignment="1">
      <alignment horizontal="center" vertical="center" wrapText="1"/>
    </xf>
    <xf numFmtId="171" fontId="9" fillId="0" borderId="27" xfId="7" applyNumberFormat="1" applyFont="1" applyBorder="1" applyAlignment="1">
      <alignment vertical="center" wrapText="1"/>
    </xf>
    <xf numFmtId="171" fontId="9" fillId="0" borderId="20" xfId="7" applyNumberFormat="1" applyFont="1" applyBorder="1" applyAlignment="1">
      <alignment vertical="center" wrapText="1"/>
    </xf>
    <xf numFmtId="0" fontId="9" fillId="0" borderId="39" xfId="0" applyFont="1" applyBorder="1" applyAlignment="1">
      <alignment horizontal="justify" vertical="center" wrapText="1"/>
    </xf>
    <xf numFmtId="3" fontId="3" fillId="0" borderId="9" xfId="0" applyNumberFormat="1" applyFont="1" applyFill="1" applyBorder="1" applyAlignment="1">
      <alignment horizontal="center" vertical="center"/>
    </xf>
    <xf numFmtId="3" fontId="3" fillId="0" borderId="18" xfId="0" applyNumberFormat="1" applyFont="1" applyFill="1" applyBorder="1" applyAlignment="1">
      <alignment horizontal="center" vertical="center"/>
    </xf>
    <xf numFmtId="1" fontId="3" fillId="0" borderId="23" xfId="0" applyNumberFormat="1" applyFont="1" applyFill="1" applyBorder="1" applyAlignment="1">
      <alignment horizontal="center" vertical="center"/>
    </xf>
    <xf numFmtId="1" fontId="3" fillId="0" borderId="27" xfId="0" applyNumberFormat="1" applyFont="1" applyFill="1" applyBorder="1" applyAlignment="1">
      <alignment horizontal="center" vertical="center"/>
    </xf>
    <xf numFmtId="14" fontId="9" fillId="0" borderId="18" xfId="0" applyNumberFormat="1" applyFont="1" applyFill="1" applyBorder="1" applyAlignment="1">
      <alignment horizontal="center" vertical="center" wrapText="1"/>
    </xf>
    <xf numFmtId="0" fontId="9" fillId="0" borderId="30" xfId="5" applyNumberFormat="1" applyFont="1" applyFill="1" applyBorder="1">
      <alignment horizontal="center" vertical="center" wrapText="1"/>
    </xf>
    <xf numFmtId="0" fontId="9" fillId="2" borderId="29" xfId="5" applyNumberFormat="1" applyFont="1" applyFill="1" applyBorder="1">
      <alignment horizontal="center" vertical="center" wrapText="1"/>
    </xf>
    <xf numFmtId="0" fontId="9" fillId="2" borderId="33" xfId="5" applyNumberFormat="1" applyFont="1" applyFill="1" applyBorder="1">
      <alignment horizontal="center" vertical="center" wrapText="1"/>
    </xf>
    <xf numFmtId="3" fontId="3" fillId="0" borderId="9"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3" fontId="3" fillId="0" borderId="24" xfId="0" applyNumberFormat="1" applyFont="1" applyBorder="1" applyAlignment="1">
      <alignment horizontal="center" vertical="center"/>
    </xf>
    <xf numFmtId="171" fontId="9" fillId="0" borderId="29" xfId="7" applyNumberFormat="1" applyFont="1" applyFill="1" applyBorder="1" applyAlignment="1">
      <alignment vertical="center" wrapText="1"/>
    </xf>
    <xf numFmtId="171" fontId="9" fillId="0" borderId="33" xfId="7" applyNumberFormat="1" applyFont="1" applyFill="1" applyBorder="1" applyAlignment="1">
      <alignment vertical="center" wrapText="1"/>
    </xf>
    <xf numFmtId="0" fontId="3" fillId="0" borderId="8" xfId="0" applyFont="1" applyBorder="1" applyAlignment="1">
      <alignment horizontal="center"/>
    </xf>
    <xf numFmtId="0" fontId="3" fillId="0" borderId="7" xfId="0" applyFont="1" applyBorder="1" applyAlignment="1">
      <alignment horizontal="center"/>
    </xf>
    <xf numFmtId="0" fontId="3" fillId="0" borderId="4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0" xfId="0" applyFont="1" applyBorder="1" applyAlignment="1">
      <alignment horizontal="center" vertical="center" wrapText="1"/>
    </xf>
    <xf numFmtId="172" fontId="3" fillId="0" borderId="23" xfId="14" applyNumberFormat="1" applyFont="1" applyFill="1" applyBorder="1" applyAlignment="1">
      <alignment horizontal="center" vertical="center"/>
    </xf>
    <xf numFmtId="9" fontId="3" fillId="0" borderId="23" xfId="2" applyFont="1" applyFill="1" applyBorder="1" applyAlignment="1">
      <alignment horizontal="center" vertical="center"/>
    </xf>
    <xf numFmtId="44" fontId="3" fillId="0" borderId="23" xfId="14" applyFont="1" applyFill="1" applyBorder="1" applyAlignment="1">
      <alignment horizontal="center" vertical="center"/>
    </xf>
    <xf numFmtId="44" fontId="3" fillId="0" borderId="27" xfId="14" applyFont="1" applyFill="1" applyBorder="1" applyAlignment="1">
      <alignment horizontal="center" vertical="center"/>
    </xf>
    <xf numFmtId="175" fontId="3" fillId="0" borderId="21" xfId="15" applyNumberFormat="1" applyFont="1" applyFill="1" applyBorder="1" applyAlignment="1">
      <alignment horizontal="center" vertical="center"/>
    </xf>
    <xf numFmtId="175" fontId="3" fillId="0" borderId="23" xfId="15" applyNumberFormat="1" applyFont="1" applyFill="1" applyBorder="1" applyAlignment="1">
      <alignment horizontal="center" vertical="center"/>
    </xf>
    <xf numFmtId="172" fontId="9" fillId="0" borderId="23" xfId="7" applyFont="1" applyFill="1" applyBorder="1" applyAlignment="1">
      <alignment horizontal="center" vertical="center" wrapText="1"/>
    </xf>
    <xf numFmtId="172" fontId="9" fillId="0" borderId="25" xfId="7" applyFont="1" applyFill="1" applyBorder="1" applyAlignment="1">
      <alignment horizontal="center" vertical="center" wrapText="1"/>
    </xf>
    <xf numFmtId="14" fontId="9" fillId="0" borderId="21" xfId="0" applyNumberFormat="1" applyFont="1" applyBorder="1" applyAlignment="1" applyProtection="1">
      <alignment horizontal="center" vertical="center" wrapText="1"/>
      <protection locked="0"/>
    </xf>
    <xf numFmtId="172" fontId="3" fillId="0" borderId="21" xfId="14" applyNumberFormat="1" applyFont="1" applyFill="1" applyBorder="1" applyAlignment="1">
      <alignment horizontal="center" vertical="center"/>
    </xf>
    <xf numFmtId="9" fontId="3" fillId="0" borderId="21" xfId="2" applyFont="1" applyFill="1" applyBorder="1" applyAlignment="1">
      <alignment horizontal="center" vertical="center"/>
    </xf>
    <xf numFmtId="3" fontId="3" fillId="0" borderId="24" xfId="0" applyNumberFormat="1" applyFont="1" applyBorder="1" applyAlignment="1">
      <alignment horizontal="center" vertical="center" wrapText="1"/>
    </xf>
    <xf numFmtId="175" fontId="3" fillId="0" borderId="20" xfId="0" applyNumberFormat="1" applyFont="1" applyBorder="1" applyAlignment="1">
      <alignment horizontal="center" vertical="center"/>
    </xf>
    <xf numFmtId="168" fontId="3" fillId="0" borderId="17" xfId="0" applyNumberFormat="1" applyFont="1" applyBorder="1" applyAlignment="1">
      <alignment horizontal="center" vertical="center"/>
    </xf>
    <xf numFmtId="171" fontId="3" fillId="0" borderId="9" xfId="0" applyNumberFormat="1" applyFont="1" applyBorder="1" applyAlignment="1">
      <alignment horizontal="center" vertical="center"/>
    </xf>
    <xf numFmtId="0" fontId="9" fillId="0" borderId="7" xfId="0" applyFont="1" applyFill="1" applyBorder="1" applyAlignment="1">
      <alignment horizontal="center" vertical="center"/>
    </xf>
    <xf numFmtId="171" fontId="9" fillId="0" borderId="9" xfId="6" applyFont="1" applyFill="1" applyBorder="1" applyAlignment="1">
      <alignment horizontal="center" vertical="center"/>
    </xf>
    <xf numFmtId="171" fontId="9" fillId="0" borderId="37" xfId="6" applyFont="1" applyFill="1" applyBorder="1" applyAlignment="1">
      <alignment horizontal="center" vertical="center"/>
    </xf>
    <xf numFmtId="171" fontId="9" fillId="0" borderId="18" xfId="6" applyFont="1" applyFill="1" applyBorder="1" applyAlignment="1">
      <alignment horizontal="center" vertical="center"/>
    </xf>
    <xf numFmtId="171" fontId="9" fillId="0" borderId="1" xfId="6" applyFont="1" applyFill="1" applyBorder="1" applyAlignment="1">
      <alignment horizontal="center" vertical="center"/>
    </xf>
    <xf numFmtId="171" fontId="9" fillId="0" borderId="4" xfId="6" applyFont="1" applyFill="1" applyBorder="1" applyAlignment="1">
      <alignment horizontal="center" vertical="center"/>
    </xf>
    <xf numFmtId="0" fontId="3" fillId="0" borderId="10" xfId="0" applyFont="1" applyFill="1" applyBorder="1" applyAlignment="1">
      <alignment horizontal="center" vertical="center" wrapText="1"/>
    </xf>
    <xf numFmtId="9" fontId="3" fillId="0" borderId="9" xfId="2" applyFont="1" applyBorder="1" applyAlignment="1">
      <alignment horizontal="center" vertical="center" wrapText="1"/>
    </xf>
    <xf numFmtId="9" fontId="3" fillId="0" borderId="17" xfId="2" applyFont="1" applyBorder="1" applyAlignment="1">
      <alignment horizontal="center" vertical="center" wrapText="1"/>
    </xf>
    <xf numFmtId="9" fontId="3" fillId="0" borderId="18" xfId="2" applyFont="1" applyBorder="1" applyAlignment="1">
      <alignment horizontal="center" vertical="center" wrapText="1"/>
    </xf>
    <xf numFmtId="0" fontId="9" fillId="0" borderId="47" xfId="0" applyFont="1" applyBorder="1" applyAlignment="1">
      <alignment horizontal="center" vertical="center"/>
    </xf>
    <xf numFmtId="0" fontId="9" fillId="0" borderId="48" xfId="0" applyFont="1" applyBorder="1" applyAlignment="1">
      <alignment horizontal="center" vertical="center"/>
    </xf>
    <xf numFmtId="171" fontId="9" fillId="0" borderId="7" xfId="6" applyFont="1" applyBorder="1" applyAlignment="1">
      <alignment horizontal="center" vertical="center"/>
    </xf>
    <xf numFmtId="171" fontId="9" fillId="0" borderId="1" xfId="6" applyFont="1" applyBorder="1" applyAlignment="1">
      <alignment horizontal="center" vertical="center"/>
    </xf>
    <xf numFmtId="171" fontId="9" fillId="0" borderId="4" xfId="6" applyFont="1" applyBorder="1" applyAlignment="1">
      <alignment horizontal="center" vertical="center"/>
    </xf>
    <xf numFmtId="3" fontId="3" fillId="0" borderId="16" xfId="0" applyNumberFormat="1" applyFont="1" applyFill="1" applyBorder="1" applyAlignment="1">
      <alignment horizontal="justify" vertical="center" wrapText="1"/>
    </xf>
    <xf numFmtId="3" fontId="3" fillId="0" borderId="6" xfId="0" applyNumberFormat="1" applyFont="1" applyFill="1" applyBorder="1" applyAlignment="1">
      <alignment horizontal="justify" vertical="center" wrapText="1"/>
    </xf>
    <xf numFmtId="0" fontId="9" fillId="0" borderId="37" xfId="0" applyFont="1" applyFill="1" applyBorder="1" applyAlignment="1">
      <alignment horizontal="justify" vertical="center" wrapText="1"/>
    </xf>
    <xf numFmtId="1" fontId="2" fillId="3" borderId="2" xfId="0" applyNumberFormat="1" applyFont="1" applyFill="1" applyBorder="1" applyAlignment="1">
      <alignment horizontal="center" vertical="center" wrapText="1"/>
    </xf>
    <xf numFmtId="0" fontId="6" fillId="3" borderId="8" xfId="0"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6" xfId="0" applyFont="1" applyFill="1" applyBorder="1" applyAlignment="1">
      <alignment horizontal="center" vertical="center" textRotation="90" wrapText="1"/>
    </xf>
    <xf numFmtId="0" fontId="6" fillId="3" borderId="4" xfId="0" applyFont="1" applyFill="1" applyBorder="1" applyAlignment="1">
      <alignment horizontal="center" vertical="center" textRotation="90" wrapText="1"/>
    </xf>
    <xf numFmtId="165" fontId="2" fillId="3" borderId="2" xfId="0" applyNumberFormat="1" applyFont="1" applyFill="1" applyBorder="1" applyAlignment="1">
      <alignment horizontal="center" vertical="center" wrapText="1"/>
    </xf>
    <xf numFmtId="166" fontId="2" fillId="3" borderId="10" xfId="0" applyNumberFormat="1" applyFont="1" applyFill="1" applyBorder="1" applyAlignment="1">
      <alignment horizontal="center" vertical="center" wrapText="1"/>
    </xf>
    <xf numFmtId="166" fontId="2" fillId="3" borderId="11" xfId="0" applyNumberFormat="1" applyFont="1" applyFill="1" applyBorder="1" applyAlignment="1">
      <alignment horizontal="center" vertical="center" wrapText="1"/>
    </xf>
    <xf numFmtId="166" fontId="2" fillId="3" borderId="12" xfId="0" applyNumberFormat="1" applyFont="1" applyFill="1" applyBorder="1" applyAlignment="1">
      <alignment horizontal="center" vertical="center" wrapText="1"/>
    </xf>
    <xf numFmtId="9" fontId="2" fillId="3" borderId="2" xfId="2"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 xfId="0" applyFont="1" applyFill="1" applyBorder="1" applyAlignment="1">
      <alignment horizontal="center" vertical="center" wrapText="1"/>
    </xf>
    <xf numFmtId="9" fontId="9" fillId="2" borderId="21" xfId="2" applyFont="1" applyFill="1" applyBorder="1" applyAlignment="1">
      <alignment horizontal="center" vertical="center"/>
    </xf>
    <xf numFmtId="9" fontId="9" fillId="2" borderId="23" xfId="2" applyFont="1" applyFill="1" applyBorder="1" applyAlignment="1">
      <alignment horizontal="center" vertical="center"/>
    </xf>
    <xf numFmtId="9" fontId="9" fillId="2" borderId="27" xfId="2" applyFont="1" applyFill="1" applyBorder="1" applyAlignment="1">
      <alignment horizontal="center" vertical="center"/>
    </xf>
    <xf numFmtId="180" fontId="9" fillId="2" borderId="20" xfId="6" applyNumberFormat="1" applyFont="1" applyFill="1" applyBorder="1" applyAlignment="1">
      <alignment horizontal="center" vertical="center"/>
    </xf>
    <xf numFmtId="3" fontId="3" fillId="2" borderId="20" xfId="0" applyNumberFormat="1"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9" fillId="14" borderId="58" xfId="0" applyFont="1" applyFill="1" applyBorder="1" applyAlignment="1">
      <alignment horizontal="justify" vertical="center" wrapText="1"/>
    </xf>
    <xf numFmtId="0" fontId="9" fillId="14" borderId="32" xfId="0" applyFont="1" applyFill="1" applyBorder="1" applyAlignment="1">
      <alignment horizontal="justify" vertical="center" wrapText="1"/>
    </xf>
    <xf numFmtId="0" fontId="9" fillId="14" borderId="59" xfId="0" applyFont="1" applyFill="1" applyBorder="1" applyAlignment="1">
      <alignment horizontal="justify" vertical="center" wrapText="1"/>
    </xf>
    <xf numFmtId="0" fontId="3" fillId="2" borderId="29" xfId="0" applyFont="1" applyFill="1" applyBorder="1" applyAlignment="1">
      <alignment horizontal="justify" vertical="center" wrapText="1"/>
    </xf>
    <xf numFmtId="3" fontId="3" fillId="2" borderId="21" xfId="0" applyNumberFormat="1" applyFont="1" applyFill="1" applyBorder="1" applyAlignment="1">
      <alignment horizontal="center" vertical="center"/>
    </xf>
    <xf numFmtId="3" fontId="3" fillId="2" borderId="23" xfId="0" applyNumberFormat="1" applyFont="1" applyFill="1" applyBorder="1" applyAlignment="1">
      <alignment horizontal="center" vertical="center"/>
    </xf>
    <xf numFmtId="3" fontId="3" fillId="2" borderId="27" xfId="0" applyNumberFormat="1" applyFont="1" applyFill="1" applyBorder="1" applyAlignment="1">
      <alignment horizontal="center" vertical="center"/>
    </xf>
    <xf numFmtId="0" fontId="9" fillId="14" borderId="2" xfId="0" applyFont="1" applyFill="1" applyBorder="1" applyAlignment="1">
      <alignment horizontal="justify" vertical="center" wrapText="1"/>
    </xf>
    <xf numFmtId="3" fontId="3" fillId="2" borderId="34" xfId="0" applyNumberFormat="1" applyFont="1" applyFill="1" applyBorder="1" applyAlignment="1">
      <alignment horizontal="center" vertical="center"/>
    </xf>
    <xf numFmtId="0" fontId="40" fillId="2" borderId="20" xfId="0" applyFont="1" applyFill="1" applyBorder="1" applyAlignment="1">
      <alignment horizontal="justify" vertical="center" wrapText="1"/>
    </xf>
    <xf numFmtId="0" fontId="9" fillId="2" borderId="1" xfId="0" applyFont="1" applyFill="1" applyBorder="1" applyAlignment="1">
      <alignment horizontal="justify" vertical="center" wrapText="1"/>
    </xf>
    <xf numFmtId="14" fontId="3" fillId="2" borderId="42" xfId="0" applyNumberFormat="1" applyFont="1" applyFill="1" applyBorder="1" applyAlignment="1">
      <alignment horizontal="center" vertical="center"/>
    </xf>
    <xf numFmtId="0" fontId="9" fillId="2" borderId="58" xfId="0" applyFont="1" applyFill="1" applyBorder="1" applyAlignment="1">
      <alignment horizontal="justify" vertical="center" wrapText="1"/>
    </xf>
    <xf numFmtId="0" fontId="9" fillId="2" borderId="32" xfId="0" applyFont="1" applyFill="1" applyBorder="1" applyAlignment="1">
      <alignment horizontal="justify" vertical="center" wrapText="1"/>
    </xf>
    <xf numFmtId="0" fontId="9" fillId="2" borderId="59" xfId="0" applyFont="1" applyFill="1" applyBorder="1" applyAlignment="1">
      <alignment horizontal="justify" vertical="center" wrapText="1"/>
    </xf>
    <xf numFmtId="0" fontId="9" fillId="2" borderId="42" xfId="0" applyFont="1" applyFill="1" applyBorder="1" applyAlignment="1">
      <alignment horizontal="justify" vertical="center" wrapText="1"/>
    </xf>
    <xf numFmtId="0" fontId="9" fillId="2" borderId="44" xfId="0" applyFont="1" applyFill="1" applyBorder="1" applyAlignment="1">
      <alignment horizontal="justify" vertical="center" wrapText="1"/>
    </xf>
    <xf numFmtId="0" fontId="9" fillId="2" borderId="29" xfId="0" applyFont="1" applyFill="1" applyBorder="1" applyAlignment="1">
      <alignment horizontal="justify" vertical="center" wrapText="1"/>
    </xf>
    <xf numFmtId="9" fontId="3" fillId="2" borderId="21" xfId="2" applyNumberFormat="1" applyFont="1" applyFill="1" applyBorder="1" applyAlignment="1">
      <alignment horizontal="center" vertical="center"/>
    </xf>
    <xf numFmtId="9" fontId="3" fillId="2" borderId="23" xfId="2" applyNumberFormat="1" applyFont="1" applyFill="1" applyBorder="1" applyAlignment="1">
      <alignment horizontal="center" vertical="center"/>
    </xf>
    <xf numFmtId="9" fontId="3" fillId="2" borderId="27" xfId="2" applyNumberFormat="1" applyFont="1" applyFill="1" applyBorder="1" applyAlignment="1">
      <alignment horizontal="center" vertical="center"/>
    </xf>
    <xf numFmtId="9" fontId="3" fillId="2" borderId="21" xfId="0" applyNumberFormat="1" applyFont="1" applyFill="1" applyBorder="1" applyAlignment="1">
      <alignment horizontal="center" vertical="center"/>
    </xf>
    <xf numFmtId="9" fontId="3" fillId="2" borderId="23" xfId="0" applyNumberFormat="1" applyFont="1" applyFill="1" applyBorder="1" applyAlignment="1">
      <alignment horizontal="center" vertical="center"/>
    </xf>
    <xf numFmtId="9" fontId="3" fillId="2" borderId="27" xfId="0" applyNumberFormat="1" applyFont="1" applyFill="1" applyBorder="1" applyAlignment="1">
      <alignment horizontal="center" vertical="center"/>
    </xf>
    <xf numFmtId="3" fontId="3" fillId="2" borderId="21" xfId="0" applyNumberFormat="1" applyFont="1" applyFill="1" applyBorder="1" applyAlignment="1">
      <alignment horizontal="center" vertical="center" wrapText="1"/>
    </xf>
    <xf numFmtId="3" fontId="3" fillId="2" borderId="23" xfId="0" applyNumberFormat="1" applyFont="1" applyFill="1" applyBorder="1" applyAlignment="1">
      <alignment horizontal="center" vertical="center" wrapText="1"/>
    </xf>
    <xf numFmtId="3" fontId="3" fillId="2" borderId="27" xfId="0" applyNumberFormat="1" applyFont="1" applyFill="1" applyBorder="1" applyAlignment="1">
      <alignment horizontal="center" vertical="center" wrapText="1"/>
    </xf>
    <xf numFmtId="3" fontId="3" fillId="2" borderId="17" xfId="0" applyNumberFormat="1" applyFont="1" applyFill="1" applyBorder="1" applyAlignment="1">
      <alignment horizontal="center" vertical="center"/>
    </xf>
    <xf numFmtId="0" fontId="9" fillId="2" borderId="18"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9" fontId="3" fillId="2" borderId="66" xfId="2" applyNumberFormat="1" applyFont="1" applyFill="1" applyBorder="1" applyAlignment="1">
      <alignment horizontal="center" vertical="center"/>
    </xf>
    <xf numFmtId="180" fontId="3" fillId="2" borderId="18" xfId="6" applyNumberFormat="1" applyFont="1" applyFill="1" applyBorder="1" applyAlignment="1">
      <alignment horizontal="center" vertical="center"/>
    </xf>
    <xf numFmtId="180" fontId="3" fillId="2" borderId="17" xfId="6"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67" xfId="0" applyFont="1" applyFill="1" applyBorder="1" applyAlignment="1">
      <alignment horizontal="justify" vertical="center" wrapText="1"/>
    </xf>
    <xf numFmtId="0" fontId="9" fillId="0" borderId="78" xfId="0" applyFont="1" applyFill="1" applyBorder="1" applyAlignment="1">
      <alignment horizontal="justify" vertical="center" wrapText="1"/>
    </xf>
    <xf numFmtId="9" fontId="3" fillId="2" borderId="66" xfId="0" applyNumberFormat="1" applyFont="1" applyFill="1" applyBorder="1" applyAlignment="1">
      <alignment horizontal="center" vertical="center"/>
    </xf>
    <xf numFmtId="9" fontId="3" fillId="2" borderId="17" xfId="0" applyNumberFormat="1" applyFont="1" applyFill="1" applyBorder="1" applyAlignment="1">
      <alignment horizontal="center" vertical="center"/>
    </xf>
    <xf numFmtId="9" fontId="3" fillId="2" borderId="18" xfId="0" applyNumberFormat="1" applyFont="1" applyFill="1" applyBorder="1" applyAlignment="1">
      <alignment horizontal="center" vertical="center"/>
    </xf>
    <xf numFmtId="3" fontId="3" fillId="2" borderId="66" xfId="0" applyNumberFormat="1" applyFont="1" applyFill="1" applyBorder="1" applyAlignment="1">
      <alignment horizontal="center" vertical="center" wrapText="1"/>
    </xf>
    <xf numFmtId="14" fontId="3" fillId="2" borderId="16" xfId="0" applyNumberFormat="1" applyFont="1" applyFill="1" applyBorder="1" applyAlignment="1">
      <alignment horizontal="center" vertical="center"/>
    </xf>
    <xf numFmtId="3" fontId="3" fillId="2" borderId="66" xfId="0" applyNumberFormat="1" applyFont="1" applyFill="1" applyBorder="1" applyAlignment="1">
      <alignment horizontal="center" vertical="center"/>
    </xf>
    <xf numFmtId="3" fontId="3" fillId="2" borderId="18" xfId="0" applyNumberFormat="1" applyFont="1" applyFill="1" applyBorder="1" applyAlignment="1">
      <alignment horizontal="center" vertical="center"/>
    </xf>
    <xf numFmtId="14" fontId="3" fillId="0" borderId="8" xfId="0" applyNumberFormat="1" applyFont="1" applyFill="1" applyBorder="1" applyAlignment="1">
      <alignment horizontal="center" vertical="center"/>
    </xf>
    <xf numFmtId="14" fontId="3" fillId="0" borderId="16" xfId="0" applyNumberFormat="1" applyFont="1" applyFill="1" applyBorder="1" applyAlignment="1">
      <alignment horizontal="center" vertical="center"/>
    </xf>
    <xf numFmtId="14" fontId="3" fillId="0" borderId="2" xfId="0" applyNumberFormat="1" applyFont="1" applyFill="1" applyBorder="1" applyAlignment="1">
      <alignment horizontal="justify" vertical="center" wrapText="1"/>
    </xf>
    <xf numFmtId="14" fontId="3" fillId="0" borderId="9" xfId="0" applyNumberFormat="1" applyFont="1" applyFill="1" applyBorder="1" applyAlignment="1">
      <alignment horizontal="justify" vertical="center" wrapText="1"/>
    </xf>
    <xf numFmtId="9" fontId="3" fillId="0" borderId="2" xfId="0" applyNumberFormat="1" applyFont="1" applyFill="1" applyBorder="1" applyAlignment="1">
      <alignment horizontal="center" vertical="center"/>
    </xf>
    <xf numFmtId="3" fontId="3"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1" fontId="18" fillId="0" borderId="2" xfId="0" applyNumberFormat="1"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0" fontId="9" fillId="0" borderId="44" xfId="0" applyFont="1" applyFill="1" applyBorder="1" applyAlignment="1">
      <alignment horizontal="justify" vertical="center" wrapText="1"/>
    </xf>
    <xf numFmtId="0" fontId="9" fillId="0" borderId="45" xfId="0" applyFont="1" applyFill="1" applyBorder="1" applyAlignment="1">
      <alignment horizontal="justify" vertical="center" wrapText="1"/>
    </xf>
    <xf numFmtId="0" fontId="9" fillId="0" borderId="63" xfId="0" applyFont="1" applyFill="1" applyBorder="1" applyAlignment="1">
      <alignment horizontal="justify" vertical="center" wrapText="1"/>
    </xf>
    <xf numFmtId="180" fontId="3" fillId="0" borderId="64" xfId="6" applyNumberFormat="1" applyFont="1" applyFill="1" applyBorder="1" applyAlignment="1">
      <alignment horizontal="center" vertical="center"/>
    </xf>
    <xf numFmtId="180" fontId="3" fillId="0" borderId="3" xfId="6" applyNumberFormat="1" applyFont="1" applyFill="1" applyBorder="1" applyAlignment="1">
      <alignment horizontal="center" vertical="center"/>
    </xf>
    <xf numFmtId="180" fontId="3" fillId="0" borderId="45" xfId="6" applyNumberFormat="1" applyFont="1" applyFill="1" applyBorder="1" applyAlignment="1">
      <alignment horizontal="center" vertical="center"/>
    </xf>
    <xf numFmtId="180" fontId="3" fillId="0" borderId="22" xfId="6" applyNumberFormat="1" applyFont="1" applyFill="1" applyBorder="1" applyAlignment="1">
      <alignment horizontal="center" vertical="center"/>
    </xf>
    <xf numFmtId="180" fontId="3" fillId="0" borderId="30" xfId="6" applyNumberFormat="1" applyFont="1" applyFill="1" applyBorder="1" applyAlignment="1">
      <alignment horizontal="center" vertical="center"/>
    </xf>
    <xf numFmtId="0" fontId="9" fillId="2" borderId="45" xfId="0" applyFont="1" applyFill="1" applyBorder="1" applyAlignment="1">
      <alignment horizontal="center" vertical="center" wrapText="1"/>
    </xf>
    <xf numFmtId="0" fontId="9" fillId="0" borderId="28" xfId="0" applyFont="1" applyFill="1" applyBorder="1" applyAlignment="1">
      <alignment horizontal="justify" vertical="center" wrapText="1"/>
    </xf>
    <xf numFmtId="0" fontId="9" fillId="0" borderId="32" xfId="0" applyFont="1" applyFill="1" applyBorder="1" applyAlignment="1">
      <alignment horizontal="justify" vertical="center" wrapText="1"/>
    </xf>
    <xf numFmtId="0" fontId="3" fillId="0" borderId="44"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1" xfId="0" applyFont="1" applyFill="1" applyBorder="1" applyAlignment="1">
      <alignment horizontal="center" vertical="center"/>
    </xf>
    <xf numFmtId="3" fontId="3" fillId="0" borderId="17" xfId="0" applyNumberFormat="1" applyFont="1" applyFill="1" applyBorder="1" applyAlignment="1">
      <alignment horizontal="center" vertical="center"/>
    </xf>
    <xf numFmtId="0" fontId="9" fillId="0" borderId="30" xfId="0" applyFont="1" applyFill="1" applyBorder="1" applyAlignment="1">
      <alignment horizontal="center" vertical="center"/>
    </xf>
    <xf numFmtId="0" fontId="9" fillId="0" borderId="20" xfId="0" applyFont="1" applyFill="1" applyBorder="1" applyAlignment="1">
      <alignment horizontal="center" vertical="center"/>
    </xf>
    <xf numFmtId="9" fontId="3" fillId="0" borderId="31" xfId="2" applyFont="1" applyFill="1" applyBorder="1" applyAlignment="1">
      <alignment horizontal="center" vertical="center"/>
    </xf>
    <xf numFmtId="180" fontId="3" fillId="0" borderId="2" xfId="6" applyNumberFormat="1" applyFont="1" applyFill="1" applyBorder="1" applyAlignment="1">
      <alignment horizontal="center" vertical="center"/>
    </xf>
    <xf numFmtId="0" fontId="3" fillId="0" borderId="79" xfId="0" applyFont="1" applyFill="1" applyBorder="1" applyAlignment="1">
      <alignment horizontal="justify" vertical="center" wrapText="1"/>
    </xf>
    <xf numFmtId="0" fontId="3" fillId="0" borderId="80" xfId="0" applyFont="1" applyFill="1" applyBorder="1" applyAlignment="1">
      <alignment horizontal="justify" vertical="center" wrapText="1"/>
    </xf>
    <xf numFmtId="0" fontId="9" fillId="2" borderId="58"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16" xfId="0" applyFont="1" applyFill="1" applyBorder="1" applyAlignment="1">
      <alignment horizontal="justify" vertical="center" wrapText="1"/>
    </xf>
    <xf numFmtId="0" fontId="20" fillId="2" borderId="6" xfId="0" applyFont="1" applyFill="1" applyBorder="1" applyAlignment="1">
      <alignment horizontal="justify" vertical="center" wrapText="1"/>
    </xf>
    <xf numFmtId="9" fontId="3" fillId="0" borderId="9" xfId="0" applyNumberFormat="1" applyFont="1" applyFill="1" applyBorder="1" applyAlignment="1">
      <alignment horizontal="center" vertical="center"/>
    </xf>
    <xf numFmtId="9" fontId="3" fillId="0" borderId="17" xfId="0" applyNumberFormat="1" applyFont="1" applyFill="1" applyBorder="1" applyAlignment="1">
      <alignment horizontal="center" vertical="center"/>
    </xf>
    <xf numFmtId="9" fontId="3" fillId="0" borderId="18" xfId="0" applyNumberFormat="1" applyFont="1" applyFill="1" applyBorder="1" applyAlignment="1">
      <alignment horizontal="center" vertical="center"/>
    </xf>
    <xf numFmtId="3" fontId="3" fillId="0" borderId="17"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xf>
    <xf numFmtId="180" fontId="20" fillId="2" borderId="0" xfId="6" applyNumberFormat="1" applyFont="1" applyFill="1" applyBorder="1" applyAlignment="1">
      <alignment horizontal="center" vertical="center" readingOrder="1"/>
    </xf>
    <xf numFmtId="180" fontId="20" fillId="2" borderId="63" xfId="6" applyNumberFormat="1" applyFont="1" applyFill="1" applyBorder="1" applyAlignment="1">
      <alignment horizontal="center" vertical="center" readingOrder="1"/>
    </xf>
    <xf numFmtId="0" fontId="3" fillId="2" borderId="32" xfId="0" applyFont="1" applyFill="1" applyBorder="1" applyAlignment="1">
      <alignment horizontal="justify" vertical="center" wrapText="1"/>
    </xf>
    <xf numFmtId="4" fontId="20" fillId="2" borderId="42" xfId="0" applyNumberFormat="1" applyFont="1" applyFill="1" applyBorder="1" applyAlignment="1">
      <alignment horizontal="justify" vertical="center" wrapText="1" readingOrder="1"/>
    </xf>
    <xf numFmtId="4" fontId="20" fillId="2" borderId="44" xfId="0" applyNumberFormat="1" applyFont="1" applyFill="1" applyBorder="1" applyAlignment="1">
      <alignment horizontal="justify" vertical="center" wrapText="1" readingOrder="1"/>
    </xf>
    <xf numFmtId="4" fontId="20" fillId="2" borderId="39" xfId="0" applyNumberFormat="1" applyFont="1" applyFill="1" applyBorder="1" applyAlignment="1">
      <alignment horizontal="justify" vertical="center" wrapText="1" readingOrder="1"/>
    </xf>
    <xf numFmtId="3" fontId="3" fillId="2" borderId="2" xfId="0" applyNumberFormat="1" applyFont="1" applyFill="1" applyBorder="1" applyAlignment="1">
      <alignment horizontal="justify" vertical="center" wrapText="1"/>
    </xf>
    <xf numFmtId="0" fontId="3" fillId="2" borderId="19" xfId="0" applyFont="1" applyFill="1" applyBorder="1" applyAlignment="1">
      <alignment horizontal="justify" vertical="center" wrapText="1"/>
    </xf>
    <xf numFmtId="0" fontId="3" fillId="2" borderId="22" xfId="0" applyFont="1" applyFill="1" applyBorder="1" applyAlignment="1">
      <alignment horizontal="justify" vertical="center" wrapText="1"/>
    </xf>
    <xf numFmtId="0" fontId="3" fillId="2" borderId="26" xfId="0" applyFont="1" applyFill="1" applyBorder="1" applyAlignment="1">
      <alignment horizontal="justify" vertical="center" wrapText="1"/>
    </xf>
    <xf numFmtId="9" fontId="3" fillId="2" borderId="2" xfId="0" applyNumberFormat="1" applyFont="1" applyFill="1" applyBorder="1" applyAlignment="1">
      <alignment horizontal="center" vertical="center"/>
    </xf>
    <xf numFmtId="0" fontId="3" fillId="2" borderId="37" xfId="0" applyFont="1" applyFill="1" applyBorder="1" applyAlignment="1">
      <alignment horizontal="center" vertical="center"/>
    </xf>
    <xf numFmtId="0" fontId="9" fillId="15" borderId="21" xfId="0" applyFont="1" applyFill="1" applyBorder="1" applyAlignment="1">
      <alignment horizontal="justify" vertical="center" wrapText="1"/>
    </xf>
    <xf numFmtId="0" fontId="9" fillId="15" borderId="25" xfId="0" applyFont="1" applyFill="1" applyBorder="1" applyAlignment="1">
      <alignment horizontal="justify"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9" fillId="15" borderId="2" xfId="0" applyFont="1" applyFill="1" applyBorder="1" applyAlignment="1">
      <alignment horizontal="justify" vertical="center" wrapText="1"/>
    </xf>
    <xf numFmtId="0" fontId="9" fillId="2" borderId="74" xfId="0" applyFont="1" applyFill="1" applyBorder="1" applyAlignment="1">
      <alignment horizontal="justify" vertical="center" wrapText="1"/>
    </xf>
    <xf numFmtId="0" fontId="9" fillId="2" borderId="68" xfId="0" applyFont="1" applyFill="1" applyBorder="1" applyAlignment="1">
      <alignment horizontal="center" vertical="center" wrapText="1"/>
    </xf>
    <xf numFmtId="0" fontId="9" fillId="2" borderId="36" xfId="0" applyFont="1" applyFill="1" applyBorder="1" applyAlignment="1">
      <alignment horizontal="center" vertical="center" wrapText="1"/>
    </xf>
    <xf numFmtId="2" fontId="9" fillId="2" borderId="68" xfId="0" applyNumberFormat="1" applyFont="1" applyFill="1" applyBorder="1" applyAlignment="1">
      <alignment horizontal="center" vertical="center" wrapText="1"/>
    </xf>
    <xf numFmtId="2" fontId="9" fillId="2" borderId="36" xfId="0" applyNumberFormat="1" applyFont="1" applyFill="1" applyBorder="1" applyAlignment="1">
      <alignment horizontal="center" vertical="center" wrapText="1"/>
    </xf>
    <xf numFmtId="0" fontId="9" fillId="2" borderId="23" xfId="0" applyFont="1" applyFill="1" applyBorder="1" applyAlignment="1">
      <alignment horizontal="justify" vertical="center" wrapText="1"/>
    </xf>
    <xf numFmtId="180" fontId="9" fillId="2" borderId="20" xfId="6" applyNumberFormat="1" applyFont="1" applyFill="1" applyBorder="1" applyAlignment="1">
      <alignment horizontal="center" vertical="center" wrapText="1"/>
    </xf>
    <xf numFmtId="0" fontId="9" fillId="2" borderId="20" xfId="0" applyFont="1" applyFill="1" applyBorder="1" applyAlignment="1">
      <alignment horizontal="justify" vertical="center"/>
    </xf>
    <xf numFmtId="9" fontId="9" fillId="2" borderId="20" xfId="0" applyNumberFormat="1" applyFont="1" applyFill="1" applyBorder="1" applyAlignment="1">
      <alignment horizontal="center" vertical="center"/>
    </xf>
    <xf numFmtId="43" fontId="9" fillId="2" borderId="20" xfId="0" applyNumberFormat="1" applyFont="1" applyFill="1" applyBorder="1" applyAlignment="1">
      <alignment horizontal="center" vertical="center"/>
    </xf>
    <xf numFmtId="0" fontId="9" fillId="2" borderId="58"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59" xfId="0" applyFont="1" applyFill="1" applyBorder="1" applyAlignment="1">
      <alignment horizontal="center" vertical="center"/>
    </xf>
    <xf numFmtId="0" fontId="9" fillId="15" borderId="20" xfId="0" applyFont="1" applyFill="1" applyBorder="1" applyAlignment="1">
      <alignment horizontal="center" vertical="center" wrapText="1"/>
    </xf>
    <xf numFmtId="0" fontId="9" fillId="15" borderId="33" xfId="0" applyFont="1" applyFill="1" applyBorder="1" applyAlignment="1">
      <alignment horizontal="justify" vertical="center" wrapText="1"/>
    </xf>
    <xf numFmtId="180" fontId="9" fillId="2" borderId="45" xfId="6" applyNumberFormat="1" applyFont="1" applyFill="1" applyBorder="1" applyAlignment="1">
      <alignment horizontal="center" vertical="center" wrapText="1"/>
    </xf>
    <xf numFmtId="180" fontId="9" fillId="2" borderId="22" xfId="6" applyNumberFormat="1" applyFont="1" applyFill="1" applyBorder="1" applyAlignment="1">
      <alignment horizontal="center" vertical="center" wrapText="1"/>
    </xf>
    <xf numFmtId="180" fontId="9" fillId="2" borderId="30" xfId="6" applyNumberFormat="1" applyFont="1" applyFill="1" applyBorder="1" applyAlignment="1">
      <alignment horizontal="center" vertical="center" wrapText="1"/>
    </xf>
    <xf numFmtId="14" fontId="9" fillId="2" borderId="21" xfId="0" applyNumberFormat="1" applyFont="1" applyFill="1" applyBorder="1" applyAlignment="1">
      <alignment horizontal="justify" vertical="center"/>
    </xf>
    <xf numFmtId="0" fontId="9" fillId="2" borderId="23" xfId="0" applyFont="1" applyFill="1" applyBorder="1" applyAlignment="1">
      <alignment horizontal="justify" vertical="center"/>
    </xf>
    <xf numFmtId="0" fontId="9" fillId="2" borderId="27" xfId="0" applyFont="1" applyFill="1" applyBorder="1" applyAlignment="1">
      <alignment horizontal="justify" vertical="center"/>
    </xf>
    <xf numFmtId="9" fontId="9" fillId="2" borderId="58" xfId="0" applyNumberFormat="1" applyFont="1" applyFill="1" applyBorder="1" applyAlignment="1">
      <alignment horizontal="center" vertical="center"/>
    </xf>
    <xf numFmtId="9" fontId="9" fillId="2" borderId="32" xfId="0" applyNumberFormat="1" applyFont="1" applyFill="1" applyBorder="1" applyAlignment="1">
      <alignment horizontal="center" vertical="center"/>
    </xf>
    <xf numFmtId="9" fontId="9" fillId="2" borderId="59" xfId="0" applyNumberFormat="1" applyFont="1" applyFill="1" applyBorder="1" applyAlignment="1">
      <alignment horizontal="center" vertical="center"/>
    </xf>
    <xf numFmtId="0" fontId="9" fillId="2" borderId="59" xfId="0" applyFont="1" applyFill="1" applyBorder="1" applyAlignment="1">
      <alignment horizontal="center" vertical="center" wrapText="1"/>
    </xf>
    <xf numFmtId="3" fontId="9" fillId="2" borderId="58" xfId="0" applyNumberFormat="1" applyFont="1" applyFill="1" applyBorder="1" applyAlignment="1">
      <alignment horizontal="center" vertical="center"/>
    </xf>
    <xf numFmtId="43" fontId="9" fillId="0" borderId="17" xfId="12" applyFont="1" applyFill="1" applyBorder="1" applyAlignment="1">
      <alignment horizontal="center" vertical="center"/>
    </xf>
    <xf numFmtId="9" fontId="2" fillId="3" borderId="9" xfId="2" applyFont="1" applyFill="1" applyBorder="1" applyAlignment="1">
      <alignment horizontal="center" vertical="center" wrapText="1"/>
    </xf>
    <xf numFmtId="9" fontId="2" fillId="3" borderId="18" xfId="2" applyFont="1" applyFill="1" applyBorder="1" applyAlignment="1">
      <alignment horizontal="center" vertical="center" wrapText="1"/>
    </xf>
    <xf numFmtId="0" fontId="2" fillId="3" borderId="2" xfId="0" applyFont="1" applyFill="1" applyBorder="1" applyAlignment="1">
      <alignment vertical="center" wrapText="1"/>
    </xf>
    <xf numFmtId="0" fontId="2" fillId="3" borderId="2" xfId="0" applyFont="1" applyFill="1" applyBorder="1" applyAlignment="1">
      <alignment horizontal="justify" vertical="center" wrapText="1"/>
    </xf>
    <xf numFmtId="3" fontId="31" fillId="4" borderId="10" xfId="0" applyNumberFormat="1" applyFont="1" applyFill="1" applyBorder="1" applyAlignment="1">
      <alignment horizontal="center" vertical="center" wrapText="1"/>
    </xf>
    <xf numFmtId="3" fontId="31" fillId="4" borderId="11" xfId="0" applyNumberFormat="1" applyFont="1" applyFill="1" applyBorder="1" applyAlignment="1">
      <alignment horizontal="center" vertical="center" wrapText="1"/>
    </xf>
    <xf numFmtId="3" fontId="31" fillId="4" borderId="12" xfId="0" applyNumberFormat="1" applyFont="1" applyFill="1" applyBorder="1" applyAlignment="1">
      <alignment horizontal="center" vertical="center" wrapText="1"/>
    </xf>
    <xf numFmtId="0" fontId="31" fillId="4" borderId="10"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31" fillId="4" borderId="12" xfId="0" applyFont="1" applyFill="1" applyBorder="1" applyAlignment="1">
      <alignment horizontal="center" vertical="center" wrapText="1"/>
    </xf>
    <xf numFmtId="0" fontId="31" fillId="4" borderId="10" xfId="0" applyFont="1" applyFill="1" applyBorder="1" applyAlignment="1">
      <alignment horizontal="center" vertical="center"/>
    </xf>
    <xf numFmtId="0" fontId="31" fillId="4" borderId="11" xfId="0" applyFont="1" applyFill="1" applyBorder="1" applyAlignment="1">
      <alignment horizontal="center" vertical="center"/>
    </xf>
    <xf numFmtId="0" fontId="31" fillId="4" borderId="12" xfId="0" applyFont="1" applyFill="1" applyBorder="1" applyAlignment="1">
      <alignment horizontal="center" vertical="center"/>
    </xf>
    <xf numFmtId="0" fontId="31" fillId="4" borderId="8" xfId="0" applyFont="1" applyFill="1" applyBorder="1" applyAlignment="1">
      <alignment horizontal="center" vertical="center" wrapText="1"/>
    </xf>
    <xf numFmtId="0" fontId="31" fillId="4" borderId="7"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1" fillId="4" borderId="4" xfId="0" applyFont="1" applyFill="1" applyBorder="1" applyAlignment="1">
      <alignment horizontal="center" vertical="center" wrapText="1"/>
    </xf>
    <xf numFmtId="171" fontId="9" fillId="0" borderId="2" xfId="6" applyFont="1" applyFill="1" applyBorder="1" applyAlignment="1">
      <alignment horizontal="center" vertical="center" wrapText="1"/>
    </xf>
    <xf numFmtId="14" fontId="9" fillId="0" borderId="9" xfId="6" applyNumberFormat="1" applyFont="1" applyFill="1" applyBorder="1" applyAlignment="1">
      <alignment horizontal="center" vertical="center" wrapText="1"/>
    </xf>
    <xf numFmtId="14" fontId="9" fillId="0" borderId="17" xfId="6" applyNumberFormat="1" applyFont="1" applyFill="1" applyBorder="1" applyAlignment="1">
      <alignment horizontal="center" vertical="center" wrapText="1"/>
    </xf>
    <xf numFmtId="14" fontId="9" fillId="0" borderId="18" xfId="6" applyNumberFormat="1" applyFont="1" applyFill="1" applyBorder="1" applyAlignment="1">
      <alignment horizontal="center" vertical="center" wrapText="1"/>
    </xf>
    <xf numFmtId="171" fontId="9" fillId="0" borderId="9" xfId="6" applyFont="1" applyFill="1" applyBorder="1" applyAlignment="1">
      <alignment horizontal="center" vertical="center" wrapText="1"/>
    </xf>
    <xf numFmtId="171" fontId="9" fillId="0" borderId="17" xfId="6" applyFont="1" applyFill="1" applyBorder="1" applyAlignment="1">
      <alignment horizontal="center" vertical="center" wrapText="1"/>
    </xf>
    <xf numFmtId="171" fontId="9" fillId="0" borderId="18" xfId="6"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8" xfId="0" applyFont="1" applyFill="1" applyBorder="1" applyAlignment="1">
      <alignment horizontal="center" vertical="center" wrapText="1"/>
    </xf>
    <xf numFmtId="170" fontId="33" fillId="0" borderId="2" xfId="5" applyFont="1" applyFill="1" applyBorder="1" applyAlignment="1">
      <alignment horizontal="justify" vertical="center" wrapText="1"/>
    </xf>
    <xf numFmtId="0" fontId="28" fillId="0" borderId="2" xfId="0" applyFont="1" applyFill="1" applyBorder="1" applyAlignment="1">
      <alignment horizontal="justify" vertical="center" wrapText="1"/>
    </xf>
    <xf numFmtId="0" fontId="35" fillId="0" borderId="0" xfId="0" applyFont="1" applyAlignment="1">
      <alignment horizontal="center"/>
    </xf>
    <xf numFmtId="171" fontId="30" fillId="0" borderId="0" xfId="6" applyFont="1" applyFill="1" applyBorder="1" applyAlignment="1">
      <alignment horizontal="right" vertical="center" wrapText="1"/>
    </xf>
    <xf numFmtId="0" fontId="2" fillId="0" borderId="0" xfId="0" applyFont="1" applyFill="1" applyAlignment="1">
      <alignment horizontal="center" vertical="center"/>
    </xf>
    <xf numFmtId="9" fontId="3" fillId="0" borderId="9" xfId="2" applyFont="1" applyFill="1" applyBorder="1" applyAlignment="1">
      <alignment horizontal="justify" vertical="center" wrapText="1"/>
    </xf>
    <xf numFmtId="9" fontId="3" fillId="0" borderId="18" xfId="2" applyFont="1" applyFill="1" applyBorder="1" applyAlignment="1">
      <alignment horizontal="justify" vertical="center" wrapText="1"/>
    </xf>
    <xf numFmtId="0" fontId="30" fillId="0" borderId="2" xfId="0" applyFont="1" applyFill="1" applyBorder="1" applyAlignment="1">
      <alignment horizontal="center" vertical="center" wrapText="1"/>
    </xf>
    <xf numFmtId="181" fontId="3" fillId="2" borderId="17" xfId="0" applyNumberFormat="1" applyFont="1" applyFill="1" applyBorder="1" applyAlignment="1">
      <alignment horizontal="center" vertical="center" wrapText="1"/>
    </xf>
    <xf numFmtId="181" fontId="3" fillId="2" borderId="18" xfId="0" applyNumberFormat="1" applyFont="1" applyFill="1" applyBorder="1" applyAlignment="1">
      <alignment horizontal="center" vertical="center" wrapText="1"/>
    </xf>
    <xf numFmtId="180" fontId="3" fillId="2" borderId="17" xfId="6" applyNumberFormat="1" applyFont="1" applyFill="1" applyBorder="1" applyAlignment="1">
      <alignment horizontal="center" vertical="center" wrapText="1"/>
    </xf>
    <xf numFmtId="180" fontId="3" fillId="2" borderId="18" xfId="6"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172" fontId="3" fillId="2" borderId="17" xfId="7" applyFont="1" applyFill="1" applyBorder="1" applyAlignment="1">
      <alignment horizontal="center" vertical="center"/>
    </xf>
    <xf numFmtId="172" fontId="3" fillId="2" borderId="18" xfId="7" applyFont="1" applyFill="1" applyBorder="1" applyAlignment="1">
      <alignment horizontal="center" vertical="center"/>
    </xf>
    <xf numFmtId="0" fontId="2" fillId="5" borderId="10" xfId="0" applyFont="1" applyFill="1" applyBorder="1" applyAlignment="1">
      <alignment horizontal="center" vertical="center" textRotation="90" wrapText="1"/>
    </xf>
    <xf numFmtId="0" fontId="2" fillId="5" borderId="12" xfId="0" applyFont="1" applyFill="1" applyBorder="1" applyAlignment="1">
      <alignment horizontal="center" vertical="center" textRotation="90" wrapText="1"/>
    </xf>
    <xf numFmtId="166" fontId="2"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49" fontId="3" fillId="2" borderId="17" xfId="0" applyNumberFormat="1" applyFont="1" applyFill="1" applyBorder="1" applyAlignment="1">
      <alignment horizontal="center" vertical="center"/>
    </xf>
    <xf numFmtId="49" fontId="3" fillId="2" borderId="18" xfId="0" applyNumberFormat="1" applyFont="1" applyFill="1" applyBorder="1" applyAlignment="1">
      <alignment horizontal="center" vertical="center"/>
    </xf>
    <xf numFmtId="166" fontId="2" fillId="5" borderId="9" xfId="0" applyNumberFormat="1" applyFont="1" applyFill="1" applyBorder="1" applyAlignment="1">
      <alignment horizontal="center" vertical="center" wrapText="1"/>
    </xf>
    <xf numFmtId="166" fontId="2" fillId="5" borderId="18" xfId="0" applyNumberFormat="1" applyFont="1" applyFill="1" applyBorder="1" applyAlignment="1">
      <alignment horizontal="center" vertical="center" wrapText="1"/>
    </xf>
    <xf numFmtId="49" fontId="2" fillId="5" borderId="10" xfId="0" applyNumberFormat="1" applyFont="1" applyFill="1" applyBorder="1" applyAlignment="1">
      <alignment horizontal="center" vertical="center" textRotation="90" wrapText="1"/>
    </xf>
    <xf numFmtId="49" fontId="2" fillId="5" borderId="12" xfId="0" applyNumberFormat="1" applyFont="1" applyFill="1" applyBorder="1" applyAlignment="1">
      <alignment horizontal="center" vertical="center" textRotation="90" wrapText="1"/>
    </xf>
    <xf numFmtId="1" fontId="2" fillId="5" borderId="2" xfId="0" applyNumberFormat="1" applyFont="1" applyFill="1" applyBorder="1" applyAlignment="1">
      <alignment horizontal="center" vertical="center" wrapText="1"/>
    </xf>
    <xf numFmtId="9" fontId="2" fillId="5" borderId="2" xfId="2" applyFont="1" applyFill="1" applyBorder="1" applyAlignment="1">
      <alignment horizontal="center" vertical="center" wrapText="1"/>
    </xf>
    <xf numFmtId="167" fontId="32" fillId="5" borderId="13" xfId="3" applyFont="1" applyFill="1" applyBorder="1" applyAlignment="1">
      <alignment horizontal="center" vertical="center"/>
    </xf>
    <xf numFmtId="167" fontId="32" fillId="5" borderId="14" xfId="3" applyFont="1" applyFill="1" applyBorder="1" applyAlignment="1">
      <alignment horizontal="center" vertical="center"/>
    </xf>
    <xf numFmtId="167" fontId="32" fillId="5" borderId="15" xfId="3" applyFont="1" applyFill="1" applyBorder="1" applyAlignment="1">
      <alignment horizontal="center" vertical="center"/>
    </xf>
    <xf numFmtId="168" fontId="2" fillId="5" borderId="8" xfId="0" applyNumberFormat="1" applyFont="1" applyFill="1" applyBorder="1" applyAlignment="1">
      <alignment horizontal="center" vertical="center" wrapText="1"/>
    </xf>
    <xf numFmtId="168" fontId="2" fillId="5" borderId="7" xfId="0" applyNumberFormat="1" applyFont="1" applyFill="1" applyBorder="1" applyAlignment="1">
      <alignment horizontal="center" vertical="center" wrapText="1"/>
    </xf>
    <xf numFmtId="168" fontId="2" fillId="5" borderId="6" xfId="0" applyNumberFormat="1" applyFont="1" applyFill="1" applyBorder="1" applyAlignment="1">
      <alignment horizontal="center" vertical="center" wrapText="1"/>
    </xf>
    <xf numFmtId="168" fontId="2" fillId="5" borderId="4" xfId="0" applyNumberFormat="1" applyFont="1" applyFill="1" applyBorder="1" applyAlignment="1">
      <alignment horizontal="center" vertical="center" wrapText="1"/>
    </xf>
    <xf numFmtId="3" fontId="2" fillId="5" borderId="9" xfId="0" applyNumberFormat="1" applyFont="1" applyFill="1" applyBorder="1" applyAlignment="1">
      <alignment horizontal="center" vertical="center" wrapText="1"/>
    </xf>
    <xf numFmtId="3" fontId="2" fillId="5" borderId="17" xfId="0" applyNumberFormat="1" applyFont="1" applyFill="1" applyBorder="1" applyAlignment="1">
      <alignment horizontal="center" vertical="center" wrapText="1"/>
    </xf>
  </cellXfs>
  <cellStyles count="20">
    <cellStyle name="KPT04" xfId="5"/>
    <cellStyle name="Millares" xfId="12" builtinId="3"/>
    <cellStyle name="Millares [0] 2" xfId="6"/>
    <cellStyle name="Millares 2" xfId="11"/>
    <cellStyle name="Millares 2 2" xfId="7"/>
    <cellStyle name="Millares 2 2 2" xfId="9"/>
    <cellStyle name="Millares 2 2 2 2" xfId="16"/>
    <cellStyle name="Millares 4" xfId="15"/>
    <cellStyle name="Moneda" xfId="1" builtinId="4"/>
    <cellStyle name="Moneda [0] 2" xfId="10"/>
    <cellStyle name="Moneda 2" xfId="8"/>
    <cellStyle name="Moneda 2 2" xfId="13"/>
    <cellStyle name="Moneda 2 3" xfId="14"/>
    <cellStyle name="Moneda 3" xfId="18"/>
    <cellStyle name="Normal" xfId="0" builtinId="0"/>
    <cellStyle name="Normal 2" xfId="17"/>
    <cellStyle name="Normal 2 3" xfId="3"/>
    <cellStyle name="Normal 7" xfId="19"/>
    <cellStyle name="Porcentaje" xfId="2" builtinId="5"/>
    <cellStyle name="Porcentaje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PLANEACION03/Downloads/SGTO%20PROMOTORA%20IV%20TRIM%202020-FIN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ON%20QUINDIO%202020/SGTO%20INSTRUMENTOS%202020/SGTO%20PDD%20IV%20TRIMESTRE%202020/UNIDADES%20EJECUTORAS%20IV%20TRIM%202020/SGTO%20IDTQ%20IV%20TRIM%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ducto F-PLA 47"/>
      <sheetName val="Plan de accion F-PLA-06"/>
      <sheetName val="Seguimiento P.A F-PLA 07."/>
      <sheetName val="Inversión Mpios -PLA 39"/>
      <sheetName val="Gestión Recursos F-PLA 40"/>
    </sheetNames>
    <sheetDataSet>
      <sheetData sheetId="0">
        <row r="16">
          <cell r="Q16">
            <v>372570330</v>
          </cell>
          <cell r="R16">
            <v>268586100.41000003</v>
          </cell>
          <cell r="S16">
            <v>268586100.41000003</v>
          </cell>
        </row>
        <row r="17">
          <cell r="Q17">
            <v>372570330</v>
          </cell>
          <cell r="R17">
            <v>372570330.00333333</v>
          </cell>
          <cell r="S17">
            <v>372570330.00333333</v>
          </cell>
        </row>
        <row r="18">
          <cell r="Q18">
            <v>145520000</v>
          </cell>
          <cell r="R18">
            <v>108304983.15000001</v>
          </cell>
          <cell r="S18">
            <v>108304983.15000001</v>
          </cell>
        </row>
        <row r="19">
          <cell r="Q19">
            <v>218280000</v>
          </cell>
          <cell r="R19">
            <v>218159599.37</v>
          </cell>
          <cell r="S19">
            <v>218159599.37</v>
          </cell>
        </row>
        <row r="20">
          <cell r="Q20">
            <v>89176000</v>
          </cell>
          <cell r="R20">
            <v>74970308.150000006</v>
          </cell>
          <cell r="S20">
            <v>74970308.150000006</v>
          </cell>
        </row>
        <row r="21">
          <cell r="Q21">
            <v>100000000</v>
          </cell>
          <cell r="R21">
            <v>42921579</v>
          </cell>
          <cell r="S21">
            <v>42921579</v>
          </cell>
        </row>
        <row r="22">
          <cell r="Q22">
            <v>170814443.5</v>
          </cell>
          <cell r="R22">
            <v>170041333.33000001</v>
          </cell>
          <cell r="S22">
            <v>170041333.33000001</v>
          </cell>
        </row>
        <row r="23">
          <cell r="Q23">
            <v>50971986</v>
          </cell>
          <cell r="R23">
            <v>32000000</v>
          </cell>
          <cell r="S23">
            <v>32000000</v>
          </cell>
        </row>
        <row r="24">
          <cell r="Q24">
            <v>189176000</v>
          </cell>
          <cell r="R24">
            <v>189060175</v>
          </cell>
          <cell r="S24">
            <v>189060175</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ducto F-PLA-47"/>
      <sheetName val="Plan de Acción F-PLA-06"/>
      <sheetName val="Seguimiento P.A F-PLA 07."/>
      <sheetName val="Inversión Mpios -PLA 39"/>
      <sheetName val="Gestión Recursos F-PLA 40"/>
      <sheetName val="PRINCIPALES LOGROS"/>
    </sheetNames>
    <sheetDataSet>
      <sheetData sheetId="0">
        <row r="16">
          <cell r="S16">
            <v>25052000</v>
          </cell>
        </row>
        <row r="17">
          <cell r="S17">
            <v>4590000</v>
          </cell>
        </row>
        <row r="18">
          <cell r="S18">
            <v>14346000</v>
          </cell>
        </row>
        <row r="19">
          <cell r="S19">
            <v>8364000</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G107"/>
  <sheetViews>
    <sheetView showGridLines="0" topLeftCell="Q1" zoomScale="60" zoomScaleNormal="60" workbookViewId="0">
      <selection activeCell="S15" sqref="S15:S17"/>
    </sheetView>
  </sheetViews>
  <sheetFormatPr baseColWidth="10" defaultColWidth="11.42578125" defaultRowHeight="14.25" x14ac:dyDescent="0.2"/>
  <cols>
    <col min="1" max="1" width="13.85546875" style="477" customWidth="1"/>
    <col min="2" max="2" width="4" style="388" customWidth="1"/>
    <col min="3" max="3" width="17.5703125" style="388" customWidth="1"/>
    <col min="4" max="4" width="15.5703125" style="388" customWidth="1"/>
    <col min="5" max="5" width="11.28515625" style="388" customWidth="1"/>
    <col min="6" max="6" width="9.28515625" style="388" customWidth="1"/>
    <col min="7" max="7" width="13" style="388" customWidth="1"/>
    <col min="8" max="8" width="17.28515625" style="388" customWidth="1"/>
    <col min="9" max="9" width="35" style="478" customWidth="1"/>
    <col min="10" max="10" width="37.28515625" style="191" customWidth="1"/>
    <col min="11" max="11" width="14.85546875" style="191" customWidth="1"/>
    <col min="12" max="12" width="15.7109375" style="191" customWidth="1"/>
    <col min="13" max="13" width="29.7109375" style="191" customWidth="1"/>
    <col min="14" max="14" width="22.140625" style="479" customWidth="1"/>
    <col min="15" max="15" width="37.140625" style="480" customWidth="1"/>
    <col min="16" max="16" width="14.42578125" style="481" customWidth="1"/>
    <col min="17" max="17" width="25" style="482" customWidth="1"/>
    <col min="18" max="18" width="45.28515625" style="478" customWidth="1"/>
    <col min="19" max="19" width="62.28515625" style="478" customWidth="1"/>
    <col min="20" max="20" width="68.42578125" style="478" customWidth="1"/>
    <col min="21" max="21" width="33.140625" style="493" customWidth="1"/>
    <col min="22" max="22" width="29" style="493" customWidth="1"/>
    <col min="23" max="23" width="31.42578125" style="493" customWidth="1"/>
    <col min="24" max="24" width="14.140625" style="484" customWidth="1"/>
    <col min="25" max="25" width="26.5703125" style="485" customWidth="1"/>
    <col min="26" max="31" width="11.42578125" style="388"/>
    <col min="32" max="33" width="14" style="388" customWidth="1"/>
    <col min="34" max="35" width="13.5703125" style="388" customWidth="1"/>
    <col min="36" max="37" width="13.140625" style="388" customWidth="1"/>
    <col min="38" max="57" width="11.42578125" style="388"/>
    <col min="58" max="58" width="19.85546875" style="388" customWidth="1"/>
    <col min="59" max="59" width="25.7109375" style="388" customWidth="1"/>
    <col min="60" max="60" width="25.5703125" style="388" customWidth="1"/>
    <col min="61" max="61" width="16.5703125" style="388" customWidth="1"/>
    <col min="62" max="62" width="17.42578125" style="388" customWidth="1"/>
    <col min="63" max="63" width="31.140625" style="388" customWidth="1"/>
    <col min="64" max="65" width="16.140625" style="486" customWidth="1"/>
    <col min="66" max="66" width="21.7109375" style="494" customWidth="1"/>
    <col min="67" max="67" width="26" style="494" customWidth="1"/>
    <col min="68" max="68" width="31.7109375" style="489" customWidth="1"/>
    <col min="69" max="69" width="9.140625" style="388" customWidth="1"/>
    <col min="70" max="16384" width="11.42578125" style="388"/>
  </cols>
  <sheetData>
    <row r="1" spans="1:85" ht="15" customHeight="1" x14ac:dyDescent="0.2">
      <c r="A1" s="2518" t="s">
        <v>310</v>
      </c>
      <c r="B1" s="2519"/>
      <c r="C1" s="2519"/>
      <c r="D1" s="2519"/>
      <c r="E1" s="2519"/>
      <c r="F1" s="2519"/>
      <c r="G1" s="2519"/>
      <c r="H1" s="2519"/>
      <c r="I1" s="2519"/>
      <c r="J1" s="2519"/>
      <c r="K1" s="2519"/>
      <c r="L1" s="2519"/>
      <c r="M1" s="2519"/>
      <c r="N1" s="2519"/>
      <c r="O1" s="2519"/>
      <c r="P1" s="2519"/>
      <c r="Q1" s="2519"/>
      <c r="R1" s="2519"/>
      <c r="S1" s="2519"/>
      <c r="T1" s="2519"/>
      <c r="U1" s="2519"/>
      <c r="V1" s="2519"/>
      <c r="W1" s="2519"/>
      <c r="X1" s="2519"/>
      <c r="Y1" s="2519"/>
      <c r="Z1" s="2519"/>
      <c r="AA1" s="2519"/>
      <c r="AB1" s="2519"/>
      <c r="AC1" s="2519"/>
      <c r="AD1" s="2519"/>
      <c r="AE1" s="2519"/>
      <c r="AF1" s="2519"/>
      <c r="AG1" s="2519"/>
      <c r="AH1" s="2519"/>
      <c r="AI1" s="2519"/>
      <c r="AJ1" s="2519"/>
      <c r="AK1" s="2519"/>
      <c r="AL1" s="2519"/>
      <c r="AM1" s="2519"/>
      <c r="AN1" s="2519"/>
      <c r="AO1" s="2519"/>
      <c r="AP1" s="2519"/>
      <c r="AQ1" s="2519"/>
      <c r="AR1" s="2519"/>
      <c r="AS1" s="2519"/>
      <c r="AT1" s="2519"/>
      <c r="AU1" s="2519"/>
      <c r="AV1" s="2519"/>
      <c r="AW1" s="2519"/>
      <c r="AX1" s="2519"/>
      <c r="AY1" s="2519"/>
      <c r="AZ1" s="2519"/>
      <c r="BA1" s="2519"/>
      <c r="BB1" s="2519"/>
      <c r="BC1" s="2519"/>
      <c r="BD1" s="2519"/>
      <c r="BE1" s="2519"/>
      <c r="BF1" s="2519"/>
      <c r="BG1" s="2519"/>
      <c r="BH1" s="2519"/>
      <c r="BI1" s="2519"/>
      <c r="BJ1" s="2519"/>
      <c r="BK1" s="2519"/>
      <c r="BL1" s="2519"/>
      <c r="BM1" s="2519"/>
      <c r="BN1" s="2520"/>
      <c r="BO1" s="386" t="s">
        <v>1</v>
      </c>
      <c r="BP1" s="387" t="s">
        <v>2</v>
      </c>
      <c r="BR1" s="191"/>
      <c r="BS1" s="191"/>
      <c r="BT1" s="191"/>
      <c r="BU1" s="191"/>
      <c r="BV1" s="191"/>
      <c r="BW1" s="191"/>
      <c r="BX1" s="191"/>
      <c r="BY1" s="191"/>
      <c r="BZ1" s="191"/>
      <c r="CA1" s="191"/>
      <c r="CB1" s="191"/>
      <c r="CC1" s="191"/>
      <c r="CD1" s="191"/>
      <c r="CE1" s="191"/>
      <c r="CF1" s="191"/>
      <c r="CG1" s="191"/>
    </row>
    <row r="2" spans="1:85" ht="15" customHeight="1" x14ac:dyDescent="0.2">
      <c r="A2" s="2521"/>
      <c r="B2" s="2522"/>
      <c r="C2" s="2522"/>
      <c r="D2" s="2522"/>
      <c r="E2" s="2522"/>
      <c r="F2" s="2522"/>
      <c r="G2" s="2522"/>
      <c r="H2" s="2522"/>
      <c r="I2" s="2522"/>
      <c r="J2" s="2522"/>
      <c r="K2" s="2522"/>
      <c r="L2" s="2522"/>
      <c r="M2" s="2522"/>
      <c r="N2" s="2522"/>
      <c r="O2" s="2522"/>
      <c r="P2" s="2522"/>
      <c r="Q2" s="2522"/>
      <c r="R2" s="2522"/>
      <c r="S2" s="2522"/>
      <c r="T2" s="2522"/>
      <c r="U2" s="2522"/>
      <c r="V2" s="2522"/>
      <c r="W2" s="2522"/>
      <c r="X2" s="2522"/>
      <c r="Y2" s="2522"/>
      <c r="Z2" s="2522"/>
      <c r="AA2" s="2522"/>
      <c r="AB2" s="2522"/>
      <c r="AC2" s="2522"/>
      <c r="AD2" s="2522"/>
      <c r="AE2" s="2522"/>
      <c r="AF2" s="2522"/>
      <c r="AG2" s="2522"/>
      <c r="AH2" s="2522"/>
      <c r="AI2" s="2522"/>
      <c r="AJ2" s="2522"/>
      <c r="AK2" s="2522"/>
      <c r="AL2" s="2522"/>
      <c r="AM2" s="2522"/>
      <c r="AN2" s="2522"/>
      <c r="AO2" s="2522"/>
      <c r="AP2" s="2522"/>
      <c r="AQ2" s="2522"/>
      <c r="AR2" s="2522"/>
      <c r="AS2" s="2522"/>
      <c r="AT2" s="2522"/>
      <c r="AU2" s="2522"/>
      <c r="AV2" s="2522"/>
      <c r="AW2" s="2522"/>
      <c r="AX2" s="2522"/>
      <c r="AY2" s="2522"/>
      <c r="AZ2" s="2522"/>
      <c r="BA2" s="2522"/>
      <c r="BB2" s="2522"/>
      <c r="BC2" s="2522"/>
      <c r="BD2" s="2522"/>
      <c r="BE2" s="2522"/>
      <c r="BF2" s="2522"/>
      <c r="BG2" s="2522"/>
      <c r="BH2" s="2522"/>
      <c r="BI2" s="2522"/>
      <c r="BJ2" s="2522"/>
      <c r="BK2" s="2522"/>
      <c r="BL2" s="2522"/>
      <c r="BM2" s="2522"/>
      <c r="BN2" s="2523"/>
      <c r="BO2" s="389" t="s">
        <v>3</v>
      </c>
      <c r="BP2" s="390">
        <v>6</v>
      </c>
      <c r="BR2" s="191"/>
      <c r="BS2" s="191"/>
      <c r="BT2" s="191"/>
      <c r="BU2" s="191"/>
      <c r="BV2" s="191"/>
      <c r="BW2" s="191"/>
      <c r="BX2" s="191"/>
      <c r="BY2" s="191"/>
      <c r="BZ2" s="191"/>
      <c r="CA2" s="191"/>
      <c r="CB2" s="191"/>
      <c r="CC2" s="191"/>
      <c r="CD2" s="191"/>
      <c r="CE2" s="191"/>
      <c r="CF2" s="191"/>
      <c r="CG2" s="191"/>
    </row>
    <row r="3" spans="1:85" ht="15" customHeight="1" x14ac:dyDescent="0.2">
      <c r="A3" s="2521"/>
      <c r="B3" s="2522"/>
      <c r="C3" s="2522"/>
      <c r="D3" s="2522"/>
      <c r="E3" s="2522"/>
      <c r="F3" s="2522"/>
      <c r="G3" s="2522"/>
      <c r="H3" s="2522"/>
      <c r="I3" s="2522"/>
      <c r="J3" s="2522"/>
      <c r="K3" s="2522"/>
      <c r="L3" s="2522"/>
      <c r="M3" s="2522"/>
      <c r="N3" s="2522"/>
      <c r="O3" s="2522"/>
      <c r="P3" s="2522"/>
      <c r="Q3" s="2522"/>
      <c r="R3" s="2522"/>
      <c r="S3" s="2522"/>
      <c r="T3" s="2522"/>
      <c r="U3" s="2522"/>
      <c r="V3" s="2522"/>
      <c r="W3" s="2522"/>
      <c r="X3" s="2522"/>
      <c r="Y3" s="2522"/>
      <c r="Z3" s="2522"/>
      <c r="AA3" s="2522"/>
      <c r="AB3" s="2522"/>
      <c r="AC3" s="2522"/>
      <c r="AD3" s="2522"/>
      <c r="AE3" s="2522"/>
      <c r="AF3" s="2522"/>
      <c r="AG3" s="2522"/>
      <c r="AH3" s="2522"/>
      <c r="AI3" s="2522"/>
      <c r="AJ3" s="2522"/>
      <c r="AK3" s="2522"/>
      <c r="AL3" s="2522"/>
      <c r="AM3" s="2522"/>
      <c r="AN3" s="2522"/>
      <c r="AO3" s="2522"/>
      <c r="AP3" s="2522"/>
      <c r="AQ3" s="2522"/>
      <c r="AR3" s="2522"/>
      <c r="AS3" s="2522"/>
      <c r="AT3" s="2522"/>
      <c r="AU3" s="2522"/>
      <c r="AV3" s="2522"/>
      <c r="AW3" s="2522"/>
      <c r="AX3" s="2522"/>
      <c r="AY3" s="2522"/>
      <c r="AZ3" s="2522"/>
      <c r="BA3" s="2522"/>
      <c r="BB3" s="2522"/>
      <c r="BC3" s="2522"/>
      <c r="BD3" s="2522"/>
      <c r="BE3" s="2522"/>
      <c r="BF3" s="2522"/>
      <c r="BG3" s="2522"/>
      <c r="BH3" s="2522"/>
      <c r="BI3" s="2522"/>
      <c r="BJ3" s="2522"/>
      <c r="BK3" s="2522"/>
      <c r="BL3" s="2522"/>
      <c r="BM3" s="2522"/>
      <c r="BN3" s="2523"/>
      <c r="BO3" s="389" t="s">
        <v>5</v>
      </c>
      <c r="BP3" s="391" t="s">
        <v>6</v>
      </c>
      <c r="BR3" s="191"/>
      <c r="BS3" s="191"/>
      <c r="BT3" s="191"/>
      <c r="BU3" s="191"/>
      <c r="BV3" s="191"/>
      <c r="BW3" s="191"/>
      <c r="BX3" s="191"/>
      <c r="BY3" s="191"/>
      <c r="BZ3" s="191"/>
      <c r="CA3" s="191"/>
      <c r="CB3" s="191"/>
      <c r="CC3" s="191"/>
      <c r="CD3" s="191"/>
      <c r="CE3" s="191"/>
      <c r="CF3" s="191"/>
      <c r="CG3" s="191"/>
    </row>
    <row r="4" spans="1:85" ht="15" customHeight="1" x14ac:dyDescent="0.2">
      <c r="A4" s="2524"/>
      <c r="B4" s="2525"/>
      <c r="C4" s="2525"/>
      <c r="D4" s="2525"/>
      <c r="E4" s="2525"/>
      <c r="F4" s="2525"/>
      <c r="G4" s="2525"/>
      <c r="H4" s="2525"/>
      <c r="I4" s="2525"/>
      <c r="J4" s="2525"/>
      <c r="K4" s="2525"/>
      <c r="L4" s="2525"/>
      <c r="M4" s="2525"/>
      <c r="N4" s="2525"/>
      <c r="O4" s="2525"/>
      <c r="P4" s="2525"/>
      <c r="Q4" s="2525"/>
      <c r="R4" s="2525"/>
      <c r="S4" s="2525"/>
      <c r="T4" s="2525"/>
      <c r="U4" s="2525"/>
      <c r="V4" s="2525"/>
      <c r="W4" s="2525"/>
      <c r="X4" s="2525"/>
      <c r="Y4" s="2525"/>
      <c r="Z4" s="2525"/>
      <c r="AA4" s="2525"/>
      <c r="AB4" s="2525"/>
      <c r="AC4" s="2525"/>
      <c r="AD4" s="2525"/>
      <c r="AE4" s="2525"/>
      <c r="AF4" s="2525"/>
      <c r="AG4" s="2525"/>
      <c r="AH4" s="2525"/>
      <c r="AI4" s="2525"/>
      <c r="AJ4" s="2525"/>
      <c r="AK4" s="2525"/>
      <c r="AL4" s="2525"/>
      <c r="AM4" s="2525"/>
      <c r="AN4" s="2525"/>
      <c r="AO4" s="2525"/>
      <c r="AP4" s="2525"/>
      <c r="AQ4" s="2525"/>
      <c r="AR4" s="2525"/>
      <c r="AS4" s="2525"/>
      <c r="AT4" s="2525"/>
      <c r="AU4" s="2525"/>
      <c r="AV4" s="2525"/>
      <c r="AW4" s="2525"/>
      <c r="AX4" s="2525"/>
      <c r="AY4" s="2525"/>
      <c r="AZ4" s="2525"/>
      <c r="BA4" s="2525"/>
      <c r="BB4" s="2525"/>
      <c r="BC4" s="2525"/>
      <c r="BD4" s="2525"/>
      <c r="BE4" s="2525"/>
      <c r="BF4" s="2525"/>
      <c r="BG4" s="2525"/>
      <c r="BH4" s="2525"/>
      <c r="BI4" s="2525"/>
      <c r="BJ4" s="2525"/>
      <c r="BK4" s="2525"/>
      <c r="BL4" s="2525"/>
      <c r="BM4" s="2525"/>
      <c r="BN4" s="2526"/>
      <c r="BO4" s="389" t="s">
        <v>7</v>
      </c>
      <c r="BP4" s="392" t="s">
        <v>311</v>
      </c>
      <c r="BR4" s="191"/>
      <c r="BS4" s="191"/>
      <c r="BT4" s="191"/>
      <c r="BU4" s="191"/>
      <c r="BV4" s="191"/>
      <c r="BW4" s="191"/>
      <c r="BX4" s="191"/>
      <c r="BY4" s="191"/>
      <c r="BZ4" s="191"/>
      <c r="CA4" s="191"/>
      <c r="CB4" s="191"/>
      <c r="CC4" s="191"/>
      <c r="CD4" s="191"/>
      <c r="CE4" s="191"/>
      <c r="CF4" s="191"/>
      <c r="CG4" s="191"/>
    </row>
    <row r="5" spans="1:85" ht="15.75" x14ac:dyDescent="0.2">
      <c r="A5" s="2527" t="s">
        <v>312</v>
      </c>
      <c r="B5" s="2528"/>
      <c r="C5" s="2528"/>
      <c r="D5" s="2528"/>
      <c r="E5" s="2528"/>
      <c r="F5" s="2528"/>
      <c r="G5" s="2528"/>
      <c r="H5" s="2528"/>
      <c r="I5" s="2528"/>
      <c r="J5" s="2528"/>
      <c r="K5" s="2528"/>
      <c r="L5" s="2528"/>
      <c r="M5" s="393"/>
      <c r="N5" s="2531" t="s">
        <v>10</v>
      </c>
      <c r="O5" s="2532"/>
      <c r="P5" s="2532"/>
      <c r="Q5" s="2532"/>
      <c r="R5" s="2532"/>
      <c r="S5" s="2532"/>
      <c r="T5" s="2532"/>
      <c r="U5" s="2532"/>
      <c r="V5" s="2532"/>
      <c r="W5" s="2532"/>
      <c r="X5" s="2532"/>
      <c r="Y5" s="2532"/>
      <c r="Z5" s="2532"/>
      <c r="AA5" s="2532"/>
      <c r="AB5" s="2532"/>
      <c r="AC5" s="2532"/>
      <c r="AD5" s="2532"/>
      <c r="AE5" s="2532"/>
      <c r="AF5" s="2532"/>
      <c r="AG5" s="2532"/>
      <c r="AH5" s="2532"/>
      <c r="AI5" s="2532"/>
      <c r="AJ5" s="2532"/>
      <c r="AK5" s="2532"/>
      <c r="AL5" s="2532"/>
      <c r="AM5" s="2532"/>
      <c r="AN5" s="2532"/>
      <c r="AO5" s="2532"/>
      <c r="AP5" s="2532"/>
      <c r="AQ5" s="2532"/>
      <c r="AR5" s="2532"/>
      <c r="AS5" s="2532"/>
      <c r="AT5" s="2532"/>
      <c r="AU5" s="2532"/>
      <c r="AV5" s="2532"/>
      <c r="AW5" s="2532"/>
      <c r="AX5" s="2532"/>
      <c r="AY5" s="2532"/>
      <c r="AZ5" s="2532"/>
      <c r="BA5" s="2532"/>
      <c r="BB5" s="2532"/>
      <c r="BC5" s="2532"/>
      <c r="BD5" s="2532"/>
      <c r="BE5" s="2532"/>
      <c r="BF5" s="2532"/>
      <c r="BG5" s="2532"/>
      <c r="BH5" s="2532"/>
      <c r="BI5" s="2532"/>
      <c r="BJ5" s="2532"/>
      <c r="BK5" s="2532"/>
      <c r="BL5" s="2532"/>
      <c r="BM5" s="2532"/>
      <c r="BN5" s="2532"/>
      <c r="BO5" s="2532"/>
      <c r="BP5" s="2533"/>
      <c r="BQ5" s="394"/>
      <c r="BR5" s="191"/>
      <c r="BS5" s="191"/>
      <c r="BT5" s="191"/>
      <c r="BU5" s="191"/>
      <c r="BV5" s="191"/>
      <c r="BW5" s="191"/>
      <c r="BX5" s="191"/>
      <c r="BY5" s="191"/>
      <c r="BZ5" s="191"/>
      <c r="CA5" s="191"/>
      <c r="CB5" s="191"/>
      <c r="CC5" s="191"/>
      <c r="CD5" s="191"/>
      <c r="CE5" s="191"/>
      <c r="CF5" s="191"/>
      <c r="CG5" s="191"/>
    </row>
    <row r="6" spans="1:85" ht="16.5" thickBot="1" x14ac:dyDescent="0.25">
      <c r="A6" s="2529"/>
      <c r="B6" s="2530"/>
      <c r="C6" s="2530"/>
      <c r="D6" s="2530"/>
      <c r="E6" s="2530"/>
      <c r="F6" s="2530"/>
      <c r="G6" s="2530"/>
      <c r="H6" s="2530"/>
      <c r="I6" s="2530"/>
      <c r="J6" s="2530"/>
      <c r="K6" s="2530"/>
      <c r="L6" s="2530"/>
      <c r="M6" s="196"/>
      <c r="N6" s="395"/>
      <c r="O6" s="396"/>
      <c r="P6" s="397"/>
      <c r="Q6" s="196"/>
      <c r="R6" s="398"/>
      <c r="S6" s="196"/>
      <c r="T6" s="196"/>
      <c r="U6" s="196"/>
      <c r="V6" s="196"/>
      <c r="W6" s="196"/>
      <c r="X6" s="196"/>
      <c r="Y6" s="196"/>
      <c r="Z6" s="196"/>
      <c r="AA6" s="2531" t="s">
        <v>11</v>
      </c>
      <c r="AB6" s="2532"/>
      <c r="AC6" s="2532"/>
      <c r="AD6" s="2532"/>
      <c r="AE6" s="2532"/>
      <c r="AF6" s="2532"/>
      <c r="AG6" s="2532"/>
      <c r="AH6" s="2532"/>
      <c r="AI6" s="2532"/>
      <c r="AJ6" s="2532"/>
      <c r="AK6" s="2532"/>
      <c r="AL6" s="2532"/>
      <c r="AM6" s="2532"/>
      <c r="AN6" s="2532"/>
      <c r="AO6" s="2532"/>
      <c r="AP6" s="2532"/>
      <c r="AQ6" s="2532"/>
      <c r="AR6" s="2532"/>
      <c r="AS6" s="2532"/>
      <c r="AT6" s="2532"/>
      <c r="AU6" s="2532"/>
      <c r="AV6" s="2532"/>
      <c r="AW6" s="2532"/>
      <c r="AX6" s="2532"/>
      <c r="AY6" s="2532"/>
      <c r="AZ6" s="2532"/>
      <c r="BA6" s="2532"/>
      <c r="BB6" s="2532"/>
      <c r="BC6" s="2532"/>
      <c r="BD6" s="196"/>
      <c r="BE6" s="399"/>
      <c r="BF6" s="399"/>
      <c r="BG6" s="399"/>
      <c r="BH6" s="399"/>
      <c r="BI6" s="399"/>
      <c r="BJ6" s="399"/>
      <c r="BK6" s="399"/>
      <c r="BL6" s="399"/>
      <c r="BM6" s="400"/>
      <c r="BN6" s="400"/>
      <c r="BO6" s="400"/>
      <c r="BP6" s="401"/>
      <c r="BQ6" s="402"/>
      <c r="BR6" s="191"/>
      <c r="BS6" s="191"/>
      <c r="BT6" s="191"/>
      <c r="BU6" s="191"/>
      <c r="BV6" s="191"/>
      <c r="BW6" s="191"/>
      <c r="BX6" s="191"/>
      <c r="BY6" s="191"/>
      <c r="BZ6" s="191"/>
      <c r="CA6" s="191"/>
      <c r="CB6" s="191"/>
      <c r="CC6" s="191"/>
      <c r="CD6" s="191"/>
      <c r="CE6" s="191"/>
      <c r="CF6" s="191"/>
      <c r="CG6" s="191"/>
    </row>
    <row r="7" spans="1:85" s="178" customFormat="1" ht="15.75" x14ac:dyDescent="0.2">
      <c r="A7" s="2534" t="s">
        <v>12</v>
      </c>
      <c r="B7" s="2536" t="s">
        <v>13</v>
      </c>
      <c r="C7" s="2537"/>
      <c r="D7" s="2537" t="s">
        <v>12</v>
      </c>
      <c r="E7" s="2536" t="s">
        <v>14</v>
      </c>
      <c r="F7" s="2537"/>
      <c r="G7" s="2537" t="s">
        <v>12</v>
      </c>
      <c r="H7" s="2516" t="s">
        <v>313</v>
      </c>
      <c r="I7" s="2536" t="s">
        <v>15</v>
      </c>
      <c r="J7" s="2516" t="s">
        <v>16</v>
      </c>
      <c r="K7" s="2580" t="s">
        <v>17</v>
      </c>
      <c r="L7" s="2580"/>
      <c r="M7" s="2516" t="s">
        <v>18</v>
      </c>
      <c r="N7" s="2516" t="s">
        <v>19</v>
      </c>
      <c r="O7" s="2516" t="s">
        <v>10</v>
      </c>
      <c r="P7" s="2562" t="s">
        <v>20</v>
      </c>
      <c r="Q7" s="2564" t="s">
        <v>21</v>
      </c>
      <c r="R7" s="2536" t="s">
        <v>22</v>
      </c>
      <c r="S7" s="2536" t="s">
        <v>23</v>
      </c>
      <c r="T7" s="2516" t="s">
        <v>24</v>
      </c>
      <c r="U7" s="2566" t="s">
        <v>21</v>
      </c>
      <c r="V7" s="2566"/>
      <c r="W7" s="2566"/>
      <c r="X7" s="2548" t="s">
        <v>12</v>
      </c>
      <c r="Y7" s="2516" t="s">
        <v>25</v>
      </c>
      <c r="Z7" s="2551" t="s">
        <v>314</v>
      </c>
      <c r="AA7" s="2552"/>
      <c r="AB7" s="2552"/>
      <c r="AC7" s="2553"/>
      <c r="AD7" s="2554" t="s">
        <v>27</v>
      </c>
      <c r="AE7" s="2555"/>
      <c r="AF7" s="2555"/>
      <c r="AG7" s="2555"/>
      <c r="AH7" s="2555"/>
      <c r="AI7" s="2555"/>
      <c r="AJ7" s="2555"/>
      <c r="AK7" s="2556"/>
      <c r="AL7" s="2557" t="s">
        <v>28</v>
      </c>
      <c r="AM7" s="2557"/>
      <c r="AN7" s="2557"/>
      <c r="AO7" s="2557"/>
      <c r="AP7" s="2557"/>
      <c r="AQ7" s="2557"/>
      <c r="AR7" s="2557"/>
      <c r="AS7" s="2557"/>
      <c r="AT7" s="2557"/>
      <c r="AU7" s="2557"/>
      <c r="AV7" s="2557"/>
      <c r="AW7" s="2557"/>
      <c r="AX7" s="2554" t="s">
        <v>29</v>
      </c>
      <c r="AY7" s="2555"/>
      <c r="AZ7" s="2555"/>
      <c r="BA7" s="2555"/>
      <c r="BB7" s="2555"/>
      <c r="BC7" s="2556"/>
      <c r="BD7" s="2576" t="s">
        <v>30</v>
      </c>
      <c r="BE7" s="2576"/>
      <c r="BF7" s="2577" t="s">
        <v>31</v>
      </c>
      <c r="BG7" s="2578"/>
      <c r="BH7" s="2578"/>
      <c r="BI7" s="2578"/>
      <c r="BJ7" s="2578"/>
      <c r="BK7" s="2579"/>
      <c r="BL7" s="2541" t="s">
        <v>32</v>
      </c>
      <c r="BM7" s="2542"/>
      <c r="BN7" s="2541" t="s">
        <v>33</v>
      </c>
      <c r="BO7" s="2542"/>
      <c r="BP7" s="2545" t="s">
        <v>34</v>
      </c>
      <c r="BQ7" s="172"/>
      <c r="BR7" s="172"/>
      <c r="BS7" s="172"/>
      <c r="BT7" s="172"/>
      <c r="BU7" s="172"/>
      <c r="BV7" s="172"/>
      <c r="BW7" s="172"/>
      <c r="BX7" s="172"/>
      <c r="BY7" s="172"/>
      <c r="BZ7" s="172"/>
      <c r="CA7" s="172"/>
      <c r="CB7" s="172"/>
      <c r="CC7" s="172"/>
      <c r="CD7" s="172"/>
      <c r="CE7" s="172"/>
      <c r="CF7" s="172"/>
      <c r="CG7" s="172"/>
    </row>
    <row r="8" spans="1:85" s="178" customFormat="1" ht="119.25" customHeight="1" x14ac:dyDescent="0.2">
      <c r="A8" s="2535"/>
      <c r="B8" s="2538"/>
      <c r="C8" s="2539"/>
      <c r="D8" s="2539"/>
      <c r="E8" s="2538"/>
      <c r="F8" s="2539"/>
      <c r="G8" s="2539"/>
      <c r="H8" s="2517"/>
      <c r="I8" s="2538"/>
      <c r="J8" s="2517"/>
      <c r="K8" s="2516" t="s">
        <v>59</v>
      </c>
      <c r="L8" s="2516" t="s">
        <v>60</v>
      </c>
      <c r="M8" s="2517"/>
      <c r="N8" s="2517"/>
      <c r="O8" s="2517"/>
      <c r="P8" s="2563"/>
      <c r="Q8" s="2565"/>
      <c r="R8" s="2538"/>
      <c r="S8" s="2538"/>
      <c r="T8" s="2517"/>
      <c r="U8" s="2546" t="s">
        <v>315</v>
      </c>
      <c r="V8" s="2546" t="s">
        <v>230</v>
      </c>
      <c r="W8" s="2546" t="s">
        <v>316</v>
      </c>
      <c r="X8" s="2549"/>
      <c r="Y8" s="2517"/>
      <c r="Z8" s="2558" t="s">
        <v>38</v>
      </c>
      <c r="AA8" s="2559"/>
      <c r="AB8" s="2558" t="s">
        <v>39</v>
      </c>
      <c r="AC8" s="2559"/>
      <c r="AD8" s="2560" t="s">
        <v>40</v>
      </c>
      <c r="AE8" s="2561"/>
      <c r="AF8" s="2560" t="s">
        <v>41</v>
      </c>
      <c r="AG8" s="2561"/>
      <c r="AH8" s="2560" t="s">
        <v>42</v>
      </c>
      <c r="AI8" s="2561"/>
      <c r="AJ8" s="2560" t="s">
        <v>43</v>
      </c>
      <c r="AK8" s="2561"/>
      <c r="AL8" s="2575" t="s">
        <v>44</v>
      </c>
      <c r="AM8" s="2575"/>
      <c r="AN8" s="2575" t="s">
        <v>45</v>
      </c>
      <c r="AO8" s="2575"/>
      <c r="AP8" s="2575" t="s">
        <v>46</v>
      </c>
      <c r="AQ8" s="2575"/>
      <c r="AR8" s="2575" t="s">
        <v>47</v>
      </c>
      <c r="AS8" s="2575"/>
      <c r="AT8" s="2575" t="s">
        <v>48</v>
      </c>
      <c r="AU8" s="2575"/>
      <c r="AV8" s="2575" t="s">
        <v>317</v>
      </c>
      <c r="AW8" s="2575"/>
      <c r="AX8" s="2560" t="s">
        <v>50</v>
      </c>
      <c r="AY8" s="2561"/>
      <c r="AZ8" s="2560" t="s">
        <v>51</v>
      </c>
      <c r="BA8" s="2561"/>
      <c r="BB8" s="2560" t="s">
        <v>52</v>
      </c>
      <c r="BC8" s="2561"/>
      <c r="BD8" s="2576"/>
      <c r="BE8" s="2576"/>
      <c r="BF8" s="2568" t="s">
        <v>53</v>
      </c>
      <c r="BG8" s="2567" t="s">
        <v>54</v>
      </c>
      <c r="BH8" s="2568" t="s">
        <v>55</v>
      </c>
      <c r="BI8" s="2569" t="s">
        <v>56</v>
      </c>
      <c r="BJ8" s="2568" t="s">
        <v>57</v>
      </c>
      <c r="BK8" s="2570" t="s">
        <v>58</v>
      </c>
      <c r="BL8" s="2543"/>
      <c r="BM8" s="2544"/>
      <c r="BN8" s="2543"/>
      <c r="BO8" s="2544"/>
      <c r="BP8" s="2545"/>
      <c r="BQ8" s="172"/>
      <c r="BR8" s="172"/>
      <c r="BS8" s="172"/>
      <c r="BT8" s="172"/>
      <c r="BU8" s="172"/>
      <c r="BV8" s="172"/>
      <c r="BW8" s="172"/>
      <c r="BX8" s="172"/>
      <c r="BY8" s="172"/>
      <c r="BZ8" s="172"/>
      <c r="CA8" s="172"/>
      <c r="CB8" s="172"/>
      <c r="CC8" s="172"/>
      <c r="CD8" s="172"/>
      <c r="CE8" s="172"/>
      <c r="CF8" s="172"/>
      <c r="CG8" s="172"/>
    </row>
    <row r="9" spans="1:85" s="178" customFormat="1" ht="15.75" x14ac:dyDescent="0.2">
      <c r="A9" s="2535"/>
      <c r="B9" s="2538"/>
      <c r="C9" s="2539"/>
      <c r="D9" s="2539"/>
      <c r="E9" s="2538"/>
      <c r="F9" s="2539"/>
      <c r="G9" s="2539"/>
      <c r="H9" s="2540"/>
      <c r="I9" s="2538"/>
      <c r="J9" s="2517"/>
      <c r="K9" s="2540"/>
      <c r="L9" s="2540"/>
      <c r="M9" s="2517"/>
      <c r="N9" s="2517"/>
      <c r="O9" s="2517"/>
      <c r="P9" s="2563"/>
      <c r="Q9" s="2565"/>
      <c r="R9" s="2538"/>
      <c r="S9" s="2538"/>
      <c r="T9" s="2517"/>
      <c r="U9" s="2547"/>
      <c r="V9" s="2547"/>
      <c r="W9" s="2547"/>
      <c r="X9" s="2550"/>
      <c r="Y9" s="2517"/>
      <c r="Z9" s="403" t="s">
        <v>59</v>
      </c>
      <c r="AA9" s="403" t="s">
        <v>60</v>
      </c>
      <c r="AB9" s="403" t="s">
        <v>59</v>
      </c>
      <c r="AC9" s="403" t="s">
        <v>60</v>
      </c>
      <c r="AD9" s="403" t="s">
        <v>59</v>
      </c>
      <c r="AE9" s="403" t="s">
        <v>60</v>
      </c>
      <c r="AF9" s="403" t="s">
        <v>59</v>
      </c>
      <c r="AG9" s="403" t="s">
        <v>60</v>
      </c>
      <c r="AH9" s="403" t="s">
        <v>59</v>
      </c>
      <c r="AI9" s="403" t="s">
        <v>60</v>
      </c>
      <c r="AJ9" s="403" t="s">
        <v>59</v>
      </c>
      <c r="AK9" s="403" t="s">
        <v>60</v>
      </c>
      <c r="AL9" s="403" t="s">
        <v>59</v>
      </c>
      <c r="AM9" s="403" t="s">
        <v>60</v>
      </c>
      <c r="AN9" s="403" t="s">
        <v>59</v>
      </c>
      <c r="AO9" s="403" t="s">
        <v>60</v>
      </c>
      <c r="AP9" s="403" t="s">
        <v>59</v>
      </c>
      <c r="AQ9" s="403" t="s">
        <v>60</v>
      </c>
      <c r="AR9" s="403" t="s">
        <v>59</v>
      </c>
      <c r="AS9" s="403" t="s">
        <v>60</v>
      </c>
      <c r="AT9" s="403" t="s">
        <v>59</v>
      </c>
      <c r="AU9" s="403" t="s">
        <v>60</v>
      </c>
      <c r="AV9" s="403" t="s">
        <v>59</v>
      </c>
      <c r="AW9" s="403" t="s">
        <v>60</v>
      </c>
      <c r="AX9" s="403" t="s">
        <v>59</v>
      </c>
      <c r="AY9" s="403" t="s">
        <v>60</v>
      </c>
      <c r="AZ9" s="403" t="s">
        <v>59</v>
      </c>
      <c r="BA9" s="403" t="s">
        <v>60</v>
      </c>
      <c r="BB9" s="403" t="s">
        <v>59</v>
      </c>
      <c r="BC9" s="403" t="s">
        <v>60</v>
      </c>
      <c r="BD9" s="403" t="s">
        <v>59</v>
      </c>
      <c r="BE9" s="403" t="s">
        <v>60</v>
      </c>
      <c r="BF9" s="2568"/>
      <c r="BG9" s="2567"/>
      <c r="BH9" s="2568"/>
      <c r="BI9" s="2569"/>
      <c r="BJ9" s="2568"/>
      <c r="BK9" s="2571"/>
      <c r="BL9" s="403" t="s">
        <v>59</v>
      </c>
      <c r="BM9" s="403" t="s">
        <v>60</v>
      </c>
      <c r="BN9" s="403" t="s">
        <v>59</v>
      </c>
      <c r="BO9" s="403" t="s">
        <v>60</v>
      </c>
      <c r="BP9" s="2545"/>
      <c r="BQ9" s="172"/>
      <c r="BR9" s="172"/>
      <c r="BS9" s="172"/>
      <c r="BT9" s="172"/>
      <c r="BU9" s="172"/>
      <c r="BV9" s="172"/>
      <c r="BW9" s="172"/>
      <c r="BX9" s="172"/>
      <c r="BY9" s="172"/>
      <c r="BZ9" s="172"/>
      <c r="CA9" s="172"/>
      <c r="CB9" s="172"/>
      <c r="CC9" s="172"/>
      <c r="CD9" s="172"/>
      <c r="CE9" s="172"/>
      <c r="CF9" s="172"/>
      <c r="CG9" s="172"/>
    </row>
    <row r="10" spans="1:85" s="4" customFormat="1" ht="15.75" x14ac:dyDescent="0.2">
      <c r="A10" s="203">
        <v>4</v>
      </c>
      <c r="B10" s="404" t="s">
        <v>62</v>
      </c>
      <c r="C10" s="405"/>
      <c r="D10" s="34"/>
      <c r="E10" s="34"/>
      <c r="F10" s="34"/>
      <c r="G10" s="34"/>
      <c r="H10" s="34"/>
      <c r="I10" s="35"/>
      <c r="J10" s="34"/>
      <c r="K10" s="34"/>
      <c r="L10" s="34"/>
      <c r="M10" s="34"/>
      <c r="N10" s="37"/>
      <c r="O10" s="36"/>
      <c r="P10" s="38"/>
      <c r="Q10" s="39"/>
      <c r="R10" s="35"/>
      <c r="S10" s="35"/>
      <c r="T10" s="35"/>
      <c r="U10" s="406"/>
      <c r="V10" s="407"/>
      <c r="W10" s="407"/>
      <c r="X10" s="408"/>
      <c r="Y10" s="37"/>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409"/>
      <c r="BM10" s="409"/>
      <c r="BN10" s="409"/>
      <c r="BO10" s="409"/>
      <c r="BP10" s="35"/>
      <c r="BQ10" s="3"/>
      <c r="BR10" s="3"/>
      <c r="BS10" s="3"/>
      <c r="BT10" s="3"/>
      <c r="BU10" s="3"/>
      <c r="BV10" s="3"/>
      <c r="BW10" s="3"/>
      <c r="BX10" s="3"/>
      <c r="BY10" s="3"/>
      <c r="BZ10" s="3"/>
      <c r="CA10" s="3"/>
      <c r="CB10" s="3"/>
      <c r="CC10" s="3"/>
      <c r="CD10" s="3"/>
      <c r="CE10" s="3"/>
      <c r="CF10" s="3"/>
      <c r="CG10" s="3"/>
    </row>
    <row r="11" spans="1:85" s="3" customFormat="1" ht="15.75" x14ac:dyDescent="0.2">
      <c r="A11" s="2572"/>
      <c r="B11" s="2573"/>
      <c r="C11" s="2574"/>
      <c r="D11" s="218">
        <v>45</v>
      </c>
      <c r="E11" s="410" t="s">
        <v>89</v>
      </c>
      <c r="F11" s="411"/>
      <c r="G11" s="411"/>
      <c r="H11" s="411"/>
      <c r="I11" s="412"/>
      <c r="J11" s="413"/>
      <c r="K11" s="413"/>
      <c r="L11" s="413"/>
      <c r="M11" s="413"/>
      <c r="N11" s="414"/>
      <c r="O11" s="415"/>
      <c r="P11" s="416"/>
      <c r="Q11" s="417"/>
      <c r="R11" s="418"/>
      <c r="S11" s="418"/>
      <c r="T11" s="418"/>
      <c r="U11" s="419"/>
      <c r="V11" s="420"/>
      <c r="W11" s="420"/>
      <c r="X11" s="421"/>
      <c r="Y11" s="422"/>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3"/>
      <c r="BA11" s="413"/>
      <c r="BB11" s="413"/>
      <c r="BC11" s="413"/>
      <c r="BD11" s="413"/>
      <c r="BE11" s="413"/>
      <c r="BF11" s="413"/>
      <c r="BG11" s="413"/>
      <c r="BH11" s="413"/>
      <c r="BI11" s="413"/>
      <c r="BJ11" s="413"/>
      <c r="BK11" s="413"/>
      <c r="BL11" s="423"/>
      <c r="BM11" s="423"/>
      <c r="BN11" s="423"/>
      <c r="BO11" s="423"/>
      <c r="BP11" s="418"/>
    </row>
    <row r="12" spans="1:85" s="3" customFormat="1" ht="55.5" customHeight="1" x14ac:dyDescent="0.2">
      <c r="A12" s="424"/>
      <c r="B12" s="425"/>
      <c r="C12" s="425"/>
      <c r="D12" s="426"/>
      <c r="E12" s="427"/>
      <c r="F12" s="428"/>
      <c r="G12" s="2591" t="s">
        <v>64</v>
      </c>
      <c r="H12" s="2592" t="s">
        <v>187</v>
      </c>
      <c r="I12" s="2593" t="s">
        <v>318</v>
      </c>
      <c r="J12" s="2585" t="s">
        <v>189</v>
      </c>
      <c r="K12" s="2594">
        <v>5</v>
      </c>
      <c r="L12" s="2581">
        <v>5</v>
      </c>
      <c r="M12" s="2581" t="s">
        <v>1540</v>
      </c>
      <c r="N12" s="2583" t="s">
        <v>319</v>
      </c>
      <c r="O12" s="2585" t="s">
        <v>320</v>
      </c>
      <c r="P12" s="2587">
        <f>SUM(U12:U14)/Q12</f>
        <v>1</v>
      </c>
      <c r="Q12" s="2589">
        <f>SUM(U12:U14)</f>
        <v>30000000</v>
      </c>
      <c r="R12" s="2585" t="s">
        <v>321</v>
      </c>
      <c r="S12" s="2585" t="s">
        <v>322</v>
      </c>
      <c r="T12" s="429" t="s">
        <v>323</v>
      </c>
      <c r="U12" s="430">
        <v>11000000</v>
      </c>
      <c r="V12" s="431">
        <f>5786666+3306666+383333</f>
        <v>9476665</v>
      </c>
      <c r="W12" s="431">
        <f>5786666+3306666+383333</f>
        <v>9476665</v>
      </c>
      <c r="X12" s="432">
        <v>88</v>
      </c>
      <c r="Y12" s="1996" t="s">
        <v>411</v>
      </c>
      <c r="Z12" s="2599">
        <v>295972</v>
      </c>
      <c r="AA12" s="2599">
        <v>295972</v>
      </c>
      <c r="AB12" s="2597">
        <v>285580</v>
      </c>
      <c r="AC12" s="2597">
        <v>285580</v>
      </c>
      <c r="AD12" s="2597">
        <v>135545</v>
      </c>
      <c r="AE12" s="2597">
        <v>135545</v>
      </c>
      <c r="AF12" s="2597">
        <v>44254</v>
      </c>
      <c r="AG12" s="2597">
        <v>44254</v>
      </c>
      <c r="AH12" s="2597">
        <v>309146</v>
      </c>
      <c r="AI12" s="2597">
        <v>309146</v>
      </c>
      <c r="AJ12" s="2597">
        <v>92607</v>
      </c>
      <c r="AK12" s="2597">
        <v>92607</v>
      </c>
      <c r="AL12" s="2597">
        <v>2145</v>
      </c>
      <c r="AM12" s="2597">
        <v>2145</v>
      </c>
      <c r="AN12" s="2597">
        <v>12718</v>
      </c>
      <c r="AO12" s="2597">
        <v>12718</v>
      </c>
      <c r="AP12" s="2601">
        <v>26</v>
      </c>
      <c r="AQ12" s="2601">
        <v>26</v>
      </c>
      <c r="AR12" s="2601">
        <v>37</v>
      </c>
      <c r="AS12" s="2601">
        <v>37</v>
      </c>
      <c r="AT12" s="2601">
        <v>0</v>
      </c>
      <c r="AU12" s="2601">
        <v>0</v>
      </c>
      <c r="AV12" s="2601">
        <v>0</v>
      </c>
      <c r="AW12" s="2601">
        <v>0</v>
      </c>
      <c r="AX12" s="2597">
        <v>0</v>
      </c>
      <c r="AY12" s="2601">
        <v>0</v>
      </c>
      <c r="AZ12" s="2597">
        <v>21944</v>
      </c>
      <c r="BA12" s="2597">
        <v>21944</v>
      </c>
      <c r="BB12" s="2597">
        <v>75687</v>
      </c>
      <c r="BC12" s="2597">
        <v>75687</v>
      </c>
      <c r="BD12" s="2602">
        <f>+Z12+AB12</f>
        <v>581552</v>
      </c>
      <c r="BE12" s="2602">
        <f>+AA12+AC12</f>
        <v>581552</v>
      </c>
      <c r="BF12" s="2602">
        <v>6</v>
      </c>
      <c r="BG12" s="2605">
        <f>SUM(V12:V14)</f>
        <v>26916665</v>
      </c>
      <c r="BH12" s="2605">
        <f>SUM(W12:W14)</f>
        <v>26916665</v>
      </c>
      <c r="BI12" s="2627">
        <f>+BH12/BG12</f>
        <v>1</v>
      </c>
      <c r="BJ12" s="2585" t="s">
        <v>324</v>
      </c>
      <c r="BK12" s="2585" t="s">
        <v>325</v>
      </c>
      <c r="BL12" s="2631">
        <v>44033</v>
      </c>
      <c r="BM12" s="2631">
        <v>44064</v>
      </c>
      <c r="BN12" s="2631">
        <v>44195</v>
      </c>
      <c r="BO12" s="2612">
        <v>44193</v>
      </c>
      <c r="BP12" s="2615" t="s">
        <v>326</v>
      </c>
      <c r="BQ12" s="433"/>
    </row>
    <row r="13" spans="1:85" s="3" customFormat="1" ht="55.5" customHeight="1" x14ac:dyDescent="0.2">
      <c r="A13" s="424"/>
      <c r="B13" s="425"/>
      <c r="C13" s="425"/>
      <c r="D13" s="424"/>
      <c r="E13" s="425"/>
      <c r="F13" s="434"/>
      <c r="G13" s="2591"/>
      <c r="H13" s="2592"/>
      <c r="I13" s="2593"/>
      <c r="J13" s="2586"/>
      <c r="K13" s="2595"/>
      <c r="L13" s="2582"/>
      <c r="M13" s="2582"/>
      <c r="N13" s="2584"/>
      <c r="O13" s="2586"/>
      <c r="P13" s="2588"/>
      <c r="Q13" s="2590"/>
      <c r="R13" s="2586"/>
      <c r="S13" s="2586"/>
      <c r="T13" s="435" t="s">
        <v>327</v>
      </c>
      <c r="U13" s="430">
        <v>10000000</v>
      </c>
      <c r="V13" s="431">
        <f>6300000+3173333+526667</f>
        <v>10000000</v>
      </c>
      <c r="W13" s="431">
        <f>6300000+3173333+526667</f>
        <v>10000000</v>
      </c>
      <c r="X13" s="432">
        <v>88</v>
      </c>
      <c r="Y13" s="1996" t="s">
        <v>411</v>
      </c>
      <c r="Z13" s="2600"/>
      <c r="AA13" s="2600"/>
      <c r="AB13" s="2598"/>
      <c r="AC13" s="2598"/>
      <c r="AD13" s="2598"/>
      <c r="AE13" s="2598"/>
      <c r="AF13" s="2598"/>
      <c r="AG13" s="2598"/>
      <c r="AH13" s="2598"/>
      <c r="AI13" s="2598"/>
      <c r="AJ13" s="2598"/>
      <c r="AK13" s="2598"/>
      <c r="AL13" s="2598"/>
      <c r="AM13" s="2598"/>
      <c r="AN13" s="2598"/>
      <c r="AO13" s="2598"/>
      <c r="AP13" s="2598"/>
      <c r="AQ13" s="2598"/>
      <c r="AR13" s="2598"/>
      <c r="AS13" s="2598"/>
      <c r="AT13" s="2598"/>
      <c r="AU13" s="2598"/>
      <c r="AV13" s="2598"/>
      <c r="AW13" s="2598"/>
      <c r="AX13" s="2598"/>
      <c r="AY13" s="2598"/>
      <c r="AZ13" s="2598"/>
      <c r="BA13" s="2598"/>
      <c r="BB13" s="2598"/>
      <c r="BC13" s="2598"/>
      <c r="BD13" s="2603"/>
      <c r="BE13" s="2603"/>
      <c r="BF13" s="2603"/>
      <c r="BG13" s="2606"/>
      <c r="BH13" s="2606"/>
      <c r="BI13" s="2628"/>
      <c r="BJ13" s="2586"/>
      <c r="BK13" s="2586"/>
      <c r="BL13" s="2632"/>
      <c r="BM13" s="2632"/>
      <c r="BN13" s="2632"/>
      <c r="BO13" s="2613"/>
      <c r="BP13" s="2616"/>
      <c r="BQ13" s="433"/>
    </row>
    <row r="14" spans="1:85" s="3" customFormat="1" ht="55.5" customHeight="1" x14ac:dyDescent="0.2">
      <c r="A14" s="424"/>
      <c r="B14" s="425"/>
      <c r="C14" s="425"/>
      <c r="D14" s="424"/>
      <c r="E14" s="425"/>
      <c r="F14" s="434"/>
      <c r="G14" s="2591"/>
      <c r="H14" s="2592"/>
      <c r="I14" s="2593"/>
      <c r="J14" s="2586"/>
      <c r="K14" s="2596"/>
      <c r="L14" s="2582"/>
      <c r="M14" s="2582"/>
      <c r="N14" s="2584"/>
      <c r="O14" s="2586"/>
      <c r="P14" s="2588"/>
      <c r="Q14" s="2590"/>
      <c r="R14" s="2586"/>
      <c r="S14" s="2586"/>
      <c r="T14" s="436" t="s">
        <v>328</v>
      </c>
      <c r="U14" s="437">
        <v>9000000</v>
      </c>
      <c r="V14" s="431">
        <f>4860000+1920000+660000</f>
        <v>7440000</v>
      </c>
      <c r="W14" s="431">
        <f>4860000+1920000+660000</f>
        <v>7440000</v>
      </c>
      <c r="X14" s="438">
        <v>88</v>
      </c>
      <c r="Y14" s="1996" t="s">
        <v>411</v>
      </c>
      <c r="Z14" s="2600"/>
      <c r="AA14" s="2600"/>
      <c r="AB14" s="2598"/>
      <c r="AC14" s="2598"/>
      <c r="AD14" s="2598"/>
      <c r="AE14" s="2598"/>
      <c r="AF14" s="2598"/>
      <c r="AG14" s="2598"/>
      <c r="AH14" s="2598"/>
      <c r="AI14" s="2598"/>
      <c r="AJ14" s="2598"/>
      <c r="AK14" s="2598"/>
      <c r="AL14" s="2598"/>
      <c r="AM14" s="2598"/>
      <c r="AN14" s="2598"/>
      <c r="AO14" s="2598"/>
      <c r="AP14" s="2598"/>
      <c r="AQ14" s="2598"/>
      <c r="AR14" s="2598"/>
      <c r="AS14" s="2598"/>
      <c r="AT14" s="2598"/>
      <c r="AU14" s="2598"/>
      <c r="AV14" s="2598"/>
      <c r="AW14" s="2598"/>
      <c r="AX14" s="2598"/>
      <c r="AY14" s="2598"/>
      <c r="AZ14" s="2598"/>
      <c r="BA14" s="2598"/>
      <c r="BB14" s="2598"/>
      <c r="BC14" s="2598"/>
      <c r="BD14" s="2603"/>
      <c r="BE14" s="2603"/>
      <c r="BF14" s="2604"/>
      <c r="BG14" s="2607"/>
      <c r="BH14" s="2607"/>
      <c r="BI14" s="2629"/>
      <c r="BJ14" s="2630"/>
      <c r="BK14" s="2630"/>
      <c r="BL14" s="2632"/>
      <c r="BM14" s="2633"/>
      <c r="BN14" s="2632"/>
      <c r="BO14" s="2614"/>
      <c r="BP14" s="2616"/>
      <c r="BQ14" s="433"/>
    </row>
    <row r="15" spans="1:85" s="3" customFormat="1" ht="42.75" customHeight="1" x14ac:dyDescent="0.2">
      <c r="A15" s="424"/>
      <c r="B15" s="425"/>
      <c r="C15" s="425"/>
      <c r="D15" s="424"/>
      <c r="E15" s="425"/>
      <c r="F15" s="434"/>
      <c r="G15" s="2617" t="s">
        <v>64</v>
      </c>
      <c r="H15" s="2619" t="s">
        <v>329</v>
      </c>
      <c r="I15" s="2621" t="s">
        <v>330</v>
      </c>
      <c r="J15" s="2608" t="s">
        <v>331</v>
      </c>
      <c r="K15" s="2622">
        <v>4</v>
      </c>
      <c r="L15" s="2625">
        <v>4</v>
      </c>
      <c r="M15" s="2625" t="s">
        <v>1538</v>
      </c>
      <c r="N15" s="2626" t="s">
        <v>332</v>
      </c>
      <c r="O15" s="2608" t="s">
        <v>333</v>
      </c>
      <c r="P15" s="2609">
        <f>SUM(U15:U17)/Q15</f>
        <v>1</v>
      </c>
      <c r="Q15" s="2610">
        <f>SUM(U15:U17)</f>
        <v>15702140</v>
      </c>
      <c r="R15" s="2608" t="s">
        <v>321</v>
      </c>
      <c r="S15" s="2608" t="s">
        <v>334</v>
      </c>
      <c r="T15" s="429" t="s">
        <v>335</v>
      </c>
      <c r="U15" s="439">
        <v>5234046</v>
      </c>
      <c r="V15" s="440">
        <f>2800000+902222+871111+653333</f>
        <v>5226666</v>
      </c>
      <c r="W15" s="440">
        <f>2800000+902222+871111+653333</f>
        <v>5226666</v>
      </c>
      <c r="X15" s="441">
        <v>88</v>
      </c>
      <c r="Y15" s="1996" t="s">
        <v>411</v>
      </c>
      <c r="Z15" s="2611">
        <v>2476</v>
      </c>
      <c r="AA15" s="2635">
        <v>2476</v>
      </c>
      <c r="AB15" s="2634">
        <v>3918</v>
      </c>
      <c r="AC15" s="2635">
        <v>3918</v>
      </c>
      <c r="AD15" s="2634">
        <v>0</v>
      </c>
      <c r="AE15" s="2635">
        <v>0</v>
      </c>
      <c r="AF15" s="2634">
        <v>0</v>
      </c>
      <c r="AG15" s="2635">
        <v>0</v>
      </c>
      <c r="AH15" s="2634">
        <v>0</v>
      </c>
      <c r="AI15" s="2635">
        <v>0</v>
      </c>
      <c r="AJ15" s="2634">
        <v>0</v>
      </c>
      <c r="AK15" s="2635">
        <v>0</v>
      </c>
      <c r="AL15" s="2635">
        <v>0</v>
      </c>
      <c r="AM15" s="2635">
        <v>0</v>
      </c>
      <c r="AN15" s="2634">
        <v>0</v>
      </c>
      <c r="AO15" s="2635">
        <v>0</v>
      </c>
      <c r="AP15" s="2635">
        <v>0</v>
      </c>
      <c r="AQ15" s="2635">
        <v>0</v>
      </c>
      <c r="AR15" s="2635">
        <v>0</v>
      </c>
      <c r="AS15" s="2635">
        <v>0</v>
      </c>
      <c r="AT15" s="2635">
        <v>0</v>
      </c>
      <c r="AU15" s="2635">
        <v>0</v>
      </c>
      <c r="AV15" s="2635">
        <v>0</v>
      </c>
      <c r="AW15" s="2635">
        <v>0</v>
      </c>
      <c r="AX15" s="2635">
        <v>0</v>
      </c>
      <c r="AY15" s="2635">
        <v>0</v>
      </c>
      <c r="AZ15" s="2635">
        <v>0</v>
      </c>
      <c r="BA15" s="2635">
        <v>0</v>
      </c>
      <c r="BB15" s="2635">
        <v>0</v>
      </c>
      <c r="BC15" s="2635">
        <v>0</v>
      </c>
      <c r="BD15" s="2635">
        <f>+Z15+AB15</f>
        <v>6394</v>
      </c>
      <c r="BE15" s="2635">
        <v>6394</v>
      </c>
      <c r="BF15" s="2635">
        <v>3</v>
      </c>
      <c r="BG15" s="2639">
        <f>SUM(V15:V17)</f>
        <v>15679999</v>
      </c>
      <c r="BH15" s="2639">
        <f>SUM(W15:W17)</f>
        <v>15679999</v>
      </c>
      <c r="BI15" s="2642">
        <f>+BH15/BG15</f>
        <v>1</v>
      </c>
      <c r="BJ15" s="2645" t="s">
        <v>324</v>
      </c>
      <c r="BK15" s="2651" t="s">
        <v>336</v>
      </c>
      <c r="BL15" s="2654">
        <v>44033</v>
      </c>
      <c r="BM15" s="2655">
        <v>44051</v>
      </c>
      <c r="BN15" s="2654">
        <v>44195</v>
      </c>
      <c r="BO15" s="2612">
        <v>44193</v>
      </c>
      <c r="BP15" s="2638" t="s">
        <v>337</v>
      </c>
      <c r="BQ15" s="433"/>
    </row>
    <row r="16" spans="1:85" s="3" customFormat="1" ht="42.75" customHeight="1" x14ac:dyDescent="0.2">
      <c r="A16" s="424"/>
      <c r="B16" s="425"/>
      <c r="C16" s="425"/>
      <c r="D16" s="424"/>
      <c r="E16" s="425"/>
      <c r="F16" s="434"/>
      <c r="G16" s="2618"/>
      <c r="H16" s="2620"/>
      <c r="I16" s="2608"/>
      <c r="J16" s="2608"/>
      <c r="K16" s="2623"/>
      <c r="L16" s="2625"/>
      <c r="M16" s="2625"/>
      <c r="N16" s="2626"/>
      <c r="O16" s="2608"/>
      <c r="P16" s="2609"/>
      <c r="Q16" s="2610"/>
      <c r="R16" s="2608"/>
      <c r="S16" s="2608"/>
      <c r="T16" s="435" t="s">
        <v>338</v>
      </c>
      <c r="U16" s="442">
        <v>5234048</v>
      </c>
      <c r="V16" s="440">
        <f>2800000+902222+871111+653334</f>
        <v>5226667</v>
      </c>
      <c r="W16" s="440">
        <f>2800000+902222+871111+653334</f>
        <v>5226667</v>
      </c>
      <c r="X16" s="441">
        <v>88</v>
      </c>
      <c r="Y16" s="1996" t="s">
        <v>411</v>
      </c>
      <c r="Z16" s="2611"/>
      <c r="AA16" s="2636"/>
      <c r="AB16" s="2634"/>
      <c r="AC16" s="2636"/>
      <c r="AD16" s="2634"/>
      <c r="AE16" s="2636"/>
      <c r="AF16" s="2634"/>
      <c r="AG16" s="2636"/>
      <c r="AH16" s="2634"/>
      <c r="AI16" s="2636"/>
      <c r="AJ16" s="2634"/>
      <c r="AK16" s="2636"/>
      <c r="AL16" s="2636"/>
      <c r="AM16" s="2636"/>
      <c r="AN16" s="2634"/>
      <c r="AO16" s="2636"/>
      <c r="AP16" s="2636"/>
      <c r="AQ16" s="2636"/>
      <c r="AR16" s="2636"/>
      <c r="AS16" s="2636"/>
      <c r="AT16" s="2636"/>
      <c r="AU16" s="2636"/>
      <c r="AV16" s="2636"/>
      <c r="AW16" s="2636"/>
      <c r="AX16" s="2636"/>
      <c r="AY16" s="2636"/>
      <c r="AZ16" s="2636"/>
      <c r="BA16" s="2636"/>
      <c r="BB16" s="2636"/>
      <c r="BC16" s="2636"/>
      <c r="BD16" s="2636"/>
      <c r="BE16" s="2636"/>
      <c r="BF16" s="2636"/>
      <c r="BG16" s="2640"/>
      <c r="BH16" s="2640"/>
      <c r="BI16" s="2643"/>
      <c r="BJ16" s="2646"/>
      <c r="BK16" s="2652"/>
      <c r="BL16" s="2654"/>
      <c r="BM16" s="2656"/>
      <c r="BN16" s="2654"/>
      <c r="BO16" s="2613"/>
      <c r="BP16" s="2638"/>
      <c r="BQ16" s="433"/>
    </row>
    <row r="17" spans="1:69" s="3" customFormat="1" ht="42.75" customHeight="1" x14ac:dyDescent="0.2">
      <c r="A17" s="424"/>
      <c r="B17" s="425"/>
      <c r="C17" s="425"/>
      <c r="D17" s="443"/>
      <c r="E17" s="444"/>
      <c r="F17" s="445"/>
      <c r="G17" s="2618"/>
      <c r="H17" s="2620"/>
      <c r="I17" s="2608"/>
      <c r="J17" s="2608"/>
      <c r="K17" s="2624"/>
      <c r="L17" s="2625"/>
      <c r="M17" s="2625"/>
      <c r="N17" s="2626"/>
      <c r="O17" s="2608"/>
      <c r="P17" s="2609"/>
      <c r="Q17" s="2610"/>
      <c r="R17" s="2608"/>
      <c r="S17" s="2608"/>
      <c r="T17" s="435" t="s">
        <v>339</v>
      </c>
      <c r="U17" s="442">
        <v>5234046</v>
      </c>
      <c r="V17" s="440">
        <f>2800000+902222+871111+653333</f>
        <v>5226666</v>
      </c>
      <c r="W17" s="440">
        <f>2800000+902222+871111+653333</f>
        <v>5226666</v>
      </c>
      <c r="X17" s="441">
        <v>88</v>
      </c>
      <c r="Y17" s="1996" t="s">
        <v>411</v>
      </c>
      <c r="Z17" s="2611"/>
      <c r="AA17" s="2637"/>
      <c r="AB17" s="2634"/>
      <c r="AC17" s="2637"/>
      <c r="AD17" s="2634"/>
      <c r="AE17" s="2637"/>
      <c r="AF17" s="2634"/>
      <c r="AG17" s="2637"/>
      <c r="AH17" s="2634"/>
      <c r="AI17" s="2637"/>
      <c r="AJ17" s="2634"/>
      <c r="AK17" s="2637"/>
      <c r="AL17" s="2637"/>
      <c r="AM17" s="2637"/>
      <c r="AN17" s="2634"/>
      <c r="AO17" s="2637"/>
      <c r="AP17" s="2637"/>
      <c r="AQ17" s="2637"/>
      <c r="AR17" s="2637"/>
      <c r="AS17" s="2637"/>
      <c r="AT17" s="2637"/>
      <c r="AU17" s="2637"/>
      <c r="AV17" s="2637"/>
      <c r="AW17" s="2637"/>
      <c r="AX17" s="2637"/>
      <c r="AY17" s="2637"/>
      <c r="AZ17" s="2637"/>
      <c r="BA17" s="2637"/>
      <c r="BB17" s="2637"/>
      <c r="BC17" s="2637"/>
      <c r="BD17" s="2637"/>
      <c r="BE17" s="2637"/>
      <c r="BF17" s="2637"/>
      <c r="BG17" s="2641"/>
      <c r="BH17" s="2641"/>
      <c r="BI17" s="2644"/>
      <c r="BJ17" s="2621"/>
      <c r="BK17" s="2653"/>
      <c r="BL17" s="2654"/>
      <c r="BM17" s="2657"/>
      <c r="BN17" s="2654"/>
      <c r="BO17" s="2614"/>
      <c r="BP17" s="2638"/>
      <c r="BQ17" s="433"/>
    </row>
    <row r="18" spans="1:69" s="3" customFormat="1" ht="15.75" x14ac:dyDescent="0.2">
      <c r="A18" s="2647"/>
      <c r="B18" s="2648"/>
      <c r="C18" s="2649"/>
      <c r="D18" s="446">
        <v>42</v>
      </c>
      <c r="E18" s="447" t="s">
        <v>63</v>
      </c>
      <c r="F18" s="448"/>
      <c r="G18" s="84"/>
      <c r="H18" s="84"/>
      <c r="I18" s="85"/>
      <c r="J18" s="85"/>
      <c r="K18" s="85"/>
      <c r="L18" s="86"/>
      <c r="M18" s="86"/>
      <c r="N18" s="84"/>
      <c r="O18" s="85"/>
      <c r="P18" s="449"/>
      <c r="Q18" s="450"/>
      <c r="R18" s="85"/>
      <c r="S18" s="85"/>
      <c r="T18" s="85"/>
      <c r="U18" s="451"/>
      <c r="V18" s="452"/>
      <c r="W18" s="452"/>
      <c r="X18" s="453"/>
      <c r="Y18" s="615"/>
      <c r="Z18" s="455"/>
      <c r="AA18" s="455"/>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456"/>
      <c r="BH18" s="456"/>
      <c r="BI18" s="457"/>
      <c r="BJ18" s="91"/>
      <c r="BK18" s="91"/>
      <c r="BL18" s="90"/>
      <c r="BM18" s="90"/>
      <c r="BN18" s="90"/>
      <c r="BO18" s="90"/>
      <c r="BP18" s="91"/>
      <c r="BQ18" s="433"/>
    </row>
    <row r="19" spans="1:69" s="3" customFormat="1" ht="99.75" customHeight="1" x14ac:dyDescent="0.2">
      <c r="A19" s="424"/>
      <c r="B19" s="425"/>
      <c r="C19" s="434"/>
      <c r="D19" s="458"/>
      <c r="E19" s="458"/>
      <c r="F19" s="459"/>
      <c r="G19" s="186" t="s">
        <v>64</v>
      </c>
      <c r="H19" s="1862" t="s">
        <v>340</v>
      </c>
      <c r="I19" s="296" t="s">
        <v>341</v>
      </c>
      <c r="J19" s="359" t="s">
        <v>342</v>
      </c>
      <c r="K19" s="126">
        <v>1</v>
      </c>
      <c r="L19" s="188">
        <v>1</v>
      </c>
      <c r="M19" s="1860" t="s">
        <v>1539</v>
      </c>
      <c r="N19" s="186" t="s">
        <v>343</v>
      </c>
      <c r="O19" s="296" t="s">
        <v>344</v>
      </c>
      <c r="P19" s="119">
        <f>SUM(U19)/Q19</f>
        <v>1</v>
      </c>
      <c r="Q19" s="460">
        <f>SUM(U19)</f>
        <v>30000000</v>
      </c>
      <c r="R19" s="429" t="s">
        <v>345</v>
      </c>
      <c r="S19" s="296" t="s">
        <v>346</v>
      </c>
      <c r="T19" s="296" t="s">
        <v>347</v>
      </c>
      <c r="U19" s="430">
        <v>30000000</v>
      </c>
      <c r="V19" s="461">
        <v>27875077</v>
      </c>
      <c r="W19" s="461">
        <v>27875077</v>
      </c>
      <c r="X19" s="432">
        <v>88</v>
      </c>
      <c r="Y19" s="1996" t="s">
        <v>411</v>
      </c>
      <c r="Z19" s="462">
        <v>295972</v>
      </c>
      <c r="AA19" s="462"/>
      <c r="AB19" s="463">
        <v>285580</v>
      </c>
      <c r="AC19" s="463"/>
      <c r="AD19" s="463">
        <v>135545</v>
      </c>
      <c r="AE19" s="463"/>
      <c r="AF19" s="463">
        <v>44254</v>
      </c>
      <c r="AG19" s="463"/>
      <c r="AH19" s="463">
        <v>309146</v>
      </c>
      <c r="AI19" s="463"/>
      <c r="AJ19" s="463">
        <v>92607</v>
      </c>
      <c r="AK19" s="463"/>
      <c r="AL19" s="362">
        <v>2145</v>
      </c>
      <c r="AM19" s="362"/>
      <c r="AN19" s="362">
        <v>12718</v>
      </c>
      <c r="AO19" s="362"/>
      <c r="AP19" s="362">
        <v>26</v>
      </c>
      <c r="AQ19" s="362"/>
      <c r="AR19" s="362">
        <v>37</v>
      </c>
      <c r="AS19" s="362"/>
      <c r="AT19" s="362">
        <v>0</v>
      </c>
      <c r="AU19" s="362"/>
      <c r="AV19" s="362">
        <v>0</v>
      </c>
      <c r="AW19" s="362"/>
      <c r="AX19" s="463">
        <v>44350</v>
      </c>
      <c r="AY19" s="463"/>
      <c r="AZ19" s="362">
        <v>21944</v>
      </c>
      <c r="BA19" s="362"/>
      <c r="BB19" s="463">
        <v>75687</v>
      </c>
      <c r="BC19" s="463"/>
      <c r="BD19" s="126">
        <v>581552</v>
      </c>
      <c r="BE19" s="126"/>
      <c r="BF19" s="126">
        <v>4</v>
      </c>
      <c r="BG19" s="464">
        <f>V19</f>
        <v>27875077</v>
      </c>
      <c r="BH19" s="464">
        <f>W19</f>
        <v>27875077</v>
      </c>
      <c r="BI19" s="465">
        <f>+BH19/BG19</f>
        <v>1</v>
      </c>
      <c r="BJ19" s="296" t="s">
        <v>324</v>
      </c>
      <c r="BK19" s="296" t="s">
        <v>348</v>
      </c>
      <c r="BL19" s="336">
        <v>44033</v>
      </c>
      <c r="BM19" s="466">
        <v>44153</v>
      </c>
      <c r="BN19" s="185">
        <v>44195</v>
      </c>
      <c r="BO19" s="467">
        <v>44193</v>
      </c>
      <c r="BP19" s="247" t="s">
        <v>326</v>
      </c>
      <c r="BQ19" s="433"/>
    </row>
    <row r="20" spans="1:69" s="4" customFormat="1" ht="18.75" customHeight="1" x14ac:dyDescent="0.2">
      <c r="A20" s="349"/>
      <c r="B20" s="350"/>
      <c r="C20" s="351"/>
      <c r="D20" s="352"/>
      <c r="E20" s="352"/>
      <c r="F20" s="353"/>
      <c r="G20" s="323"/>
      <c r="H20" s="468"/>
      <c r="I20" s="356"/>
      <c r="J20" s="468"/>
      <c r="K20" s="468"/>
      <c r="L20" s="468"/>
      <c r="M20" s="468"/>
      <c r="N20" s="355"/>
      <c r="O20" s="187"/>
      <c r="P20" s="469"/>
      <c r="Q20" s="470">
        <f>SUM(Q12:Q19)</f>
        <v>75702140</v>
      </c>
      <c r="R20" s="359"/>
      <c r="S20" s="359"/>
      <c r="T20" s="359"/>
      <c r="U20" s="471">
        <f>SUM(U12:U19)</f>
        <v>75702140</v>
      </c>
      <c r="V20" s="471">
        <f>SUM(V12:V19)</f>
        <v>70471741</v>
      </c>
      <c r="W20" s="471">
        <f t="shared" ref="W20" si="0">SUM(W12:W19)</f>
        <v>70471741</v>
      </c>
      <c r="X20" s="472"/>
      <c r="Y20" s="274"/>
      <c r="Z20" s="323"/>
      <c r="AA20" s="323"/>
      <c r="AB20" s="323"/>
      <c r="AC20" s="323"/>
      <c r="AD20" s="323"/>
      <c r="AE20" s="323"/>
      <c r="AF20" s="323"/>
      <c r="AG20" s="323"/>
      <c r="AH20" s="323"/>
      <c r="AI20" s="323"/>
      <c r="AJ20" s="323"/>
      <c r="AK20" s="323"/>
      <c r="AL20" s="323"/>
      <c r="AM20" s="323"/>
      <c r="AN20" s="323"/>
      <c r="AO20" s="323"/>
      <c r="AP20" s="323"/>
      <c r="AQ20" s="323"/>
      <c r="AR20" s="323"/>
      <c r="AS20" s="323"/>
      <c r="AT20" s="323"/>
      <c r="AU20" s="323"/>
      <c r="AV20" s="323"/>
      <c r="AW20" s="323"/>
      <c r="AX20" s="323"/>
      <c r="AY20" s="323"/>
      <c r="AZ20" s="323"/>
      <c r="BA20" s="323"/>
      <c r="BB20" s="323"/>
      <c r="BC20" s="323"/>
      <c r="BD20" s="323"/>
      <c r="BE20" s="323"/>
      <c r="BF20" s="323"/>
      <c r="BG20" s="473">
        <f>SUM(BG12:BG19)</f>
        <v>70471741</v>
      </c>
      <c r="BH20" s="473">
        <f>SUM(BH12:BH19)</f>
        <v>70471741</v>
      </c>
      <c r="BI20" s="323"/>
      <c r="BJ20" s="323"/>
      <c r="BK20" s="323"/>
      <c r="BL20" s="474"/>
      <c r="BM20" s="475"/>
      <c r="BN20" s="476"/>
      <c r="BO20" s="476"/>
      <c r="BP20" s="359"/>
    </row>
    <row r="21" spans="1:69" ht="14.25" customHeight="1" x14ac:dyDescent="0.2">
      <c r="H21" s="191"/>
      <c r="U21" s="483"/>
      <c r="V21" s="483"/>
      <c r="W21" s="483"/>
      <c r="BM21" s="487"/>
      <c r="BN21" s="488"/>
      <c r="BO21" s="488"/>
    </row>
    <row r="22" spans="1:69" ht="14.25" customHeight="1" x14ac:dyDescent="0.2">
      <c r="H22" s="191"/>
      <c r="U22" s="483"/>
      <c r="V22" s="483"/>
      <c r="W22" s="483"/>
      <c r="BM22" s="490"/>
      <c r="BN22" s="491"/>
      <c r="BO22" s="491"/>
    </row>
    <row r="23" spans="1:69" x14ac:dyDescent="0.2">
      <c r="H23" s="191"/>
    </row>
    <row r="24" spans="1:69" ht="15.75" x14ac:dyDescent="0.25">
      <c r="C24" s="492"/>
      <c r="D24" s="492"/>
      <c r="E24" s="492"/>
      <c r="F24" s="492"/>
      <c r="G24" s="492"/>
      <c r="M24" s="2650"/>
      <c r="N24" s="2650"/>
      <c r="O24" s="2650"/>
      <c r="P24" s="2650"/>
      <c r="Q24" s="2650"/>
    </row>
    <row r="25" spans="1:69" ht="15.75" x14ac:dyDescent="0.25">
      <c r="C25" s="2650" t="s">
        <v>349</v>
      </c>
      <c r="D25" s="2650"/>
      <c r="E25" s="2650"/>
      <c r="F25" s="2650"/>
      <c r="G25" s="2650"/>
      <c r="H25" s="1859"/>
      <c r="M25" s="2650"/>
      <c r="N25" s="2650"/>
      <c r="O25" s="2650"/>
      <c r="P25" s="2650"/>
      <c r="Q25" s="2650"/>
      <c r="BG25" s="495"/>
    </row>
    <row r="26" spans="1:69" ht="15.75" x14ac:dyDescent="0.25">
      <c r="C26" s="2650" t="s">
        <v>350</v>
      </c>
      <c r="D26" s="2650"/>
      <c r="E26" s="2650"/>
      <c r="F26" s="2650"/>
      <c r="G26" s="2650"/>
      <c r="H26" s="1859"/>
      <c r="BN26" s="494" t="s">
        <v>351</v>
      </c>
    </row>
    <row r="27" spans="1:69" x14ac:dyDescent="0.2">
      <c r="C27" s="191"/>
      <c r="D27" s="479"/>
      <c r="E27" s="478"/>
      <c r="F27" s="481"/>
      <c r="G27" s="482"/>
      <c r="H27" s="482"/>
    </row>
    <row r="28" spans="1:69" x14ac:dyDescent="0.2">
      <c r="H28" s="191"/>
    </row>
    <row r="29" spans="1:69" x14ac:dyDescent="0.2">
      <c r="H29" s="191"/>
    </row>
    <row r="30" spans="1:69" x14ac:dyDescent="0.2">
      <c r="H30" s="191"/>
    </row>
    <row r="31" spans="1:69" x14ac:dyDescent="0.2">
      <c r="H31" s="191"/>
    </row>
    <row r="32" spans="1:69" x14ac:dyDescent="0.2">
      <c r="H32" s="191"/>
    </row>
    <row r="33" spans="8:8" x14ac:dyDescent="0.2">
      <c r="H33" s="191"/>
    </row>
    <row r="34" spans="8:8" x14ac:dyDescent="0.2">
      <c r="H34" s="191"/>
    </row>
    <row r="35" spans="8:8" x14ac:dyDescent="0.2">
      <c r="H35" s="191"/>
    </row>
    <row r="36" spans="8:8" x14ac:dyDescent="0.2">
      <c r="H36" s="191"/>
    </row>
    <row r="37" spans="8:8" x14ac:dyDescent="0.2">
      <c r="H37" s="191"/>
    </row>
    <row r="38" spans="8:8" x14ac:dyDescent="0.2">
      <c r="H38" s="191"/>
    </row>
    <row r="39" spans="8:8" x14ac:dyDescent="0.2">
      <c r="H39" s="191"/>
    </row>
    <row r="40" spans="8:8" x14ac:dyDescent="0.2">
      <c r="H40" s="191"/>
    </row>
    <row r="41" spans="8:8" x14ac:dyDescent="0.2">
      <c r="H41" s="191"/>
    </row>
    <row r="42" spans="8:8" x14ac:dyDescent="0.2">
      <c r="H42" s="191"/>
    </row>
    <row r="43" spans="8:8" x14ac:dyDescent="0.2">
      <c r="H43" s="191"/>
    </row>
    <row r="44" spans="8:8" x14ac:dyDescent="0.2">
      <c r="H44" s="191"/>
    </row>
    <row r="45" spans="8:8" x14ac:dyDescent="0.2">
      <c r="H45" s="191"/>
    </row>
    <row r="46" spans="8:8" x14ac:dyDescent="0.2">
      <c r="H46" s="191"/>
    </row>
    <row r="47" spans="8:8" x14ac:dyDescent="0.2">
      <c r="H47" s="191"/>
    </row>
    <row r="48" spans="8:8" x14ac:dyDescent="0.2">
      <c r="H48" s="191"/>
    </row>
    <row r="49" spans="8:8" x14ac:dyDescent="0.2">
      <c r="H49" s="191"/>
    </row>
    <row r="50" spans="8:8" x14ac:dyDescent="0.2">
      <c r="H50" s="191"/>
    </row>
    <row r="51" spans="8:8" x14ac:dyDescent="0.2">
      <c r="H51" s="191"/>
    </row>
    <row r="52" spans="8:8" x14ac:dyDescent="0.2">
      <c r="H52" s="191"/>
    </row>
    <row r="53" spans="8:8" x14ac:dyDescent="0.2">
      <c r="H53" s="191"/>
    </row>
    <row r="54" spans="8:8" x14ac:dyDescent="0.2">
      <c r="H54" s="191"/>
    </row>
    <row r="55" spans="8:8" x14ac:dyDescent="0.2">
      <c r="H55" s="191"/>
    </row>
    <row r="56" spans="8:8" x14ac:dyDescent="0.2">
      <c r="H56" s="191"/>
    </row>
    <row r="57" spans="8:8" x14ac:dyDescent="0.2">
      <c r="H57" s="191"/>
    </row>
    <row r="58" spans="8:8" x14ac:dyDescent="0.2">
      <c r="H58" s="191"/>
    </row>
    <row r="59" spans="8:8" x14ac:dyDescent="0.2">
      <c r="H59" s="191"/>
    </row>
    <row r="60" spans="8:8" x14ac:dyDescent="0.2">
      <c r="H60" s="191"/>
    </row>
    <row r="61" spans="8:8" x14ac:dyDescent="0.2">
      <c r="H61" s="191"/>
    </row>
    <row r="62" spans="8:8" x14ac:dyDescent="0.2">
      <c r="H62" s="191"/>
    </row>
    <row r="63" spans="8:8" x14ac:dyDescent="0.2">
      <c r="H63" s="191"/>
    </row>
    <row r="64" spans="8:8" x14ac:dyDescent="0.2">
      <c r="H64" s="191"/>
    </row>
    <row r="65" spans="8:8" x14ac:dyDescent="0.2">
      <c r="H65" s="191"/>
    </row>
    <row r="66" spans="8:8" x14ac:dyDescent="0.2">
      <c r="H66" s="191"/>
    </row>
    <row r="67" spans="8:8" x14ac:dyDescent="0.2">
      <c r="H67" s="191"/>
    </row>
    <row r="68" spans="8:8" x14ac:dyDescent="0.2">
      <c r="H68" s="191"/>
    </row>
    <row r="69" spans="8:8" x14ac:dyDescent="0.2">
      <c r="H69" s="191"/>
    </row>
    <row r="70" spans="8:8" x14ac:dyDescent="0.2">
      <c r="H70" s="191"/>
    </row>
    <row r="71" spans="8:8" x14ac:dyDescent="0.2">
      <c r="H71" s="191"/>
    </row>
    <row r="72" spans="8:8" x14ac:dyDescent="0.2">
      <c r="H72" s="191"/>
    </row>
    <row r="73" spans="8:8" x14ac:dyDescent="0.2">
      <c r="H73" s="191"/>
    </row>
    <row r="74" spans="8:8" x14ac:dyDescent="0.2">
      <c r="H74" s="191"/>
    </row>
    <row r="75" spans="8:8" x14ac:dyDescent="0.2">
      <c r="H75" s="191"/>
    </row>
    <row r="76" spans="8:8" x14ac:dyDescent="0.2">
      <c r="H76" s="191"/>
    </row>
    <row r="77" spans="8:8" x14ac:dyDescent="0.2">
      <c r="H77" s="191"/>
    </row>
    <row r="78" spans="8:8" x14ac:dyDescent="0.2">
      <c r="H78" s="191"/>
    </row>
    <row r="79" spans="8:8" x14ac:dyDescent="0.2">
      <c r="H79" s="191"/>
    </row>
    <row r="80" spans="8:8" x14ac:dyDescent="0.2">
      <c r="H80" s="191"/>
    </row>
    <row r="81" spans="8:8" x14ac:dyDescent="0.2">
      <c r="H81" s="191"/>
    </row>
    <row r="82" spans="8:8" x14ac:dyDescent="0.2">
      <c r="H82" s="191"/>
    </row>
    <row r="83" spans="8:8" x14ac:dyDescent="0.2">
      <c r="H83" s="191"/>
    </row>
    <row r="84" spans="8:8" x14ac:dyDescent="0.2">
      <c r="H84" s="191"/>
    </row>
    <row r="85" spans="8:8" x14ac:dyDescent="0.2">
      <c r="H85" s="191"/>
    </row>
    <row r="86" spans="8:8" x14ac:dyDescent="0.2">
      <c r="H86" s="191"/>
    </row>
    <row r="87" spans="8:8" x14ac:dyDescent="0.2">
      <c r="H87" s="191"/>
    </row>
    <row r="88" spans="8:8" x14ac:dyDescent="0.2">
      <c r="H88" s="191"/>
    </row>
    <row r="89" spans="8:8" x14ac:dyDescent="0.2">
      <c r="H89" s="191"/>
    </row>
    <row r="90" spans="8:8" x14ac:dyDescent="0.2">
      <c r="H90" s="191"/>
    </row>
    <row r="91" spans="8:8" x14ac:dyDescent="0.2">
      <c r="H91" s="191"/>
    </row>
    <row r="92" spans="8:8" x14ac:dyDescent="0.2">
      <c r="H92" s="191"/>
    </row>
    <row r="93" spans="8:8" x14ac:dyDescent="0.2">
      <c r="H93" s="191"/>
    </row>
    <row r="94" spans="8:8" x14ac:dyDescent="0.2">
      <c r="H94" s="191"/>
    </row>
    <row r="95" spans="8:8" x14ac:dyDescent="0.2">
      <c r="H95" s="191"/>
    </row>
    <row r="96" spans="8:8" x14ac:dyDescent="0.2">
      <c r="H96" s="191"/>
    </row>
    <row r="97" spans="8:8" x14ac:dyDescent="0.2">
      <c r="H97" s="191"/>
    </row>
    <row r="98" spans="8:8" x14ac:dyDescent="0.2">
      <c r="H98" s="191"/>
    </row>
    <row r="99" spans="8:8" x14ac:dyDescent="0.2">
      <c r="H99" s="191"/>
    </row>
    <row r="100" spans="8:8" x14ac:dyDescent="0.2">
      <c r="H100" s="191"/>
    </row>
    <row r="101" spans="8:8" x14ac:dyDescent="0.2">
      <c r="H101" s="191"/>
    </row>
    <row r="102" spans="8:8" x14ac:dyDescent="0.2">
      <c r="H102" s="191"/>
    </row>
    <row r="103" spans="8:8" x14ac:dyDescent="0.2">
      <c r="H103" s="191"/>
    </row>
    <row r="104" spans="8:8" x14ac:dyDescent="0.2">
      <c r="H104" s="191"/>
    </row>
    <row r="105" spans="8:8" x14ac:dyDescent="0.2">
      <c r="H105" s="191"/>
    </row>
    <row r="106" spans="8:8" x14ac:dyDescent="0.2">
      <c r="H106" s="191"/>
    </row>
    <row r="107" spans="8:8" x14ac:dyDescent="0.2">
      <c r="H107" s="191"/>
    </row>
  </sheetData>
  <sheetProtection password="A60F" sheet="1" objects="1" scenarios="1"/>
  <mergeCells count="177">
    <mergeCell ref="A18:C18"/>
    <mergeCell ref="M24:Q24"/>
    <mergeCell ref="C25:G25"/>
    <mergeCell ref="M25:Q25"/>
    <mergeCell ref="C26:G26"/>
    <mergeCell ref="BK15:BK17"/>
    <mergeCell ref="BL15:BL17"/>
    <mergeCell ref="BM15:BM17"/>
    <mergeCell ref="BN15:BN17"/>
    <mergeCell ref="AS15:AS17"/>
    <mergeCell ref="AT15:AT17"/>
    <mergeCell ref="AU15:AU17"/>
    <mergeCell ref="AV15:AV17"/>
    <mergeCell ref="AW15:AW17"/>
    <mergeCell ref="AX15:AX17"/>
    <mergeCell ref="AM15:AM17"/>
    <mergeCell ref="AN15:AN17"/>
    <mergeCell ref="AO15:AO17"/>
    <mergeCell ref="AP15:AP17"/>
    <mergeCell ref="AQ15:AQ17"/>
    <mergeCell ref="AR15:AR17"/>
    <mergeCell ref="AG15:AG17"/>
    <mergeCell ref="AH15:AH17"/>
    <mergeCell ref="AI15:AI17"/>
    <mergeCell ref="BO15:BO17"/>
    <mergeCell ref="BP15:BP17"/>
    <mergeCell ref="BE15:BE17"/>
    <mergeCell ref="BF15:BF17"/>
    <mergeCell ref="BG15:BG17"/>
    <mergeCell ref="BH15:BH17"/>
    <mergeCell ref="BI15:BI17"/>
    <mergeCell ref="BJ15:BJ17"/>
    <mergeCell ref="AY15:AY17"/>
    <mergeCell ref="AZ15:AZ17"/>
    <mergeCell ref="BA15:BA17"/>
    <mergeCell ref="BB15:BB17"/>
    <mergeCell ref="BC15:BC17"/>
    <mergeCell ref="BD15:BD17"/>
    <mergeCell ref="AJ15:AJ17"/>
    <mergeCell ref="AK15:AK17"/>
    <mergeCell ref="AL15:AL17"/>
    <mergeCell ref="AA15:AA17"/>
    <mergeCell ref="AB15:AB17"/>
    <mergeCell ref="AC15:AC17"/>
    <mergeCell ref="AD15:AD17"/>
    <mergeCell ref="AE15:AE17"/>
    <mergeCell ref="AF15:AF17"/>
    <mergeCell ref="O15:O17"/>
    <mergeCell ref="P15:P17"/>
    <mergeCell ref="Q15:Q17"/>
    <mergeCell ref="R15:R17"/>
    <mergeCell ref="S15:S17"/>
    <mergeCell ref="Z15:Z17"/>
    <mergeCell ref="BO12:BO14"/>
    <mergeCell ref="BP12:BP14"/>
    <mergeCell ref="G15:G17"/>
    <mergeCell ref="H15:H17"/>
    <mergeCell ref="I15:I17"/>
    <mergeCell ref="J15:J17"/>
    <mergeCell ref="K15:K17"/>
    <mergeCell ref="L15:L17"/>
    <mergeCell ref="M15:M17"/>
    <mergeCell ref="N15:N17"/>
    <mergeCell ref="BI12:BI14"/>
    <mergeCell ref="BJ12:BJ14"/>
    <mergeCell ref="BK12:BK14"/>
    <mergeCell ref="BL12:BL14"/>
    <mergeCell ref="BM12:BM14"/>
    <mergeCell ref="BN12:BN14"/>
    <mergeCell ref="BC12:BC14"/>
    <mergeCell ref="BD12:BD14"/>
    <mergeCell ref="BE12:BE14"/>
    <mergeCell ref="BF12:BF14"/>
    <mergeCell ref="BG12:BG14"/>
    <mergeCell ref="BH12:BH14"/>
    <mergeCell ref="AW12:AW14"/>
    <mergeCell ref="AX12:AX14"/>
    <mergeCell ref="AY12:AY14"/>
    <mergeCell ref="AZ12:AZ14"/>
    <mergeCell ref="BA12:BA14"/>
    <mergeCell ref="BB12:BB14"/>
    <mergeCell ref="AQ12:AQ14"/>
    <mergeCell ref="AR12:AR14"/>
    <mergeCell ref="AS12:AS14"/>
    <mergeCell ref="AT12:AT14"/>
    <mergeCell ref="AU12:AU14"/>
    <mergeCell ref="AV12:AV14"/>
    <mergeCell ref="AK12:AK14"/>
    <mergeCell ref="AL12:AL14"/>
    <mergeCell ref="AM12:AM14"/>
    <mergeCell ref="AN12:AN14"/>
    <mergeCell ref="AO12:AO14"/>
    <mergeCell ref="AP12:AP14"/>
    <mergeCell ref="AE12:AE14"/>
    <mergeCell ref="AF12:AF14"/>
    <mergeCell ref="AG12:AG14"/>
    <mergeCell ref="AH12:AH14"/>
    <mergeCell ref="AI12:AI14"/>
    <mergeCell ref="AJ12:AJ14"/>
    <mergeCell ref="S12:S14"/>
    <mergeCell ref="Z12:Z14"/>
    <mergeCell ref="AA12:AA14"/>
    <mergeCell ref="AB12:AB14"/>
    <mergeCell ref="AC12:AC14"/>
    <mergeCell ref="AD12:AD14"/>
    <mergeCell ref="M12:M14"/>
    <mergeCell ref="N12:N14"/>
    <mergeCell ref="O12:O14"/>
    <mergeCell ref="P12:P14"/>
    <mergeCell ref="Q12:Q14"/>
    <mergeCell ref="R12:R14"/>
    <mergeCell ref="G12:G14"/>
    <mergeCell ref="H12:H14"/>
    <mergeCell ref="I12:I14"/>
    <mergeCell ref="J12:J14"/>
    <mergeCell ref="K12:K14"/>
    <mergeCell ref="L12:L14"/>
    <mergeCell ref="BG8:BG9"/>
    <mergeCell ref="BH8:BH9"/>
    <mergeCell ref="BI8:BI9"/>
    <mergeCell ref="BJ8:BJ9"/>
    <mergeCell ref="BK8:BK9"/>
    <mergeCell ref="A11:C11"/>
    <mergeCell ref="AT8:AU8"/>
    <mergeCell ref="AV8:AW8"/>
    <mergeCell ref="AX8:AY8"/>
    <mergeCell ref="AZ8:BA8"/>
    <mergeCell ref="BB8:BC8"/>
    <mergeCell ref="BF8:BF9"/>
    <mergeCell ref="AH8:AI8"/>
    <mergeCell ref="AJ8:AK8"/>
    <mergeCell ref="AL8:AM8"/>
    <mergeCell ref="AN8:AO8"/>
    <mergeCell ref="AP8:AQ8"/>
    <mergeCell ref="AR8:AS8"/>
    <mergeCell ref="BD7:BE8"/>
    <mergeCell ref="BF7:BK7"/>
    <mergeCell ref="I7:I9"/>
    <mergeCell ref="J7:J9"/>
    <mergeCell ref="K7:L7"/>
    <mergeCell ref="M7:M9"/>
    <mergeCell ref="AL7:AW7"/>
    <mergeCell ref="AX7:BC7"/>
    <mergeCell ref="Z8:AA8"/>
    <mergeCell ref="AB8:AC8"/>
    <mergeCell ref="AD8:AE8"/>
    <mergeCell ref="AF8:AG8"/>
    <mergeCell ref="P7:P9"/>
    <mergeCell ref="Q7:Q9"/>
    <mergeCell ref="R7:R9"/>
    <mergeCell ref="S7:S9"/>
    <mergeCell ref="T7:T9"/>
    <mergeCell ref="U7:W7"/>
    <mergeCell ref="N7:N9"/>
    <mergeCell ref="O7:O9"/>
    <mergeCell ref="A1:BN4"/>
    <mergeCell ref="A5:L6"/>
    <mergeCell ref="N5:BP5"/>
    <mergeCell ref="AA6:BC6"/>
    <mergeCell ref="A7:A9"/>
    <mergeCell ref="B7:C9"/>
    <mergeCell ref="D7:D9"/>
    <mergeCell ref="E7:F9"/>
    <mergeCell ref="G7:G9"/>
    <mergeCell ref="H7:H9"/>
    <mergeCell ref="BL7:BM8"/>
    <mergeCell ref="BN7:BO8"/>
    <mergeCell ref="BP7:BP9"/>
    <mergeCell ref="K8:K9"/>
    <mergeCell ref="L8:L9"/>
    <mergeCell ref="U8:U9"/>
    <mergeCell ref="V8:V9"/>
    <mergeCell ref="W8:W9"/>
    <mergeCell ref="X7:X9"/>
    <mergeCell ref="Y7:Y9"/>
    <mergeCell ref="Z7:AC7"/>
    <mergeCell ref="AD7:AK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I254"/>
  <sheetViews>
    <sheetView showGridLines="0" topLeftCell="P1" zoomScale="60" zoomScaleNormal="60" workbookViewId="0">
      <selection activeCell="O12" sqref="O12:O27"/>
    </sheetView>
  </sheetViews>
  <sheetFormatPr baseColWidth="10" defaultColWidth="9.140625" defaultRowHeight="15" x14ac:dyDescent="0.2"/>
  <cols>
    <col min="1" max="1" width="15.5703125" style="477" customWidth="1"/>
    <col min="2" max="2" width="9.7109375" style="388" customWidth="1"/>
    <col min="3" max="3" width="10.85546875" style="388" customWidth="1"/>
    <col min="4" max="4" width="13" style="388" customWidth="1"/>
    <col min="5" max="5" width="6.7109375" style="388" customWidth="1"/>
    <col min="6" max="6" width="12.5703125" style="388" customWidth="1"/>
    <col min="7" max="7" width="12.85546875" style="388" customWidth="1"/>
    <col min="8" max="8" width="23.7109375" style="388" customWidth="1"/>
    <col min="9" max="9" width="40" style="478" customWidth="1"/>
    <col min="10" max="10" width="36.42578125" style="191" customWidth="1"/>
    <col min="11" max="11" width="20.5703125" style="485" customWidth="1"/>
    <col min="12" max="12" width="20.140625" style="2419" customWidth="1"/>
    <col min="13" max="13" width="39.140625" style="2412" customWidth="1"/>
    <col min="14" max="14" width="30.28515625" style="479" customWidth="1"/>
    <col min="15" max="15" width="38.140625" style="478" customWidth="1"/>
    <col min="16" max="16" width="15.5703125" style="481" customWidth="1"/>
    <col min="17" max="17" width="31.42578125" style="482" customWidth="1"/>
    <col min="18" max="18" width="52.42578125" style="480" customWidth="1"/>
    <col min="19" max="19" width="79.5703125" style="480" customWidth="1"/>
    <col min="20" max="20" width="81.42578125" style="480" customWidth="1"/>
    <col min="21" max="23" width="36.5703125" style="493" customWidth="1"/>
    <col min="24" max="24" width="18.42578125" style="484" customWidth="1"/>
    <col min="25" max="25" width="33.140625" style="480" customWidth="1"/>
    <col min="26" max="26" width="9" style="388" bestFit="1" customWidth="1"/>
    <col min="27" max="27" width="10.85546875" style="388" bestFit="1" customWidth="1"/>
    <col min="28" max="28" width="9.42578125" style="388" bestFit="1" customWidth="1"/>
    <col min="29" max="29" width="10.85546875" style="388" bestFit="1" customWidth="1"/>
    <col min="30" max="30" width="9.42578125" style="388" bestFit="1" customWidth="1"/>
    <col min="31" max="31" width="11.28515625" style="388" bestFit="1" customWidth="1"/>
    <col min="32" max="32" width="8" style="388" bestFit="1" customWidth="1"/>
    <col min="33" max="33" width="9.7109375" style="388" bestFit="1" customWidth="1"/>
    <col min="34" max="34" width="7.5703125" style="388" bestFit="1" customWidth="1"/>
    <col min="35" max="35" width="8.7109375" style="388" bestFit="1" customWidth="1"/>
    <col min="36" max="36" width="9.5703125" style="388" customWidth="1"/>
    <col min="37" max="37" width="8.7109375" style="388" customWidth="1"/>
    <col min="38" max="38" width="5.85546875" style="388" bestFit="1" customWidth="1"/>
    <col min="39" max="39" width="7" style="388" bestFit="1" customWidth="1"/>
    <col min="40" max="40" width="5.85546875" style="388" bestFit="1" customWidth="1"/>
    <col min="41" max="41" width="7" style="388" bestFit="1" customWidth="1"/>
    <col min="42" max="49" width="4.42578125" style="388" customWidth="1"/>
    <col min="50" max="50" width="8" style="388" bestFit="1" customWidth="1"/>
    <col min="51" max="51" width="9.7109375" style="388" bestFit="1" customWidth="1"/>
    <col min="52" max="52" width="8" style="388" bestFit="1" customWidth="1"/>
    <col min="53" max="53" width="9.7109375" style="388" bestFit="1" customWidth="1"/>
    <col min="54" max="54" width="7.5703125" style="388" bestFit="1" customWidth="1"/>
    <col min="55" max="55" width="6.140625" style="388" bestFit="1" customWidth="1"/>
    <col min="56" max="56" width="9.42578125" style="388" bestFit="1" customWidth="1"/>
    <col min="57" max="57" width="11.28515625" style="388" bestFit="1" customWidth="1"/>
    <col min="58" max="58" width="19.140625" style="388" customWidth="1"/>
    <col min="59" max="59" width="28.28515625" style="388" customWidth="1"/>
    <col min="60" max="60" width="29.140625" style="388" customWidth="1"/>
    <col min="61" max="61" width="17.42578125" style="2414" customWidth="1"/>
    <col min="62" max="62" width="31.42578125" style="388" customWidth="1"/>
    <col min="63" max="63" width="31.28515625" style="388" customWidth="1"/>
    <col min="64" max="66" width="14" style="388" bestFit="1" customWidth="1"/>
    <col min="67" max="67" width="24.28515625" style="388" customWidth="1"/>
    <col min="68" max="68" width="29.42578125" style="388" bestFit="1" customWidth="1"/>
    <col min="69" max="16384" width="9.140625" style="388"/>
  </cols>
  <sheetData>
    <row r="1" spans="1:87" customFormat="1" ht="18" customHeight="1" x14ac:dyDescent="0.25">
      <c r="A1" s="3535" t="s">
        <v>1813</v>
      </c>
      <c r="B1" s="3535"/>
      <c r="C1" s="3535"/>
      <c r="D1" s="3535"/>
      <c r="E1" s="3535"/>
      <c r="F1" s="3535"/>
      <c r="G1" s="3535"/>
      <c r="H1" s="3535"/>
      <c r="I1" s="3535"/>
      <c r="J1" s="3535"/>
      <c r="K1" s="3535"/>
      <c r="L1" s="3535"/>
      <c r="M1" s="3535"/>
      <c r="N1" s="3535"/>
      <c r="O1" s="3535"/>
      <c r="P1" s="3535"/>
      <c r="Q1" s="3535"/>
      <c r="R1" s="3535"/>
      <c r="S1" s="3535"/>
      <c r="T1" s="3535"/>
      <c r="U1" s="3535"/>
      <c r="V1" s="3535"/>
      <c r="W1" s="3535"/>
      <c r="X1" s="3535"/>
      <c r="Y1" s="3535"/>
      <c r="Z1" s="3535"/>
      <c r="AA1" s="3535"/>
      <c r="AB1" s="3535"/>
      <c r="AC1" s="3535"/>
      <c r="AD1" s="3535"/>
      <c r="AE1" s="3535"/>
      <c r="AF1" s="3535"/>
      <c r="AG1" s="3535"/>
      <c r="AH1" s="3535"/>
      <c r="AI1" s="3535"/>
      <c r="AJ1" s="3535"/>
      <c r="AK1" s="3535"/>
      <c r="AL1" s="3535"/>
      <c r="AM1" s="3535"/>
      <c r="AN1" s="3535"/>
      <c r="AO1" s="3535"/>
      <c r="AP1" s="3535"/>
      <c r="AQ1" s="3535"/>
      <c r="AR1" s="3535"/>
      <c r="AS1" s="3535"/>
      <c r="AT1" s="3535"/>
      <c r="AU1" s="3535"/>
      <c r="AV1" s="3535"/>
      <c r="AW1" s="3535"/>
      <c r="AX1" s="3535"/>
      <c r="AY1" s="3535"/>
      <c r="AZ1" s="3535"/>
      <c r="BA1" s="3535"/>
      <c r="BB1" s="3535"/>
      <c r="BC1" s="3535"/>
      <c r="BD1" s="3535"/>
      <c r="BE1" s="3535"/>
      <c r="BF1" s="3535"/>
      <c r="BG1" s="3535"/>
      <c r="BH1" s="3535"/>
      <c r="BI1" s="3535"/>
      <c r="BJ1" s="3535"/>
      <c r="BK1" s="3535"/>
      <c r="BL1" s="3535"/>
      <c r="BM1" s="3535"/>
      <c r="BN1" s="3536"/>
      <c r="BO1" s="1273" t="s">
        <v>1</v>
      </c>
      <c r="BP1" s="190" t="s">
        <v>999</v>
      </c>
      <c r="BQ1" s="191"/>
      <c r="BR1" s="191"/>
      <c r="BS1" s="191"/>
      <c r="BT1" s="191"/>
      <c r="BU1" s="191"/>
      <c r="BV1" s="191"/>
      <c r="BW1" s="191"/>
      <c r="BX1" s="191"/>
      <c r="BY1" s="191"/>
      <c r="BZ1" s="191"/>
      <c r="CA1" s="191"/>
      <c r="CB1" s="191"/>
      <c r="CC1" s="191"/>
      <c r="CD1" s="191"/>
      <c r="CE1" s="191"/>
      <c r="CF1" s="191"/>
      <c r="CG1" s="191"/>
      <c r="CH1" s="191"/>
      <c r="CI1" s="191"/>
    </row>
    <row r="2" spans="1:87" customFormat="1" ht="18" customHeight="1" x14ac:dyDescent="0.25">
      <c r="A2" s="3535"/>
      <c r="B2" s="3535"/>
      <c r="C2" s="3535"/>
      <c r="D2" s="3535"/>
      <c r="E2" s="3535"/>
      <c r="F2" s="3535"/>
      <c r="G2" s="3535"/>
      <c r="H2" s="3535"/>
      <c r="I2" s="3535"/>
      <c r="J2" s="3535"/>
      <c r="K2" s="3535"/>
      <c r="L2" s="3535"/>
      <c r="M2" s="3535"/>
      <c r="N2" s="3535"/>
      <c r="O2" s="3535"/>
      <c r="P2" s="3535"/>
      <c r="Q2" s="3535"/>
      <c r="R2" s="3535"/>
      <c r="S2" s="3535"/>
      <c r="T2" s="3535"/>
      <c r="U2" s="3535"/>
      <c r="V2" s="3535"/>
      <c r="W2" s="3535"/>
      <c r="X2" s="3535"/>
      <c r="Y2" s="3535"/>
      <c r="Z2" s="3535"/>
      <c r="AA2" s="3535"/>
      <c r="AB2" s="3535"/>
      <c r="AC2" s="3535"/>
      <c r="AD2" s="3535"/>
      <c r="AE2" s="3535"/>
      <c r="AF2" s="3535"/>
      <c r="AG2" s="3535"/>
      <c r="AH2" s="3535"/>
      <c r="AI2" s="3535"/>
      <c r="AJ2" s="3535"/>
      <c r="AK2" s="3535"/>
      <c r="AL2" s="3535"/>
      <c r="AM2" s="3535"/>
      <c r="AN2" s="3535"/>
      <c r="AO2" s="3535"/>
      <c r="AP2" s="3535"/>
      <c r="AQ2" s="3535"/>
      <c r="AR2" s="3535"/>
      <c r="AS2" s="3535"/>
      <c r="AT2" s="3535"/>
      <c r="AU2" s="3535"/>
      <c r="AV2" s="3535"/>
      <c r="AW2" s="3535"/>
      <c r="AX2" s="3535"/>
      <c r="AY2" s="3535"/>
      <c r="AZ2" s="3535"/>
      <c r="BA2" s="3535"/>
      <c r="BB2" s="3535"/>
      <c r="BC2" s="3535"/>
      <c r="BD2" s="3535"/>
      <c r="BE2" s="3535"/>
      <c r="BF2" s="3535"/>
      <c r="BG2" s="3535"/>
      <c r="BH2" s="3535"/>
      <c r="BI2" s="3535"/>
      <c r="BJ2" s="3535"/>
      <c r="BK2" s="3535"/>
      <c r="BL2" s="3535"/>
      <c r="BM2" s="3535"/>
      <c r="BN2" s="3536"/>
      <c r="BO2" s="1273" t="s">
        <v>3</v>
      </c>
      <c r="BP2" s="190" t="s">
        <v>4</v>
      </c>
      <c r="BQ2" s="191"/>
      <c r="BR2" s="191"/>
      <c r="BS2" s="191"/>
      <c r="BT2" s="191"/>
      <c r="BU2" s="191"/>
      <c r="BV2" s="191"/>
      <c r="BW2" s="191"/>
      <c r="BX2" s="191"/>
      <c r="BY2" s="191"/>
      <c r="BZ2" s="191"/>
      <c r="CA2" s="191"/>
      <c r="CB2" s="191"/>
      <c r="CC2" s="191"/>
      <c r="CD2" s="191"/>
      <c r="CE2" s="191"/>
      <c r="CF2" s="191"/>
      <c r="CG2" s="191"/>
      <c r="CH2" s="191"/>
      <c r="CI2" s="191"/>
    </row>
    <row r="3" spans="1:87" customFormat="1" ht="18" customHeight="1" x14ac:dyDescent="0.25">
      <c r="A3" s="3535"/>
      <c r="B3" s="3535"/>
      <c r="C3" s="3535"/>
      <c r="D3" s="3535"/>
      <c r="E3" s="3535"/>
      <c r="F3" s="3535"/>
      <c r="G3" s="3535"/>
      <c r="H3" s="3535"/>
      <c r="I3" s="3535"/>
      <c r="J3" s="3535"/>
      <c r="K3" s="3535"/>
      <c r="L3" s="3535"/>
      <c r="M3" s="3535"/>
      <c r="N3" s="3535"/>
      <c r="O3" s="3535"/>
      <c r="P3" s="3535"/>
      <c r="Q3" s="3535"/>
      <c r="R3" s="3535"/>
      <c r="S3" s="3535"/>
      <c r="T3" s="3535"/>
      <c r="U3" s="3535"/>
      <c r="V3" s="3535"/>
      <c r="W3" s="3535"/>
      <c r="X3" s="3535"/>
      <c r="Y3" s="3535"/>
      <c r="Z3" s="3535"/>
      <c r="AA3" s="3535"/>
      <c r="AB3" s="3535"/>
      <c r="AC3" s="3535"/>
      <c r="AD3" s="3535"/>
      <c r="AE3" s="3535"/>
      <c r="AF3" s="3535"/>
      <c r="AG3" s="3535"/>
      <c r="AH3" s="3535"/>
      <c r="AI3" s="3535"/>
      <c r="AJ3" s="3535"/>
      <c r="AK3" s="3535"/>
      <c r="AL3" s="3535"/>
      <c r="AM3" s="3535"/>
      <c r="AN3" s="3535"/>
      <c r="AO3" s="3535"/>
      <c r="AP3" s="3535"/>
      <c r="AQ3" s="3535"/>
      <c r="AR3" s="3535"/>
      <c r="AS3" s="3535"/>
      <c r="AT3" s="3535"/>
      <c r="AU3" s="3535"/>
      <c r="AV3" s="3535"/>
      <c r="AW3" s="3535"/>
      <c r="AX3" s="3535"/>
      <c r="AY3" s="3535"/>
      <c r="AZ3" s="3535"/>
      <c r="BA3" s="3535"/>
      <c r="BB3" s="3535"/>
      <c r="BC3" s="3535"/>
      <c r="BD3" s="3535"/>
      <c r="BE3" s="3535"/>
      <c r="BF3" s="3535"/>
      <c r="BG3" s="3535"/>
      <c r="BH3" s="3535"/>
      <c r="BI3" s="3535"/>
      <c r="BJ3" s="3535"/>
      <c r="BK3" s="3535"/>
      <c r="BL3" s="3535"/>
      <c r="BM3" s="3535"/>
      <c r="BN3" s="3536"/>
      <c r="BO3" s="1273" t="s">
        <v>5</v>
      </c>
      <c r="BP3" s="193" t="s">
        <v>6</v>
      </c>
      <c r="BQ3" s="191"/>
      <c r="BR3" s="191"/>
      <c r="BS3" s="191"/>
      <c r="BT3" s="191"/>
      <c r="BU3" s="191"/>
      <c r="BV3" s="191"/>
      <c r="BW3" s="191"/>
      <c r="BX3" s="191"/>
      <c r="BY3" s="191"/>
      <c r="BZ3" s="191"/>
      <c r="CA3" s="191"/>
      <c r="CB3" s="191"/>
      <c r="CC3" s="191"/>
      <c r="CD3" s="191"/>
      <c r="CE3" s="191"/>
      <c r="CF3" s="191"/>
      <c r="CG3" s="191"/>
      <c r="CH3" s="191"/>
      <c r="CI3" s="191"/>
    </row>
    <row r="4" spans="1:87" customFormat="1" ht="18" customHeight="1" x14ac:dyDescent="0.25">
      <c r="A4" s="3537"/>
      <c r="B4" s="3537"/>
      <c r="C4" s="3537"/>
      <c r="D4" s="3537"/>
      <c r="E4" s="3537"/>
      <c r="F4" s="3537"/>
      <c r="G4" s="3537"/>
      <c r="H4" s="3537"/>
      <c r="I4" s="3537"/>
      <c r="J4" s="3537"/>
      <c r="K4" s="3537"/>
      <c r="L4" s="3537"/>
      <c r="M4" s="3537"/>
      <c r="N4" s="3537"/>
      <c r="O4" s="3537"/>
      <c r="P4" s="3537"/>
      <c r="Q4" s="3537"/>
      <c r="R4" s="3537"/>
      <c r="S4" s="3537"/>
      <c r="T4" s="3537"/>
      <c r="U4" s="3537"/>
      <c r="V4" s="3537"/>
      <c r="W4" s="3537"/>
      <c r="X4" s="3537"/>
      <c r="Y4" s="3537"/>
      <c r="Z4" s="3537"/>
      <c r="AA4" s="3537"/>
      <c r="AB4" s="3537"/>
      <c r="AC4" s="3537"/>
      <c r="AD4" s="3537"/>
      <c r="AE4" s="3537"/>
      <c r="AF4" s="3537"/>
      <c r="AG4" s="3537"/>
      <c r="AH4" s="3537"/>
      <c r="AI4" s="3537"/>
      <c r="AJ4" s="3537"/>
      <c r="AK4" s="3537"/>
      <c r="AL4" s="3537"/>
      <c r="AM4" s="3537"/>
      <c r="AN4" s="3537"/>
      <c r="AO4" s="3537"/>
      <c r="AP4" s="3537"/>
      <c r="AQ4" s="3537"/>
      <c r="AR4" s="3537"/>
      <c r="AS4" s="3537"/>
      <c r="AT4" s="3537"/>
      <c r="AU4" s="3537"/>
      <c r="AV4" s="3537"/>
      <c r="AW4" s="3537"/>
      <c r="AX4" s="3537"/>
      <c r="AY4" s="3537"/>
      <c r="AZ4" s="3537"/>
      <c r="BA4" s="3537"/>
      <c r="BB4" s="3537"/>
      <c r="BC4" s="3537"/>
      <c r="BD4" s="3537"/>
      <c r="BE4" s="3537"/>
      <c r="BF4" s="3537"/>
      <c r="BG4" s="3537"/>
      <c r="BH4" s="3537"/>
      <c r="BI4" s="3537"/>
      <c r="BJ4" s="3537"/>
      <c r="BK4" s="3537"/>
      <c r="BL4" s="3537"/>
      <c r="BM4" s="3537"/>
      <c r="BN4" s="3538"/>
      <c r="BO4" s="1273" t="s">
        <v>7</v>
      </c>
      <c r="BP4" s="194" t="s">
        <v>8</v>
      </c>
      <c r="BQ4" s="191"/>
      <c r="BR4" s="191"/>
      <c r="BS4" s="191"/>
      <c r="BT4" s="191"/>
      <c r="BU4" s="191"/>
      <c r="BV4" s="191"/>
      <c r="BW4" s="191"/>
      <c r="BX4" s="191"/>
      <c r="BY4" s="191"/>
      <c r="BZ4" s="191"/>
      <c r="CA4" s="191"/>
      <c r="CB4" s="191"/>
      <c r="CC4" s="191"/>
      <c r="CD4" s="191"/>
      <c r="CE4" s="191"/>
      <c r="CF4" s="191"/>
      <c r="CG4" s="191"/>
      <c r="CH4" s="191"/>
      <c r="CI4" s="191"/>
    </row>
    <row r="5" spans="1:87" customFormat="1" ht="22.5" customHeight="1" x14ac:dyDescent="0.25">
      <c r="A5" s="2664" t="s">
        <v>9</v>
      </c>
      <c r="B5" s="2664"/>
      <c r="C5" s="2664"/>
      <c r="D5" s="2664"/>
      <c r="E5" s="2664"/>
      <c r="F5" s="2664"/>
      <c r="G5" s="2664"/>
      <c r="H5" s="2664"/>
      <c r="I5" s="2664"/>
      <c r="J5" s="2664"/>
      <c r="K5" s="2664"/>
      <c r="L5" s="2235"/>
      <c r="M5" s="2666" t="s">
        <v>10</v>
      </c>
      <c r="N5" s="2666"/>
      <c r="O5" s="2666"/>
      <c r="P5" s="2666"/>
      <c r="Q5" s="2666"/>
      <c r="R5" s="2666"/>
      <c r="S5" s="2666"/>
      <c r="T5" s="2666"/>
      <c r="U5" s="2666"/>
      <c r="V5" s="2666"/>
      <c r="W5" s="2666"/>
      <c r="X5" s="2666"/>
      <c r="Y5" s="2666"/>
      <c r="Z5" s="2666"/>
      <c r="AA5" s="2666"/>
      <c r="AB5" s="2666"/>
      <c r="AC5" s="2666"/>
      <c r="AD5" s="2666"/>
      <c r="AE5" s="2666"/>
      <c r="AF5" s="2666"/>
      <c r="AG5" s="2666"/>
      <c r="AH5" s="2666"/>
      <c r="AI5" s="2666"/>
      <c r="AJ5" s="2666"/>
      <c r="AK5" s="2666"/>
      <c r="AL5" s="2666"/>
      <c r="AM5" s="2666"/>
      <c r="AN5" s="2666"/>
      <c r="AO5" s="2666"/>
      <c r="AP5" s="2666"/>
      <c r="AQ5" s="2666"/>
      <c r="AR5" s="2666"/>
      <c r="AS5" s="2666"/>
      <c r="AT5" s="2666"/>
      <c r="AU5" s="2666"/>
      <c r="AV5" s="2666"/>
      <c r="AW5" s="2666"/>
      <c r="AX5" s="2666"/>
      <c r="AY5" s="2666"/>
      <c r="AZ5" s="2666"/>
      <c r="BA5" s="2666"/>
      <c r="BB5" s="2666"/>
      <c r="BC5" s="2666"/>
      <c r="BD5" s="2666"/>
      <c r="BE5" s="2666"/>
      <c r="BF5" s="2666"/>
      <c r="BG5" s="2666"/>
      <c r="BH5" s="2666"/>
      <c r="BI5" s="2666"/>
      <c r="BJ5" s="2666"/>
      <c r="BK5" s="2666"/>
      <c r="BL5" s="2666"/>
      <c r="BM5" s="2666"/>
      <c r="BN5" s="2666"/>
      <c r="BO5" s="2666"/>
      <c r="BP5" s="2666"/>
      <c r="BQ5" s="3"/>
      <c r="BR5" s="3"/>
      <c r="BS5" s="3"/>
      <c r="BT5" s="3"/>
      <c r="BU5" s="3"/>
      <c r="BV5" s="3"/>
      <c r="BW5" s="3"/>
      <c r="BX5" s="3"/>
      <c r="BY5" s="3"/>
      <c r="BZ5" s="3"/>
      <c r="CA5" s="3"/>
      <c r="CB5" s="3"/>
      <c r="CC5" s="3"/>
      <c r="CD5" s="3"/>
      <c r="CE5" s="3"/>
      <c r="CF5" s="3"/>
      <c r="CG5" s="3"/>
      <c r="CH5" s="3"/>
      <c r="CI5" s="3"/>
    </row>
    <row r="6" spans="1:87" customFormat="1" ht="29.25" customHeight="1" x14ac:dyDescent="0.25">
      <c r="A6" s="2665"/>
      <c r="B6" s="2665"/>
      <c r="C6" s="2665"/>
      <c r="D6" s="2665"/>
      <c r="E6" s="2665"/>
      <c r="F6" s="2665"/>
      <c r="G6" s="2665"/>
      <c r="H6" s="2665"/>
      <c r="I6" s="2665"/>
      <c r="J6" s="2665"/>
      <c r="K6" s="2665"/>
      <c r="L6" s="2236"/>
      <c r="M6" s="9"/>
      <c r="N6" s="10"/>
      <c r="O6" s="11"/>
      <c r="P6" s="2236"/>
      <c r="Q6" s="10"/>
      <c r="R6" s="11"/>
      <c r="S6" s="11"/>
      <c r="T6" s="11"/>
      <c r="U6" s="10"/>
      <c r="V6" s="10"/>
      <c r="W6" s="10"/>
      <c r="X6" s="10"/>
      <c r="Y6" s="10"/>
      <c r="Z6" s="2972" t="s">
        <v>11</v>
      </c>
      <c r="AA6" s="3539"/>
      <c r="AB6" s="3539"/>
      <c r="AC6" s="3539"/>
      <c r="AD6" s="3539"/>
      <c r="AE6" s="3539"/>
      <c r="AF6" s="3539"/>
      <c r="AG6" s="3539"/>
      <c r="AH6" s="3539"/>
      <c r="AI6" s="3539"/>
      <c r="AJ6" s="3539"/>
      <c r="AK6" s="3539"/>
      <c r="AL6" s="3539"/>
      <c r="AM6" s="3539"/>
      <c r="AN6" s="3539"/>
      <c r="AO6" s="3539"/>
      <c r="AP6" s="3539"/>
      <c r="AQ6" s="3539"/>
      <c r="AR6" s="3539"/>
      <c r="AS6" s="3539"/>
      <c r="AT6" s="3539"/>
      <c r="AU6" s="3539"/>
      <c r="AV6" s="3539"/>
      <c r="AW6" s="3539"/>
      <c r="AX6" s="3539"/>
      <c r="AY6" s="3539"/>
      <c r="AZ6" s="3539"/>
      <c r="BA6" s="3539"/>
      <c r="BB6" s="3539"/>
      <c r="BC6" s="3539"/>
      <c r="BD6" s="3539"/>
      <c r="BE6" s="3539"/>
      <c r="BF6" s="2236"/>
      <c r="BG6" s="2236"/>
      <c r="BH6" s="2236"/>
      <c r="BI6" s="2236"/>
      <c r="BJ6" s="2236"/>
      <c r="BK6" s="2236"/>
      <c r="BL6" s="2236"/>
      <c r="BM6" s="2236"/>
      <c r="BN6" s="2236"/>
      <c r="BO6" s="2236"/>
      <c r="BP6" s="14"/>
      <c r="BQ6" s="3"/>
      <c r="BR6" s="3"/>
      <c r="BS6" s="3"/>
      <c r="BT6" s="3"/>
      <c r="BU6" s="3"/>
      <c r="BV6" s="3"/>
      <c r="BW6" s="3"/>
      <c r="BX6" s="3"/>
      <c r="BY6" s="3"/>
      <c r="BZ6" s="3"/>
      <c r="CA6" s="3"/>
      <c r="CB6" s="3"/>
      <c r="CC6" s="3"/>
      <c r="CD6" s="3"/>
      <c r="CE6" s="3"/>
      <c r="CF6" s="3"/>
      <c r="CG6" s="3"/>
      <c r="CH6" s="3"/>
      <c r="CI6" s="3"/>
    </row>
    <row r="7" spans="1:87" s="4" customFormat="1" ht="36" customHeight="1" x14ac:dyDescent="0.2">
      <c r="A7" s="2534" t="s">
        <v>12</v>
      </c>
      <c r="B7" s="2536" t="s">
        <v>13</v>
      </c>
      <c r="C7" s="2537"/>
      <c r="D7" s="2537" t="s">
        <v>12</v>
      </c>
      <c r="E7" s="2536" t="s">
        <v>14</v>
      </c>
      <c r="F7" s="2537"/>
      <c r="G7" s="2537" t="s">
        <v>12</v>
      </c>
      <c r="H7" s="2516" t="s">
        <v>313</v>
      </c>
      <c r="I7" s="2536" t="s">
        <v>15</v>
      </c>
      <c r="J7" s="2516" t="s">
        <v>16</v>
      </c>
      <c r="K7" s="2536" t="s">
        <v>17</v>
      </c>
      <c r="L7" s="2537"/>
      <c r="M7" s="2516" t="s">
        <v>18</v>
      </c>
      <c r="N7" s="2516" t="s">
        <v>19</v>
      </c>
      <c r="O7" s="2516" t="s">
        <v>10</v>
      </c>
      <c r="P7" s="2562" t="s">
        <v>20</v>
      </c>
      <c r="Q7" s="2564" t="s">
        <v>21</v>
      </c>
      <c r="R7" s="2536" t="s">
        <v>22</v>
      </c>
      <c r="S7" s="2536" t="s">
        <v>23</v>
      </c>
      <c r="T7" s="2516" t="s">
        <v>24</v>
      </c>
      <c r="U7" s="2566" t="s">
        <v>21</v>
      </c>
      <c r="V7" s="2566"/>
      <c r="W7" s="2566"/>
      <c r="X7" s="2548" t="s">
        <v>12</v>
      </c>
      <c r="Y7" s="2658" t="s">
        <v>25</v>
      </c>
      <c r="Z7" s="3964" t="s">
        <v>26</v>
      </c>
      <c r="AA7" s="3965"/>
      <c r="AB7" s="3965"/>
      <c r="AC7" s="3966"/>
      <c r="AD7" s="2912" t="s">
        <v>27</v>
      </c>
      <c r="AE7" s="3967"/>
      <c r="AF7" s="3967"/>
      <c r="AG7" s="3967"/>
      <c r="AH7" s="3967"/>
      <c r="AI7" s="3967"/>
      <c r="AJ7" s="3967"/>
      <c r="AK7" s="2913"/>
      <c r="AL7" s="3968" t="s">
        <v>28</v>
      </c>
      <c r="AM7" s="3968"/>
      <c r="AN7" s="3968"/>
      <c r="AO7" s="3968"/>
      <c r="AP7" s="3968"/>
      <c r="AQ7" s="3968"/>
      <c r="AR7" s="3968"/>
      <c r="AS7" s="3968"/>
      <c r="AT7" s="3968"/>
      <c r="AU7" s="3968"/>
      <c r="AV7" s="3968"/>
      <c r="AW7" s="3968"/>
      <c r="AX7" s="2912" t="s">
        <v>29</v>
      </c>
      <c r="AY7" s="3967"/>
      <c r="AZ7" s="3967"/>
      <c r="BA7" s="3967"/>
      <c r="BB7" s="3967"/>
      <c r="BC7" s="2913"/>
      <c r="BD7" s="2576" t="s">
        <v>30</v>
      </c>
      <c r="BE7" s="2576"/>
      <c r="BF7" s="3976" t="s">
        <v>31</v>
      </c>
      <c r="BG7" s="3977"/>
      <c r="BH7" s="3977"/>
      <c r="BI7" s="3977"/>
      <c r="BJ7" s="3977"/>
      <c r="BK7" s="3978"/>
      <c r="BL7" s="2541" t="s">
        <v>32</v>
      </c>
      <c r="BM7" s="2542"/>
      <c r="BN7" s="2541" t="s">
        <v>33</v>
      </c>
      <c r="BO7" s="2542"/>
      <c r="BP7" s="2915" t="s">
        <v>34</v>
      </c>
    </row>
    <row r="8" spans="1:87" s="4" customFormat="1" ht="127.5" customHeight="1" x14ac:dyDescent="0.2">
      <c r="A8" s="2535"/>
      <c r="B8" s="2538"/>
      <c r="C8" s="2539"/>
      <c r="D8" s="2539"/>
      <c r="E8" s="2538"/>
      <c r="F8" s="2539"/>
      <c r="G8" s="2539"/>
      <c r="H8" s="2517"/>
      <c r="I8" s="2538"/>
      <c r="J8" s="2517"/>
      <c r="K8" s="2705"/>
      <c r="L8" s="2706"/>
      <c r="M8" s="2517"/>
      <c r="N8" s="2517"/>
      <c r="O8" s="2517"/>
      <c r="P8" s="2563"/>
      <c r="Q8" s="2565"/>
      <c r="R8" s="2538"/>
      <c r="S8" s="2538"/>
      <c r="T8" s="2517"/>
      <c r="U8" s="2546" t="s">
        <v>315</v>
      </c>
      <c r="V8" s="2546" t="s">
        <v>230</v>
      </c>
      <c r="W8" s="2546" t="s">
        <v>316</v>
      </c>
      <c r="X8" s="2549"/>
      <c r="Y8" s="2659"/>
      <c r="Z8" s="2558" t="s">
        <v>38</v>
      </c>
      <c r="AA8" s="2559"/>
      <c r="AB8" s="2558" t="s">
        <v>39</v>
      </c>
      <c r="AC8" s="2559"/>
      <c r="AD8" s="2560" t="s">
        <v>40</v>
      </c>
      <c r="AE8" s="2561"/>
      <c r="AF8" s="2560" t="s">
        <v>41</v>
      </c>
      <c r="AG8" s="2561"/>
      <c r="AH8" s="2560" t="s">
        <v>42</v>
      </c>
      <c r="AI8" s="2561"/>
      <c r="AJ8" s="2560" t="s">
        <v>43</v>
      </c>
      <c r="AK8" s="2561"/>
      <c r="AL8" s="2575" t="s">
        <v>44</v>
      </c>
      <c r="AM8" s="2575"/>
      <c r="AN8" s="2575" t="s">
        <v>45</v>
      </c>
      <c r="AO8" s="2575"/>
      <c r="AP8" s="2575" t="s">
        <v>46</v>
      </c>
      <c r="AQ8" s="2575"/>
      <c r="AR8" s="2575" t="s">
        <v>47</v>
      </c>
      <c r="AS8" s="2575"/>
      <c r="AT8" s="2575" t="s">
        <v>48</v>
      </c>
      <c r="AU8" s="2575"/>
      <c r="AV8" s="2575" t="s">
        <v>49</v>
      </c>
      <c r="AW8" s="2575"/>
      <c r="AX8" s="2560" t="s">
        <v>50</v>
      </c>
      <c r="AY8" s="2561"/>
      <c r="AZ8" s="2560" t="s">
        <v>51</v>
      </c>
      <c r="BA8" s="2561"/>
      <c r="BB8" s="2560" t="s">
        <v>52</v>
      </c>
      <c r="BC8" s="2561"/>
      <c r="BD8" s="2576"/>
      <c r="BE8" s="2576"/>
      <c r="BF8" s="2568" t="s">
        <v>53</v>
      </c>
      <c r="BG8" s="2567" t="s">
        <v>54</v>
      </c>
      <c r="BH8" s="2568" t="s">
        <v>55</v>
      </c>
      <c r="BI8" s="3969" t="s">
        <v>56</v>
      </c>
      <c r="BJ8" s="2568" t="s">
        <v>57</v>
      </c>
      <c r="BK8" s="2570" t="s">
        <v>58</v>
      </c>
      <c r="BL8" s="2543"/>
      <c r="BM8" s="2544"/>
      <c r="BN8" s="2543"/>
      <c r="BO8" s="2544"/>
      <c r="BP8" s="2545"/>
    </row>
    <row r="9" spans="1:87" s="4" customFormat="1" ht="45.75" customHeight="1" x14ac:dyDescent="0.2">
      <c r="A9" s="2535"/>
      <c r="B9" s="2538"/>
      <c r="C9" s="2539"/>
      <c r="D9" s="2539"/>
      <c r="E9" s="2538"/>
      <c r="F9" s="2539"/>
      <c r="G9" s="2539"/>
      <c r="H9" s="2540"/>
      <c r="I9" s="2538"/>
      <c r="J9" s="2517"/>
      <c r="K9" s="2218" t="s">
        <v>59</v>
      </c>
      <c r="L9" s="2218" t="s">
        <v>60</v>
      </c>
      <c r="M9" s="2517"/>
      <c r="N9" s="2517"/>
      <c r="O9" s="2517"/>
      <c r="P9" s="2563"/>
      <c r="Q9" s="2565"/>
      <c r="R9" s="2538"/>
      <c r="S9" s="2538"/>
      <c r="T9" s="2517"/>
      <c r="U9" s="2547"/>
      <c r="V9" s="2547"/>
      <c r="W9" s="2547"/>
      <c r="X9" s="2550"/>
      <c r="Y9" s="2659"/>
      <c r="Z9" s="403" t="s">
        <v>59</v>
      </c>
      <c r="AA9" s="403" t="s">
        <v>60</v>
      </c>
      <c r="AB9" s="403" t="s">
        <v>59</v>
      </c>
      <c r="AC9" s="403" t="s">
        <v>60</v>
      </c>
      <c r="AD9" s="403" t="s">
        <v>59</v>
      </c>
      <c r="AE9" s="403" t="s">
        <v>60</v>
      </c>
      <c r="AF9" s="403" t="s">
        <v>59</v>
      </c>
      <c r="AG9" s="403" t="s">
        <v>60</v>
      </c>
      <c r="AH9" s="403" t="s">
        <v>59</v>
      </c>
      <c r="AI9" s="403" t="s">
        <v>60</v>
      </c>
      <c r="AJ9" s="403" t="s">
        <v>59</v>
      </c>
      <c r="AK9" s="403" t="s">
        <v>60</v>
      </c>
      <c r="AL9" s="403" t="s">
        <v>59</v>
      </c>
      <c r="AM9" s="403" t="s">
        <v>60</v>
      </c>
      <c r="AN9" s="403" t="s">
        <v>59</v>
      </c>
      <c r="AO9" s="403" t="s">
        <v>60</v>
      </c>
      <c r="AP9" s="403" t="s">
        <v>59</v>
      </c>
      <c r="AQ9" s="403" t="s">
        <v>60</v>
      </c>
      <c r="AR9" s="403" t="s">
        <v>59</v>
      </c>
      <c r="AS9" s="403" t="s">
        <v>60</v>
      </c>
      <c r="AT9" s="403" t="s">
        <v>59</v>
      </c>
      <c r="AU9" s="403" t="s">
        <v>60</v>
      </c>
      <c r="AV9" s="403" t="s">
        <v>59</v>
      </c>
      <c r="AW9" s="403" t="s">
        <v>60</v>
      </c>
      <c r="AX9" s="403" t="s">
        <v>59</v>
      </c>
      <c r="AY9" s="403" t="s">
        <v>60</v>
      </c>
      <c r="AZ9" s="403" t="s">
        <v>59</v>
      </c>
      <c r="BA9" s="403" t="s">
        <v>60</v>
      </c>
      <c r="BB9" s="403" t="s">
        <v>59</v>
      </c>
      <c r="BC9" s="403" t="s">
        <v>60</v>
      </c>
      <c r="BD9" s="403" t="s">
        <v>59</v>
      </c>
      <c r="BE9" s="403" t="s">
        <v>60</v>
      </c>
      <c r="BF9" s="2568"/>
      <c r="BG9" s="2567"/>
      <c r="BH9" s="2568"/>
      <c r="BI9" s="3969"/>
      <c r="BJ9" s="2568"/>
      <c r="BK9" s="2571"/>
      <c r="BL9" s="403" t="s">
        <v>59</v>
      </c>
      <c r="BM9" s="403" t="s">
        <v>60</v>
      </c>
      <c r="BN9" s="403" t="s">
        <v>59</v>
      </c>
      <c r="BO9" s="403" t="s">
        <v>60</v>
      </c>
      <c r="BP9" s="2545"/>
    </row>
    <row r="10" spans="1:87" s="4" customFormat="1" ht="15.75" x14ac:dyDescent="0.2">
      <c r="A10" s="203">
        <v>1</v>
      </c>
      <c r="B10" s="204" t="s">
        <v>233</v>
      </c>
      <c r="C10" s="754"/>
      <c r="D10" s="206"/>
      <c r="E10" s="205"/>
      <c r="F10" s="205"/>
      <c r="G10" s="205"/>
      <c r="H10" s="205"/>
      <c r="I10" s="205"/>
      <c r="J10" s="205"/>
      <c r="K10" s="1732"/>
      <c r="L10" s="1732"/>
      <c r="M10" s="2312"/>
      <c r="N10" s="1732"/>
      <c r="O10" s="1738"/>
      <c r="P10" s="1734"/>
      <c r="Q10" s="2313"/>
      <c r="R10" s="2314"/>
      <c r="S10" s="2314"/>
      <c r="T10" s="2314"/>
      <c r="U10" s="2315"/>
      <c r="V10" s="2315"/>
      <c r="W10" s="2315"/>
      <c r="X10" s="1737"/>
      <c r="Y10" s="2314"/>
      <c r="Z10" s="1732"/>
      <c r="AA10" s="1732"/>
      <c r="AB10" s="1732"/>
      <c r="AC10" s="1732"/>
      <c r="AD10" s="1732"/>
      <c r="AE10" s="1732"/>
      <c r="AF10" s="1732"/>
      <c r="AG10" s="1732"/>
      <c r="AH10" s="1732"/>
      <c r="AI10" s="1732"/>
      <c r="AJ10" s="1732"/>
      <c r="AK10" s="1732"/>
      <c r="AL10" s="1732"/>
      <c r="AM10" s="1732"/>
      <c r="AN10" s="1732"/>
      <c r="AO10" s="1732"/>
      <c r="AP10" s="1732"/>
      <c r="AQ10" s="1732"/>
      <c r="AR10" s="1732"/>
      <c r="AS10" s="1732"/>
      <c r="AT10" s="1732"/>
      <c r="AU10" s="1732"/>
      <c r="AV10" s="1732"/>
      <c r="AW10" s="1732"/>
      <c r="AX10" s="1732"/>
      <c r="AY10" s="1732"/>
      <c r="AZ10" s="1732"/>
      <c r="BA10" s="1732"/>
      <c r="BB10" s="1732"/>
      <c r="BC10" s="1732"/>
      <c r="BD10" s="1732"/>
      <c r="BE10" s="1732"/>
      <c r="BF10" s="1732"/>
      <c r="BG10" s="1732"/>
      <c r="BH10" s="1732"/>
      <c r="BI10" s="2316"/>
      <c r="BJ10" s="1732"/>
      <c r="BK10" s="1732"/>
      <c r="BL10" s="1740"/>
      <c r="BM10" s="1740"/>
      <c r="BN10" s="1740"/>
      <c r="BO10" s="1740"/>
      <c r="BP10" s="2317"/>
    </row>
    <row r="11" spans="1:87" s="4" customFormat="1" ht="21.75" customHeight="1" x14ac:dyDescent="0.2">
      <c r="A11" s="2318"/>
      <c r="B11" s="2319"/>
      <c r="C11" s="2320"/>
      <c r="D11" s="277">
        <v>15</v>
      </c>
      <c r="E11" s="234" t="s">
        <v>617</v>
      </c>
      <c r="F11" s="222"/>
      <c r="G11" s="221"/>
      <c r="H11" s="221"/>
      <c r="I11" s="220"/>
      <c r="J11" s="234"/>
      <c r="K11" s="223"/>
      <c r="L11" s="223"/>
      <c r="M11" s="2321"/>
      <c r="N11" s="280"/>
      <c r="O11" s="227"/>
      <c r="P11" s="228"/>
      <c r="Q11" s="2322"/>
      <c r="R11" s="279"/>
      <c r="S11" s="279"/>
      <c r="T11" s="2323"/>
      <c r="U11" s="2324"/>
      <c r="V11" s="2324"/>
      <c r="W11" s="2324"/>
      <c r="X11" s="1780"/>
      <c r="Y11" s="328"/>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325"/>
      <c r="BJ11" s="280"/>
      <c r="BK11" s="280"/>
      <c r="BL11" s="288"/>
      <c r="BM11" s="288"/>
      <c r="BN11" s="288"/>
      <c r="BO11" s="288"/>
      <c r="BP11" s="2326"/>
    </row>
    <row r="12" spans="1:87" s="366" customFormat="1" ht="45.75" customHeight="1" x14ac:dyDescent="0.2">
      <c r="A12" s="2327"/>
      <c r="B12" s="2267"/>
      <c r="C12" s="2228"/>
      <c r="D12" s="2129"/>
      <c r="E12" s="2328"/>
      <c r="F12" s="2329"/>
      <c r="G12" s="2583">
        <v>2201033</v>
      </c>
      <c r="H12" s="2748">
        <v>15.13</v>
      </c>
      <c r="I12" s="2698" t="s">
        <v>1814</v>
      </c>
      <c r="J12" s="3970" t="s">
        <v>1815</v>
      </c>
      <c r="K12" s="3971">
        <v>9000</v>
      </c>
      <c r="L12" s="3971">
        <v>9000</v>
      </c>
      <c r="M12" s="3974" t="s">
        <v>1816</v>
      </c>
      <c r="N12" s="2988" t="s">
        <v>1817</v>
      </c>
      <c r="O12" s="4009" t="s">
        <v>1818</v>
      </c>
      <c r="P12" s="3298">
        <f>SUM(U12:U15)/Q12</f>
        <v>0.25931083184414566</v>
      </c>
      <c r="Q12" s="4012">
        <f>SUM(U12:U27)</f>
        <v>20949608404.5</v>
      </c>
      <c r="R12" s="2724" t="s">
        <v>1819</v>
      </c>
      <c r="S12" s="4013" t="s">
        <v>1820</v>
      </c>
      <c r="T12" s="2821" t="s">
        <v>1821</v>
      </c>
      <c r="U12" s="2330">
        <v>1783665275</v>
      </c>
      <c r="V12" s="2331">
        <v>1284668309</v>
      </c>
      <c r="W12" s="2331">
        <v>1284668309</v>
      </c>
      <c r="X12" s="2332">
        <v>35</v>
      </c>
      <c r="Y12" s="2230" t="s">
        <v>1822</v>
      </c>
      <c r="Z12" s="3979">
        <v>20196</v>
      </c>
      <c r="AA12" s="3981">
        <v>19390.222222222223</v>
      </c>
      <c r="AB12" s="3981">
        <v>20595</v>
      </c>
      <c r="AC12" s="3981">
        <v>19836</v>
      </c>
      <c r="AD12" s="3981">
        <v>29775</v>
      </c>
      <c r="AE12" s="3981">
        <v>28890</v>
      </c>
      <c r="AF12" s="3981">
        <v>9453</v>
      </c>
      <c r="AG12" s="3981">
        <v>9117.4444444444453</v>
      </c>
      <c r="AH12" s="3981">
        <v>1396</v>
      </c>
      <c r="AI12" s="3981">
        <v>1123.3333333333333</v>
      </c>
      <c r="AJ12" s="3981">
        <v>167</v>
      </c>
      <c r="AK12" s="3981">
        <v>95</v>
      </c>
      <c r="AL12" s="3987">
        <v>274</v>
      </c>
      <c r="AM12" s="3987">
        <v>290.22222222222223</v>
      </c>
      <c r="AN12" s="3987">
        <v>329</v>
      </c>
      <c r="AO12" s="3987">
        <v>332.22222222222223</v>
      </c>
      <c r="AP12" s="3987">
        <v>0</v>
      </c>
      <c r="AQ12" s="3987">
        <v>0</v>
      </c>
      <c r="AR12" s="3987">
        <v>0</v>
      </c>
      <c r="AS12" s="3987">
        <v>0</v>
      </c>
      <c r="AT12" s="3987">
        <v>0</v>
      </c>
      <c r="AU12" s="3987">
        <v>0</v>
      </c>
      <c r="AV12" s="3987">
        <v>0</v>
      </c>
      <c r="AW12" s="3987">
        <v>0</v>
      </c>
      <c r="AX12" s="3987">
        <v>3097</v>
      </c>
      <c r="AY12" s="3987">
        <v>3256.4444444444443</v>
      </c>
      <c r="AZ12" s="3987">
        <v>2611</v>
      </c>
      <c r="BA12" s="3987">
        <v>2467.8888888888887</v>
      </c>
      <c r="BB12" s="3987">
        <v>50</v>
      </c>
      <c r="BC12" s="3987">
        <v>112.88888888888889</v>
      </c>
      <c r="BD12" s="3987">
        <f>+Z12+AB12</f>
        <v>40791</v>
      </c>
      <c r="BE12" s="3991">
        <f>SUM(AA12+AC12)</f>
        <v>39226.222222222219</v>
      </c>
      <c r="BF12" s="3991">
        <v>20</v>
      </c>
      <c r="BG12" s="3991">
        <f>SUM(V12:V27)</f>
        <v>18931490623</v>
      </c>
      <c r="BH12" s="3991">
        <f>SUM(W12:W27)</f>
        <v>18604827953.000004</v>
      </c>
      <c r="BI12" s="3993">
        <f>BH12/BG12</f>
        <v>0.98274501060137698</v>
      </c>
      <c r="BJ12" s="2244" t="s">
        <v>1822</v>
      </c>
      <c r="BK12" s="2255"/>
      <c r="BL12" s="3995">
        <v>43832</v>
      </c>
      <c r="BM12" s="3996">
        <v>43832</v>
      </c>
      <c r="BN12" s="3171">
        <v>44195</v>
      </c>
      <c r="BO12" s="3171">
        <v>44195</v>
      </c>
      <c r="BP12" s="3989" t="s">
        <v>1823</v>
      </c>
    </row>
    <row r="13" spans="1:87" s="366" customFormat="1" ht="54.75" customHeight="1" x14ac:dyDescent="0.2">
      <c r="A13" s="2327"/>
      <c r="B13" s="2267"/>
      <c r="C13" s="2228"/>
      <c r="E13" s="2333"/>
      <c r="F13" s="2334"/>
      <c r="G13" s="2584"/>
      <c r="H13" s="2749"/>
      <c r="I13" s="2698"/>
      <c r="J13" s="3613"/>
      <c r="K13" s="3972"/>
      <c r="L13" s="3972"/>
      <c r="M13" s="3975"/>
      <c r="N13" s="2988"/>
      <c r="O13" s="4010"/>
      <c r="P13" s="3298"/>
      <c r="Q13" s="4012"/>
      <c r="R13" s="2724"/>
      <c r="S13" s="3247"/>
      <c r="T13" s="2821"/>
      <c r="U13" s="2335">
        <v>1677119008</v>
      </c>
      <c r="V13" s="2336">
        <v>1676359327</v>
      </c>
      <c r="W13" s="2336">
        <v>1673883645</v>
      </c>
      <c r="X13" s="2271">
        <v>20</v>
      </c>
      <c r="Y13" s="2221" t="s">
        <v>397</v>
      </c>
      <c r="Z13" s="3980"/>
      <c r="AA13" s="3982"/>
      <c r="AB13" s="3982"/>
      <c r="AC13" s="3982"/>
      <c r="AD13" s="3982"/>
      <c r="AE13" s="3982"/>
      <c r="AF13" s="3982"/>
      <c r="AG13" s="3982"/>
      <c r="AH13" s="3982"/>
      <c r="AI13" s="3982"/>
      <c r="AJ13" s="3982">
        <v>167</v>
      </c>
      <c r="AK13" s="3982"/>
      <c r="AL13" s="3988">
        <v>274</v>
      </c>
      <c r="AM13" s="3988"/>
      <c r="AN13" s="3988"/>
      <c r="AO13" s="3988"/>
      <c r="AP13" s="3988"/>
      <c r="AQ13" s="3988"/>
      <c r="AR13" s="3988"/>
      <c r="AS13" s="3988"/>
      <c r="AT13" s="3988"/>
      <c r="AU13" s="3988"/>
      <c r="AV13" s="3988"/>
      <c r="AW13" s="3988"/>
      <c r="AX13" s="3988"/>
      <c r="AY13" s="3988"/>
      <c r="AZ13" s="3988"/>
      <c r="BA13" s="3988"/>
      <c r="BB13" s="3988"/>
      <c r="BC13" s="3988"/>
      <c r="BD13" s="3988"/>
      <c r="BE13" s="3992"/>
      <c r="BF13" s="3992"/>
      <c r="BG13" s="3992"/>
      <c r="BH13" s="3992"/>
      <c r="BI13" s="3994"/>
      <c r="BJ13" s="2244" t="s">
        <v>1824</v>
      </c>
      <c r="BK13" s="2256" t="s">
        <v>1825</v>
      </c>
      <c r="BL13" s="3995"/>
      <c r="BM13" s="3997"/>
      <c r="BN13" s="3172"/>
      <c r="BO13" s="3172"/>
      <c r="BP13" s="3990"/>
    </row>
    <row r="14" spans="1:87" s="366" customFormat="1" ht="36.75" customHeight="1" x14ac:dyDescent="0.2">
      <c r="A14" s="2327"/>
      <c r="B14" s="2267"/>
      <c r="C14" s="2228"/>
      <c r="E14" s="2333"/>
      <c r="F14" s="2334"/>
      <c r="G14" s="2584"/>
      <c r="H14" s="2749"/>
      <c r="I14" s="2788"/>
      <c r="J14" s="3613"/>
      <c r="K14" s="3972"/>
      <c r="L14" s="3972"/>
      <c r="M14" s="3975"/>
      <c r="N14" s="2988"/>
      <c r="O14" s="4010"/>
      <c r="P14" s="3298"/>
      <c r="Q14" s="4012"/>
      <c r="R14" s="2724"/>
      <c r="S14" s="3247"/>
      <c r="T14" s="2821"/>
      <c r="U14" s="2330">
        <v>1711721541.22</v>
      </c>
      <c r="V14" s="2105">
        <v>1711575241.22</v>
      </c>
      <c r="W14" s="2105">
        <v>1502454718</v>
      </c>
      <c r="X14" s="2253">
        <v>88</v>
      </c>
      <c r="Y14" s="2230" t="s">
        <v>1826</v>
      </c>
      <c r="Z14" s="3980"/>
      <c r="AA14" s="3982"/>
      <c r="AB14" s="3982"/>
      <c r="AC14" s="3982"/>
      <c r="AD14" s="3982"/>
      <c r="AE14" s="3982"/>
      <c r="AF14" s="3982"/>
      <c r="AG14" s="3982"/>
      <c r="AH14" s="3982"/>
      <c r="AI14" s="3982"/>
      <c r="AJ14" s="3982">
        <v>167</v>
      </c>
      <c r="AK14" s="3982"/>
      <c r="AL14" s="3988">
        <v>274</v>
      </c>
      <c r="AM14" s="3988"/>
      <c r="AN14" s="3988"/>
      <c r="AO14" s="3988"/>
      <c r="AP14" s="3988"/>
      <c r="AQ14" s="3988"/>
      <c r="AR14" s="3988"/>
      <c r="AS14" s="3988"/>
      <c r="AT14" s="3988"/>
      <c r="AU14" s="3988"/>
      <c r="AV14" s="3988"/>
      <c r="AW14" s="3988"/>
      <c r="AX14" s="3988"/>
      <c r="AY14" s="3988"/>
      <c r="AZ14" s="3988"/>
      <c r="BA14" s="3988"/>
      <c r="BB14" s="3988"/>
      <c r="BC14" s="3988"/>
      <c r="BD14" s="3988"/>
      <c r="BE14" s="3992"/>
      <c r="BF14" s="3992"/>
      <c r="BG14" s="3992"/>
      <c r="BH14" s="3992"/>
      <c r="BI14" s="3994"/>
      <c r="BJ14" s="2244" t="s">
        <v>85</v>
      </c>
      <c r="BK14" s="2256"/>
      <c r="BL14" s="3995"/>
      <c r="BM14" s="3997"/>
      <c r="BN14" s="3172"/>
      <c r="BO14" s="3172"/>
      <c r="BP14" s="3990"/>
    </row>
    <row r="15" spans="1:87" s="366" customFormat="1" ht="42.75" customHeight="1" x14ac:dyDescent="0.2">
      <c r="A15" s="2327"/>
      <c r="B15" s="2267"/>
      <c r="C15" s="2228"/>
      <c r="E15" s="2333"/>
      <c r="F15" s="2334"/>
      <c r="G15" s="2584"/>
      <c r="H15" s="2749"/>
      <c r="I15" s="2788"/>
      <c r="J15" s="3613"/>
      <c r="K15" s="3973"/>
      <c r="L15" s="3973"/>
      <c r="M15" s="3975"/>
      <c r="N15" s="2988"/>
      <c r="O15" s="4010"/>
      <c r="P15" s="3298"/>
      <c r="Q15" s="4012"/>
      <c r="R15" s="2724"/>
      <c r="S15" s="3247"/>
      <c r="T15" s="2821"/>
      <c r="U15" s="2335">
        <v>259954557.96000001</v>
      </c>
      <c r="V15" s="2337">
        <v>259978313.78</v>
      </c>
      <c r="W15" s="2337">
        <v>148876885.56</v>
      </c>
      <c r="X15" s="2253">
        <v>91</v>
      </c>
      <c r="Y15" s="2230" t="s">
        <v>1827</v>
      </c>
      <c r="Z15" s="3980"/>
      <c r="AA15" s="3982"/>
      <c r="AB15" s="3982"/>
      <c r="AC15" s="3982"/>
      <c r="AD15" s="3982"/>
      <c r="AE15" s="3982"/>
      <c r="AF15" s="3982"/>
      <c r="AG15" s="3982"/>
      <c r="AH15" s="3982"/>
      <c r="AI15" s="3982"/>
      <c r="AJ15" s="3982">
        <v>167</v>
      </c>
      <c r="AK15" s="3982"/>
      <c r="AL15" s="3988">
        <v>274</v>
      </c>
      <c r="AM15" s="3988"/>
      <c r="AN15" s="3988"/>
      <c r="AO15" s="3988"/>
      <c r="AP15" s="3988"/>
      <c r="AQ15" s="3988"/>
      <c r="AR15" s="3988"/>
      <c r="AS15" s="3988"/>
      <c r="AT15" s="3988"/>
      <c r="AU15" s="3988"/>
      <c r="AV15" s="3988"/>
      <c r="AW15" s="3988"/>
      <c r="AX15" s="3988"/>
      <c r="AY15" s="3988"/>
      <c r="AZ15" s="3988"/>
      <c r="BA15" s="3988"/>
      <c r="BB15" s="3988"/>
      <c r="BC15" s="3988"/>
      <c r="BD15" s="3988"/>
      <c r="BE15" s="3992"/>
      <c r="BF15" s="3992"/>
      <c r="BG15" s="3992"/>
      <c r="BH15" s="3992"/>
      <c r="BI15" s="3994"/>
      <c r="BJ15" s="2244" t="s">
        <v>411</v>
      </c>
      <c r="BK15" s="2256" t="s">
        <v>1828</v>
      </c>
      <c r="BL15" s="3995"/>
      <c r="BM15" s="3997"/>
      <c r="BN15" s="3172"/>
      <c r="BO15" s="3172"/>
      <c r="BP15" s="3990"/>
    </row>
    <row r="16" spans="1:87" s="366" customFormat="1" ht="45" customHeight="1" x14ac:dyDescent="0.2">
      <c r="A16" s="2327"/>
      <c r="B16" s="2267"/>
      <c r="C16" s="2228"/>
      <c r="E16" s="2333"/>
      <c r="F16" s="2333"/>
      <c r="G16" s="2626">
        <v>2201028</v>
      </c>
      <c r="H16" s="2626">
        <v>15.9</v>
      </c>
      <c r="I16" s="2698" t="s">
        <v>1829</v>
      </c>
      <c r="J16" s="2821" t="s">
        <v>1830</v>
      </c>
      <c r="K16" s="3971">
        <v>36000</v>
      </c>
      <c r="L16" s="3971">
        <v>28368</v>
      </c>
      <c r="M16" s="3975"/>
      <c r="N16" s="2988"/>
      <c r="O16" s="4010"/>
      <c r="P16" s="3298">
        <f>SUM(U16:U26)/Q12</f>
        <v>0.73901018851285316</v>
      </c>
      <c r="Q16" s="4012"/>
      <c r="R16" s="2724"/>
      <c r="S16" s="3247"/>
      <c r="T16" s="2821" t="s">
        <v>1831</v>
      </c>
      <c r="U16" s="3983">
        <v>10133103712</v>
      </c>
      <c r="V16" s="3985">
        <v>10133103712</v>
      </c>
      <c r="W16" s="3985">
        <v>10133103712</v>
      </c>
      <c r="X16" s="4000">
        <v>81</v>
      </c>
      <c r="Y16" s="4001" t="s">
        <v>1832</v>
      </c>
      <c r="Z16" s="3980"/>
      <c r="AA16" s="3982"/>
      <c r="AB16" s="3982"/>
      <c r="AC16" s="3982"/>
      <c r="AD16" s="3982"/>
      <c r="AE16" s="3982"/>
      <c r="AF16" s="3982"/>
      <c r="AG16" s="3982"/>
      <c r="AH16" s="3982"/>
      <c r="AI16" s="3982"/>
      <c r="AJ16" s="3982">
        <v>167</v>
      </c>
      <c r="AK16" s="3982"/>
      <c r="AL16" s="3988">
        <v>274</v>
      </c>
      <c r="AM16" s="3988"/>
      <c r="AN16" s="3988"/>
      <c r="AO16" s="3988"/>
      <c r="AP16" s="3988"/>
      <c r="AQ16" s="3988"/>
      <c r="AR16" s="3988"/>
      <c r="AS16" s="3988"/>
      <c r="AT16" s="3988"/>
      <c r="AU16" s="3988"/>
      <c r="AV16" s="3988"/>
      <c r="AW16" s="3988"/>
      <c r="AX16" s="3988"/>
      <c r="AY16" s="3988"/>
      <c r="AZ16" s="3988"/>
      <c r="BA16" s="3988"/>
      <c r="BB16" s="3988"/>
      <c r="BC16" s="3988"/>
      <c r="BD16" s="3988"/>
      <c r="BE16" s="3992"/>
      <c r="BF16" s="3992"/>
      <c r="BG16" s="3992"/>
      <c r="BH16" s="3992"/>
      <c r="BI16" s="3994"/>
      <c r="BJ16" s="2244" t="s">
        <v>85</v>
      </c>
      <c r="BK16" s="2256"/>
      <c r="BL16" s="3995"/>
      <c r="BM16" s="3997"/>
      <c r="BN16" s="3172"/>
      <c r="BO16" s="3172"/>
      <c r="BP16" s="3990"/>
    </row>
    <row r="17" spans="1:68" s="366" customFormat="1" ht="41.25" customHeight="1" x14ac:dyDescent="0.2">
      <c r="A17" s="2327"/>
      <c r="B17" s="2267"/>
      <c r="C17" s="2228"/>
      <c r="E17" s="2333"/>
      <c r="F17" s="2333"/>
      <c r="G17" s="2626"/>
      <c r="H17" s="2626"/>
      <c r="I17" s="2698"/>
      <c r="J17" s="2821"/>
      <c r="K17" s="3972"/>
      <c r="L17" s="3972"/>
      <c r="M17" s="3975"/>
      <c r="N17" s="2988"/>
      <c r="O17" s="4010"/>
      <c r="P17" s="3298"/>
      <c r="Q17" s="4012"/>
      <c r="R17" s="2724"/>
      <c r="S17" s="3247"/>
      <c r="T17" s="2821"/>
      <c r="U17" s="3984"/>
      <c r="V17" s="3986"/>
      <c r="W17" s="3986"/>
      <c r="X17" s="2987"/>
      <c r="Y17" s="2743"/>
      <c r="Z17" s="3980"/>
      <c r="AA17" s="3982"/>
      <c r="AB17" s="3982"/>
      <c r="AC17" s="3982"/>
      <c r="AD17" s="3982"/>
      <c r="AE17" s="3982"/>
      <c r="AF17" s="3982"/>
      <c r="AG17" s="3982"/>
      <c r="AH17" s="3982"/>
      <c r="AI17" s="3982"/>
      <c r="AJ17" s="3982"/>
      <c r="AK17" s="3982"/>
      <c r="AL17" s="3988"/>
      <c r="AM17" s="3988"/>
      <c r="AN17" s="3988"/>
      <c r="AO17" s="3988"/>
      <c r="AP17" s="3988"/>
      <c r="AQ17" s="3988"/>
      <c r="AR17" s="3988"/>
      <c r="AS17" s="3988"/>
      <c r="AT17" s="3988"/>
      <c r="AU17" s="3988"/>
      <c r="AV17" s="3988"/>
      <c r="AW17" s="3988"/>
      <c r="AX17" s="3988"/>
      <c r="AY17" s="3988"/>
      <c r="AZ17" s="3988"/>
      <c r="BA17" s="3988"/>
      <c r="BB17" s="3988"/>
      <c r="BC17" s="3988"/>
      <c r="BD17" s="3988"/>
      <c r="BE17" s="3992"/>
      <c r="BF17" s="3992"/>
      <c r="BG17" s="3992"/>
      <c r="BH17" s="3992"/>
      <c r="BI17" s="3994"/>
      <c r="BJ17" s="2244" t="s">
        <v>1833</v>
      </c>
      <c r="BK17" s="2256" t="s">
        <v>1834</v>
      </c>
      <c r="BL17" s="3995"/>
      <c r="BM17" s="3997"/>
      <c r="BN17" s="3172"/>
      <c r="BO17" s="3172"/>
      <c r="BP17" s="3990"/>
    </row>
    <row r="18" spans="1:68" s="366" customFormat="1" ht="75" customHeight="1" x14ac:dyDescent="0.2">
      <c r="A18" s="2327"/>
      <c r="B18" s="2267"/>
      <c r="C18" s="2228"/>
      <c r="E18" s="2333"/>
      <c r="F18" s="2333"/>
      <c r="G18" s="2626"/>
      <c r="H18" s="2626"/>
      <c r="I18" s="2698"/>
      <c r="J18" s="2821"/>
      <c r="K18" s="3972"/>
      <c r="L18" s="3972"/>
      <c r="M18" s="3975"/>
      <c r="N18" s="2988"/>
      <c r="O18" s="4010"/>
      <c r="P18" s="3298"/>
      <c r="Q18" s="4012"/>
      <c r="R18" s="2724"/>
      <c r="S18" s="3247"/>
      <c r="T18" s="2698"/>
      <c r="U18" s="2338">
        <v>7200000</v>
      </c>
      <c r="V18" s="2339">
        <v>7200000</v>
      </c>
      <c r="W18" s="2339">
        <v>7200000</v>
      </c>
      <c r="X18" s="2239">
        <v>137</v>
      </c>
      <c r="Y18" s="2232" t="s">
        <v>1835</v>
      </c>
      <c r="Z18" s="3980"/>
      <c r="AA18" s="3982"/>
      <c r="AB18" s="3982"/>
      <c r="AC18" s="3982"/>
      <c r="AD18" s="3982"/>
      <c r="AE18" s="3982"/>
      <c r="AF18" s="3982"/>
      <c r="AG18" s="3982"/>
      <c r="AH18" s="3982"/>
      <c r="AI18" s="3982"/>
      <c r="AJ18" s="3982">
        <v>167</v>
      </c>
      <c r="AK18" s="3982"/>
      <c r="AL18" s="3988">
        <v>274</v>
      </c>
      <c r="AM18" s="3988"/>
      <c r="AN18" s="3988"/>
      <c r="AO18" s="3988"/>
      <c r="AP18" s="3988"/>
      <c r="AQ18" s="3988"/>
      <c r="AR18" s="3988"/>
      <c r="AS18" s="3988"/>
      <c r="AT18" s="3988"/>
      <c r="AU18" s="3988"/>
      <c r="AV18" s="3988"/>
      <c r="AW18" s="3988"/>
      <c r="AX18" s="3988"/>
      <c r="AY18" s="3988"/>
      <c r="AZ18" s="3988"/>
      <c r="BA18" s="3988"/>
      <c r="BB18" s="3988"/>
      <c r="BC18" s="3988"/>
      <c r="BD18" s="3988"/>
      <c r="BE18" s="3992"/>
      <c r="BF18" s="3992"/>
      <c r="BG18" s="3992"/>
      <c r="BH18" s="3992"/>
      <c r="BI18" s="3994"/>
      <c r="BJ18" s="2244" t="s">
        <v>1836</v>
      </c>
      <c r="BK18" s="2256"/>
      <c r="BL18" s="3995"/>
      <c r="BM18" s="3997"/>
      <c r="BN18" s="3172"/>
      <c r="BO18" s="3172"/>
      <c r="BP18" s="3990"/>
    </row>
    <row r="19" spans="1:68" s="366" customFormat="1" ht="59.25" customHeight="1" x14ac:dyDescent="0.2">
      <c r="A19" s="2327"/>
      <c r="B19" s="2267"/>
      <c r="C19" s="2228"/>
      <c r="E19" s="2333"/>
      <c r="F19" s="2333"/>
      <c r="G19" s="2626"/>
      <c r="H19" s="2626"/>
      <c r="I19" s="2698"/>
      <c r="J19" s="2821"/>
      <c r="K19" s="3972"/>
      <c r="L19" s="3972"/>
      <c r="M19" s="3975"/>
      <c r="N19" s="2988"/>
      <c r="O19" s="4010"/>
      <c r="P19" s="3298"/>
      <c r="Q19" s="4012"/>
      <c r="R19" s="2724"/>
      <c r="S19" s="3244"/>
      <c r="T19" s="2249" t="s">
        <v>1837</v>
      </c>
      <c r="U19" s="2340">
        <v>286000000</v>
      </c>
      <c r="V19" s="2341">
        <v>286000000</v>
      </c>
      <c r="W19" s="2342">
        <v>286000000</v>
      </c>
      <c r="X19" s="2274">
        <v>20</v>
      </c>
      <c r="Y19" s="2230" t="s">
        <v>397</v>
      </c>
      <c r="Z19" s="3980"/>
      <c r="AA19" s="3982"/>
      <c r="AB19" s="3982"/>
      <c r="AC19" s="3982"/>
      <c r="AD19" s="3982"/>
      <c r="AE19" s="3982"/>
      <c r="AF19" s="3982"/>
      <c r="AG19" s="3982"/>
      <c r="AH19" s="3982"/>
      <c r="AI19" s="3982"/>
      <c r="AJ19" s="3982">
        <v>167</v>
      </c>
      <c r="AK19" s="3982"/>
      <c r="AL19" s="3988">
        <v>274</v>
      </c>
      <c r="AM19" s="3988"/>
      <c r="AN19" s="3988"/>
      <c r="AO19" s="3988"/>
      <c r="AP19" s="3988"/>
      <c r="AQ19" s="3988"/>
      <c r="AR19" s="3988"/>
      <c r="AS19" s="3988"/>
      <c r="AT19" s="3988"/>
      <c r="AU19" s="3988"/>
      <c r="AV19" s="3988"/>
      <c r="AW19" s="3988"/>
      <c r="AX19" s="3988"/>
      <c r="AY19" s="3988"/>
      <c r="AZ19" s="3988"/>
      <c r="BA19" s="3988"/>
      <c r="BB19" s="3988"/>
      <c r="BC19" s="3988"/>
      <c r="BD19" s="3988"/>
      <c r="BE19" s="3992"/>
      <c r="BF19" s="3992"/>
      <c r="BG19" s="3992"/>
      <c r="BH19" s="3992"/>
      <c r="BI19" s="3994"/>
      <c r="BJ19" s="2216" t="s">
        <v>1838</v>
      </c>
      <c r="BK19" s="2256"/>
      <c r="BL19" s="3995"/>
      <c r="BM19" s="3997"/>
      <c r="BN19" s="3172"/>
      <c r="BO19" s="3172"/>
      <c r="BP19" s="3990"/>
    </row>
    <row r="20" spans="1:68" s="366" customFormat="1" ht="74.25" customHeight="1" x14ac:dyDescent="0.2">
      <c r="A20" s="2118"/>
      <c r="C20" s="2091"/>
      <c r="G20" s="2626"/>
      <c r="H20" s="2626"/>
      <c r="I20" s="2698"/>
      <c r="J20" s="2821"/>
      <c r="K20" s="3972"/>
      <c r="L20" s="3972"/>
      <c r="M20" s="3975"/>
      <c r="N20" s="2988"/>
      <c r="O20" s="4010"/>
      <c r="P20" s="3298"/>
      <c r="Q20" s="4012"/>
      <c r="R20" s="2724"/>
      <c r="S20" s="3244"/>
      <c r="T20" s="3345" t="s">
        <v>1839</v>
      </c>
      <c r="U20" s="4002">
        <v>1852515646.8800001</v>
      </c>
      <c r="V20" s="4004">
        <v>1499844945.5599999</v>
      </c>
      <c r="W20" s="4005">
        <v>1499844945.5599999</v>
      </c>
      <c r="X20" s="4007">
        <v>81</v>
      </c>
      <c r="Y20" s="3705" t="s">
        <v>1832</v>
      </c>
      <c r="Z20" s="3980"/>
      <c r="AA20" s="3982"/>
      <c r="AB20" s="3982"/>
      <c r="AC20" s="3982"/>
      <c r="AD20" s="3982"/>
      <c r="AE20" s="3982"/>
      <c r="AF20" s="3982"/>
      <c r="AG20" s="3982"/>
      <c r="AH20" s="3982"/>
      <c r="AI20" s="3982"/>
      <c r="AJ20" s="3982">
        <v>167</v>
      </c>
      <c r="AK20" s="3982"/>
      <c r="AL20" s="3988">
        <v>274</v>
      </c>
      <c r="AM20" s="3988"/>
      <c r="AN20" s="3988"/>
      <c r="AO20" s="3988"/>
      <c r="AP20" s="3988"/>
      <c r="AQ20" s="3988"/>
      <c r="AR20" s="3988"/>
      <c r="AS20" s="3988"/>
      <c r="AT20" s="3988"/>
      <c r="AU20" s="3988"/>
      <c r="AV20" s="3988"/>
      <c r="AW20" s="3988"/>
      <c r="AX20" s="3988"/>
      <c r="AY20" s="3988"/>
      <c r="AZ20" s="3988"/>
      <c r="BA20" s="3988"/>
      <c r="BB20" s="3988"/>
      <c r="BC20" s="3988"/>
      <c r="BD20" s="3988"/>
      <c r="BE20" s="3992"/>
      <c r="BF20" s="3992"/>
      <c r="BG20" s="3992"/>
      <c r="BH20" s="3992"/>
      <c r="BI20" s="3994"/>
      <c r="BJ20" s="2244" t="s">
        <v>1836</v>
      </c>
      <c r="BK20" s="2256"/>
      <c r="BL20" s="3995"/>
      <c r="BM20" s="3997"/>
      <c r="BN20" s="3172"/>
      <c r="BO20" s="3172"/>
      <c r="BP20" s="3990"/>
    </row>
    <row r="21" spans="1:68" s="366" customFormat="1" ht="34.5" customHeight="1" x14ac:dyDescent="0.2">
      <c r="A21" s="2118"/>
      <c r="C21" s="2091"/>
      <c r="G21" s="2626"/>
      <c r="H21" s="2626"/>
      <c r="I21" s="2698"/>
      <c r="J21" s="2821"/>
      <c r="K21" s="3972"/>
      <c r="L21" s="3972"/>
      <c r="M21" s="3975"/>
      <c r="N21" s="2988"/>
      <c r="O21" s="4010"/>
      <c r="P21" s="3298"/>
      <c r="Q21" s="4012"/>
      <c r="R21" s="2724"/>
      <c r="S21" s="3244"/>
      <c r="T21" s="3346"/>
      <c r="U21" s="4003"/>
      <c r="V21" s="3986"/>
      <c r="W21" s="4006"/>
      <c r="X21" s="4008"/>
      <c r="Y21" s="3422"/>
      <c r="Z21" s="3980"/>
      <c r="AA21" s="3982"/>
      <c r="AB21" s="3982"/>
      <c r="AC21" s="3982"/>
      <c r="AD21" s="3982"/>
      <c r="AE21" s="3982"/>
      <c r="AF21" s="3982"/>
      <c r="AG21" s="3982"/>
      <c r="AH21" s="3982"/>
      <c r="AI21" s="3982"/>
      <c r="AJ21" s="3982"/>
      <c r="AK21" s="3982"/>
      <c r="AL21" s="3988"/>
      <c r="AM21" s="3988"/>
      <c r="AN21" s="3988"/>
      <c r="AO21" s="3988"/>
      <c r="AP21" s="3988"/>
      <c r="AQ21" s="3988"/>
      <c r="AR21" s="3988"/>
      <c r="AS21" s="3988"/>
      <c r="AT21" s="3988"/>
      <c r="AU21" s="3988"/>
      <c r="AV21" s="3988"/>
      <c r="AW21" s="3988"/>
      <c r="AX21" s="3988"/>
      <c r="AY21" s="3988"/>
      <c r="AZ21" s="3988"/>
      <c r="BA21" s="3988"/>
      <c r="BB21" s="3988"/>
      <c r="BC21" s="3988"/>
      <c r="BD21" s="3988"/>
      <c r="BE21" s="3992"/>
      <c r="BF21" s="3992"/>
      <c r="BG21" s="3992"/>
      <c r="BH21" s="3992"/>
      <c r="BI21" s="3994"/>
      <c r="BJ21" s="2244" t="s">
        <v>1840</v>
      </c>
      <c r="BK21" s="2256"/>
      <c r="BL21" s="3995"/>
      <c r="BM21" s="3997"/>
      <c r="BN21" s="3172"/>
      <c r="BO21" s="3172"/>
      <c r="BP21" s="3990"/>
    </row>
    <row r="22" spans="1:68" s="366" customFormat="1" ht="42" customHeight="1" x14ac:dyDescent="0.2">
      <c r="A22" s="2118"/>
      <c r="C22" s="2091"/>
      <c r="G22" s="2626"/>
      <c r="H22" s="2626"/>
      <c r="I22" s="2698"/>
      <c r="J22" s="2821"/>
      <c r="K22" s="3972"/>
      <c r="L22" s="3972"/>
      <c r="M22" s="3975"/>
      <c r="N22" s="2988"/>
      <c r="O22" s="4010"/>
      <c r="P22" s="3298"/>
      <c r="Q22" s="4012"/>
      <c r="R22" s="2724"/>
      <c r="S22" s="3244"/>
      <c r="T22" s="3346"/>
      <c r="U22" s="2343">
        <v>105923767</v>
      </c>
      <c r="V22" s="2344">
        <v>0</v>
      </c>
      <c r="W22" s="2344">
        <v>0</v>
      </c>
      <c r="X22" s="2253">
        <v>35</v>
      </c>
      <c r="Y22" s="2241" t="s">
        <v>1822</v>
      </c>
      <c r="Z22" s="3980"/>
      <c r="AA22" s="3982"/>
      <c r="AB22" s="3982"/>
      <c r="AC22" s="3982"/>
      <c r="AD22" s="3982"/>
      <c r="AE22" s="3982"/>
      <c r="AF22" s="3982"/>
      <c r="AG22" s="3982"/>
      <c r="AH22" s="3982"/>
      <c r="AI22" s="3982"/>
      <c r="AJ22" s="3982"/>
      <c r="AK22" s="3982"/>
      <c r="AL22" s="3988"/>
      <c r="AM22" s="3988"/>
      <c r="AN22" s="3988"/>
      <c r="AO22" s="3988"/>
      <c r="AP22" s="3988"/>
      <c r="AQ22" s="3988"/>
      <c r="AR22" s="3988"/>
      <c r="AS22" s="3988"/>
      <c r="AT22" s="3988"/>
      <c r="AU22" s="3988"/>
      <c r="AV22" s="3988"/>
      <c r="AW22" s="3988"/>
      <c r="AX22" s="3988"/>
      <c r="AY22" s="3988"/>
      <c r="AZ22" s="3988"/>
      <c r="BA22" s="3988"/>
      <c r="BB22" s="3988"/>
      <c r="BC22" s="3988"/>
      <c r="BD22" s="3988"/>
      <c r="BE22" s="3992"/>
      <c r="BF22" s="3992"/>
      <c r="BG22" s="3992"/>
      <c r="BH22" s="3992"/>
      <c r="BI22" s="3994"/>
      <c r="BJ22" s="2244"/>
      <c r="BK22" s="2256"/>
      <c r="BL22" s="3995"/>
      <c r="BM22" s="3997"/>
      <c r="BN22" s="3172"/>
      <c r="BO22" s="3172"/>
      <c r="BP22" s="3990"/>
    </row>
    <row r="23" spans="1:68" s="366" customFormat="1" ht="69" customHeight="1" x14ac:dyDescent="0.2">
      <c r="A23" s="2118"/>
      <c r="C23" s="2091"/>
      <c r="G23" s="2626"/>
      <c r="H23" s="2626"/>
      <c r="I23" s="2698"/>
      <c r="J23" s="2821"/>
      <c r="K23" s="3972"/>
      <c r="L23" s="3972"/>
      <c r="M23" s="3975"/>
      <c r="N23" s="2988"/>
      <c r="O23" s="4010"/>
      <c r="P23" s="3298"/>
      <c r="Q23" s="4012"/>
      <c r="R23" s="2724"/>
      <c r="S23" s="3244"/>
      <c r="T23" s="3346"/>
      <c r="U23" s="2345">
        <f>65830541.87+1059742151</f>
        <v>1125572692.8699999</v>
      </c>
      <c r="V23" s="2342">
        <v>66897204.869999997</v>
      </c>
      <c r="W23" s="2342">
        <v>66897204.869999997</v>
      </c>
      <c r="X23" s="2253">
        <v>137</v>
      </c>
      <c r="Y23" s="2241" t="s">
        <v>1835</v>
      </c>
      <c r="Z23" s="3980"/>
      <c r="AA23" s="3982"/>
      <c r="AB23" s="3982"/>
      <c r="AC23" s="3982"/>
      <c r="AD23" s="3982"/>
      <c r="AE23" s="3982"/>
      <c r="AF23" s="3982"/>
      <c r="AG23" s="3982"/>
      <c r="AH23" s="3982"/>
      <c r="AI23" s="3982"/>
      <c r="AJ23" s="3982">
        <v>167</v>
      </c>
      <c r="AK23" s="3982"/>
      <c r="AL23" s="3988">
        <v>274</v>
      </c>
      <c r="AM23" s="3988"/>
      <c r="AN23" s="3988"/>
      <c r="AO23" s="3988"/>
      <c r="AP23" s="3988"/>
      <c r="AQ23" s="3988"/>
      <c r="AR23" s="3988"/>
      <c r="AS23" s="3988"/>
      <c r="AT23" s="3988"/>
      <c r="AU23" s="3988"/>
      <c r="AV23" s="3988"/>
      <c r="AW23" s="3988"/>
      <c r="AX23" s="3988"/>
      <c r="AY23" s="3988"/>
      <c r="AZ23" s="3988"/>
      <c r="BA23" s="3988"/>
      <c r="BB23" s="3988"/>
      <c r="BC23" s="3988"/>
      <c r="BD23" s="3988"/>
      <c r="BE23" s="3992"/>
      <c r="BF23" s="3992"/>
      <c r="BG23" s="3992"/>
      <c r="BH23" s="3992"/>
      <c r="BI23" s="3994"/>
      <c r="BJ23" s="2244" t="s">
        <v>1841</v>
      </c>
      <c r="BK23" s="2256"/>
      <c r="BL23" s="3995"/>
      <c r="BM23" s="3997"/>
      <c r="BN23" s="3172"/>
      <c r="BO23" s="3172"/>
      <c r="BP23" s="3990"/>
    </row>
    <row r="24" spans="1:68" s="366" customFormat="1" ht="54" customHeight="1" x14ac:dyDescent="0.2">
      <c r="A24" s="2118"/>
      <c r="C24" s="2091"/>
      <c r="G24" s="2626"/>
      <c r="H24" s="2626"/>
      <c r="I24" s="2698"/>
      <c r="J24" s="2821"/>
      <c r="K24" s="3972"/>
      <c r="L24" s="3972"/>
      <c r="M24" s="3975"/>
      <c r="N24" s="2988"/>
      <c r="O24" s="4010"/>
      <c r="P24" s="3298"/>
      <c r="Q24" s="4012"/>
      <c r="R24" s="2724"/>
      <c r="S24" s="3244"/>
      <c r="T24" s="3346"/>
      <c r="U24" s="2346">
        <v>1577223665.5699999</v>
      </c>
      <c r="V24" s="2105">
        <v>1577223665.5699999</v>
      </c>
      <c r="W24" s="343">
        <v>1573341778.97</v>
      </c>
      <c r="X24" s="2253">
        <v>172</v>
      </c>
      <c r="Y24" s="2241" t="s">
        <v>1842</v>
      </c>
      <c r="Z24" s="3980"/>
      <c r="AA24" s="3982"/>
      <c r="AB24" s="3982"/>
      <c r="AC24" s="3982"/>
      <c r="AD24" s="3982"/>
      <c r="AE24" s="3982"/>
      <c r="AF24" s="3982"/>
      <c r="AG24" s="3982"/>
      <c r="AH24" s="3982"/>
      <c r="AI24" s="3982"/>
      <c r="AJ24" s="3982">
        <v>167</v>
      </c>
      <c r="AK24" s="3982"/>
      <c r="AL24" s="3988">
        <v>274</v>
      </c>
      <c r="AM24" s="3988"/>
      <c r="AN24" s="3988"/>
      <c r="AO24" s="3988"/>
      <c r="AP24" s="3988"/>
      <c r="AQ24" s="3988"/>
      <c r="AR24" s="3988"/>
      <c r="AS24" s="3988"/>
      <c r="AT24" s="3988"/>
      <c r="AU24" s="3988"/>
      <c r="AV24" s="3988"/>
      <c r="AW24" s="3988"/>
      <c r="AX24" s="3988"/>
      <c r="AY24" s="3988"/>
      <c r="AZ24" s="3988"/>
      <c r="BA24" s="3988"/>
      <c r="BB24" s="3988"/>
      <c r="BC24" s="3988"/>
      <c r="BD24" s="3988"/>
      <c r="BE24" s="3992"/>
      <c r="BF24" s="3992"/>
      <c r="BG24" s="3992"/>
      <c r="BH24" s="3992"/>
      <c r="BI24" s="3994"/>
      <c r="BJ24" s="2244" t="s">
        <v>1842</v>
      </c>
      <c r="BK24" s="2256"/>
      <c r="BL24" s="3995"/>
      <c r="BM24" s="3997"/>
      <c r="BN24" s="3172"/>
      <c r="BO24" s="3172"/>
      <c r="BP24" s="3990"/>
    </row>
    <row r="25" spans="1:68" s="366" customFormat="1" ht="48.75" customHeight="1" x14ac:dyDescent="0.2">
      <c r="A25" s="2118"/>
      <c r="C25" s="2091"/>
      <c r="G25" s="2626"/>
      <c r="H25" s="2626"/>
      <c r="I25" s="2698"/>
      <c r="J25" s="2821"/>
      <c r="K25" s="3972"/>
      <c r="L25" s="3972"/>
      <c r="M25" s="3975"/>
      <c r="N25" s="2988"/>
      <c r="O25" s="4010"/>
      <c r="P25" s="3298"/>
      <c r="Q25" s="4012"/>
      <c r="R25" s="2724"/>
      <c r="S25" s="3244"/>
      <c r="T25" s="3346"/>
      <c r="U25" s="2347">
        <v>394351422</v>
      </c>
      <c r="V25" s="2344">
        <v>394351422</v>
      </c>
      <c r="W25" s="2344">
        <v>394351422</v>
      </c>
      <c r="X25" s="2253">
        <v>25</v>
      </c>
      <c r="Y25" s="2257" t="s">
        <v>1843</v>
      </c>
      <c r="Z25" s="3980"/>
      <c r="AA25" s="3982"/>
      <c r="AB25" s="3982"/>
      <c r="AC25" s="3982"/>
      <c r="AD25" s="3982"/>
      <c r="AE25" s="3982"/>
      <c r="AF25" s="3982"/>
      <c r="AG25" s="3982"/>
      <c r="AH25" s="3982"/>
      <c r="AI25" s="3982"/>
      <c r="AJ25" s="3982">
        <v>167</v>
      </c>
      <c r="AK25" s="3982"/>
      <c r="AL25" s="3988">
        <v>274</v>
      </c>
      <c r="AM25" s="3988"/>
      <c r="AN25" s="3988"/>
      <c r="AO25" s="3988"/>
      <c r="AP25" s="3988"/>
      <c r="AQ25" s="3988"/>
      <c r="AR25" s="3988"/>
      <c r="AS25" s="3988"/>
      <c r="AT25" s="3988"/>
      <c r="AU25" s="3988"/>
      <c r="AV25" s="3988"/>
      <c r="AW25" s="3988"/>
      <c r="AX25" s="3988"/>
      <c r="AY25" s="3988"/>
      <c r="AZ25" s="3988"/>
      <c r="BA25" s="3988"/>
      <c r="BB25" s="3988"/>
      <c r="BC25" s="3988"/>
      <c r="BD25" s="3988"/>
      <c r="BE25" s="3992"/>
      <c r="BF25" s="3992"/>
      <c r="BG25" s="3992"/>
      <c r="BH25" s="3992"/>
      <c r="BI25" s="3994"/>
      <c r="BJ25" s="2348"/>
      <c r="BK25" s="2256"/>
      <c r="BL25" s="3995"/>
      <c r="BM25" s="3997"/>
      <c r="BN25" s="3172"/>
      <c r="BO25" s="3172"/>
      <c r="BP25" s="3990"/>
    </row>
    <row r="26" spans="1:68" s="366" customFormat="1" ht="47.25" customHeight="1" x14ac:dyDescent="0.2">
      <c r="A26" s="2118"/>
      <c r="C26" s="2091"/>
      <c r="G26" s="2626"/>
      <c r="H26" s="2626"/>
      <c r="I26" s="2698"/>
      <c r="J26" s="2821"/>
      <c r="K26" s="3972"/>
      <c r="L26" s="3972"/>
      <c r="M26" s="3975"/>
      <c r="N26" s="2988"/>
      <c r="O26" s="4010"/>
      <c r="P26" s="3298"/>
      <c r="Q26" s="4012"/>
      <c r="R26" s="2724"/>
      <c r="S26" s="3244"/>
      <c r="T26" s="3346"/>
      <c r="U26" s="2340">
        <v>83149.960000000006</v>
      </c>
      <c r="V26" s="2335">
        <v>83149.960000000006</v>
      </c>
      <c r="W26" s="2335"/>
      <c r="X26" s="2245">
        <v>134</v>
      </c>
      <c r="Y26" s="2240" t="s">
        <v>1844</v>
      </c>
      <c r="Z26" s="3980"/>
      <c r="AA26" s="3982"/>
      <c r="AB26" s="3982"/>
      <c r="AC26" s="3982"/>
      <c r="AD26" s="3982"/>
      <c r="AE26" s="3982"/>
      <c r="AF26" s="3982"/>
      <c r="AG26" s="3982"/>
      <c r="AH26" s="3982"/>
      <c r="AI26" s="3982"/>
      <c r="AJ26" s="3982">
        <v>167</v>
      </c>
      <c r="AK26" s="3982"/>
      <c r="AL26" s="3988">
        <v>274</v>
      </c>
      <c r="AM26" s="3988"/>
      <c r="AN26" s="3988"/>
      <c r="AO26" s="3988"/>
      <c r="AP26" s="3988"/>
      <c r="AQ26" s="3988"/>
      <c r="AR26" s="3988"/>
      <c r="AS26" s="3988"/>
      <c r="AT26" s="3988"/>
      <c r="AU26" s="3988"/>
      <c r="AV26" s="3988"/>
      <c r="AW26" s="3988"/>
      <c r="AX26" s="3988"/>
      <c r="AY26" s="3988"/>
      <c r="AZ26" s="3988"/>
      <c r="BA26" s="3988"/>
      <c r="BB26" s="3988"/>
      <c r="BC26" s="3988"/>
      <c r="BD26" s="3988"/>
      <c r="BE26" s="3992"/>
      <c r="BF26" s="3992"/>
      <c r="BG26" s="3992"/>
      <c r="BH26" s="3992"/>
      <c r="BI26" s="3994"/>
      <c r="BJ26" s="2348"/>
      <c r="BK26" s="2256"/>
      <c r="BL26" s="3995"/>
      <c r="BM26" s="3997"/>
      <c r="BN26" s="3172"/>
      <c r="BO26" s="3172"/>
      <c r="BP26" s="3990"/>
    </row>
    <row r="27" spans="1:68" s="366" customFormat="1" ht="48" customHeight="1" x14ac:dyDescent="0.2">
      <c r="A27" s="2118"/>
      <c r="C27" s="2091"/>
      <c r="G27" s="2626"/>
      <c r="H27" s="2626"/>
      <c r="I27" s="2698"/>
      <c r="J27" s="2821"/>
      <c r="K27" s="3973"/>
      <c r="L27" s="3973"/>
      <c r="M27" s="3975"/>
      <c r="N27" s="2988"/>
      <c r="O27" s="4011"/>
      <c r="P27" s="3298"/>
      <c r="Q27" s="4012"/>
      <c r="R27" s="2724"/>
      <c r="S27" s="3244"/>
      <c r="T27" s="3347"/>
      <c r="U27" s="2349">
        <v>35173966.039999999</v>
      </c>
      <c r="V27" s="2350">
        <f>34205332.04</f>
        <v>34205332.039999999</v>
      </c>
      <c r="W27" s="2350">
        <f>34205332.04</f>
        <v>34205332.039999999</v>
      </c>
      <c r="X27" s="2266">
        <v>91</v>
      </c>
      <c r="Y27" s="2265" t="s">
        <v>1827</v>
      </c>
      <c r="Z27" s="3980"/>
      <c r="AA27" s="3982"/>
      <c r="AB27" s="3982"/>
      <c r="AC27" s="3982"/>
      <c r="AD27" s="3982"/>
      <c r="AE27" s="3982"/>
      <c r="AF27" s="3982"/>
      <c r="AG27" s="3982"/>
      <c r="AH27" s="3982"/>
      <c r="AI27" s="3982"/>
      <c r="AJ27" s="3982">
        <v>167</v>
      </c>
      <c r="AK27" s="3982"/>
      <c r="AL27" s="3988">
        <v>274</v>
      </c>
      <c r="AM27" s="3988"/>
      <c r="AN27" s="3988"/>
      <c r="AO27" s="3988"/>
      <c r="AP27" s="3988"/>
      <c r="AQ27" s="3988"/>
      <c r="AR27" s="3988"/>
      <c r="AS27" s="3988"/>
      <c r="AT27" s="3988"/>
      <c r="AU27" s="3988"/>
      <c r="AV27" s="3988"/>
      <c r="AW27" s="3988"/>
      <c r="AX27" s="3988"/>
      <c r="AY27" s="3988"/>
      <c r="AZ27" s="3988"/>
      <c r="BA27" s="3988"/>
      <c r="BB27" s="3988"/>
      <c r="BC27" s="3988"/>
      <c r="BD27" s="3988"/>
      <c r="BE27" s="3992"/>
      <c r="BF27" s="3992"/>
      <c r="BG27" s="3992"/>
      <c r="BH27" s="3992"/>
      <c r="BI27" s="3994"/>
      <c r="BJ27" s="2348"/>
      <c r="BK27" s="2256"/>
      <c r="BL27" s="3995"/>
      <c r="BM27" s="3997"/>
      <c r="BN27" s="3172"/>
      <c r="BO27" s="3172"/>
      <c r="BP27" s="3990"/>
    </row>
    <row r="28" spans="1:68" s="366" customFormat="1" ht="120" customHeight="1" x14ac:dyDescent="0.2">
      <c r="A28" s="2118"/>
      <c r="C28" s="2091"/>
      <c r="F28" s="2091"/>
      <c r="G28" s="2244">
        <v>2201055</v>
      </c>
      <c r="H28" s="2244" t="s">
        <v>1845</v>
      </c>
      <c r="I28" s="2232" t="s">
        <v>1846</v>
      </c>
      <c r="J28" s="2351" t="s">
        <v>1847</v>
      </c>
      <c r="K28" s="2243">
        <v>1</v>
      </c>
      <c r="L28" s="2352">
        <v>1</v>
      </c>
      <c r="M28" s="2793" t="s">
        <v>1848</v>
      </c>
      <c r="N28" s="2988" t="s">
        <v>1849</v>
      </c>
      <c r="O28" s="3346" t="s">
        <v>1850</v>
      </c>
      <c r="P28" s="2353">
        <f>U28/Q28</f>
        <v>5.0112009042575102E-2</v>
      </c>
      <c r="Q28" s="3998">
        <f>U28+U29</f>
        <v>1244983412</v>
      </c>
      <c r="R28" s="2742" t="s">
        <v>1851</v>
      </c>
      <c r="S28" s="2724" t="s">
        <v>1852</v>
      </c>
      <c r="T28" s="2351" t="s">
        <v>1853</v>
      </c>
      <c r="U28" s="2354">
        <f>52000000+10388620</f>
        <v>62388620</v>
      </c>
      <c r="V28" s="2337">
        <f>18716586+43672034</f>
        <v>62388620</v>
      </c>
      <c r="W28" s="2337">
        <f>18716586+43672034</f>
        <v>62388620</v>
      </c>
      <c r="X28" s="2355">
        <v>25</v>
      </c>
      <c r="Y28" s="2257" t="s">
        <v>1843</v>
      </c>
      <c r="Z28" s="3979">
        <v>0</v>
      </c>
      <c r="AA28" s="3981">
        <v>2991</v>
      </c>
      <c r="AB28" s="3981">
        <v>0</v>
      </c>
      <c r="AC28" s="3981">
        <v>3559</v>
      </c>
      <c r="AD28" s="3981">
        <v>0</v>
      </c>
      <c r="AE28" s="3981">
        <v>4533</v>
      </c>
      <c r="AF28" s="3981">
        <v>0</v>
      </c>
      <c r="AG28" s="3981">
        <v>1753</v>
      </c>
      <c r="AH28" s="3981">
        <v>0</v>
      </c>
      <c r="AI28" s="3981">
        <v>169</v>
      </c>
      <c r="AJ28" s="3981">
        <v>167</v>
      </c>
      <c r="AK28" s="3981">
        <v>95</v>
      </c>
      <c r="AL28" s="3981">
        <v>274</v>
      </c>
      <c r="AM28" s="3981">
        <v>290</v>
      </c>
      <c r="AN28" s="3981">
        <v>329</v>
      </c>
      <c r="AO28" s="3981">
        <v>332</v>
      </c>
      <c r="AP28" s="3981">
        <v>0</v>
      </c>
      <c r="AQ28" s="3981">
        <v>0</v>
      </c>
      <c r="AR28" s="3981">
        <v>0</v>
      </c>
      <c r="AS28" s="3981">
        <v>0</v>
      </c>
      <c r="AT28" s="3981">
        <v>0</v>
      </c>
      <c r="AU28" s="3981">
        <v>0</v>
      </c>
      <c r="AV28" s="3981">
        <v>0</v>
      </c>
      <c r="AW28" s="3981">
        <v>0</v>
      </c>
      <c r="AX28" s="3981">
        <v>3097</v>
      </c>
      <c r="AY28" s="3981">
        <v>3256</v>
      </c>
      <c r="AZ28" s="3981">
        <v>2611</v>
      </c>
      <c r="BA28" s="3981">
        <v>2467</v>
      </c>
      <c r="BB28" s="3981">
        <v>50</v>
      </c>
      <c r="BC28" s="3981">
        <v>112</v>
      </c>
      <c r="BD28" s="3981">
        <f>SUM(AJ28+BB28+AL28+AN28+AX28+AZ28)</f>
        <v>6528</v>
      </c>
      <c r="BE28" s="4029">
        <f>SUM(AA28+AC28)</f>
        <v>6550</v>
      </c>
      <c r="BF28" s="3991">
        <v>5</v>
      </c>
      <c r="BG28" s="3991">
        <f>SUM(V28:V29)</f>
        <v>1233662214</v>
      </c>
      <c r="BH28" s="3991">
        <f>SUM(W28:W29)</f>
        <v>1233662214</v>
      </c>
      <c r="BI28" s="4017">
        <f>+BH28/BG28</f>
        <v>1</v>
      </c>
      <c r="BJ28" s="3991" t="s">
        <v>1833</v>
      </c>
      <c r="BK28" s="3339" t="s">
        <v>1854</v>
      </c>
      <c r="BL28" s="3995">
        <v>43832</v>
      </c>
      <c r="BM28" s="3996">
        <v>43832</v>
      </c>
      <c r="BN28" s="3171">
        <v>44195</v>
      </c>
      <c r="BO28" s="3171">
        <v>44195</v>
      </c>
      <c r="BP28" s="2741" t="s">
        <v>1823</v>
      </c>
    </row>
    <row r="29" spans="1:68" s="366" customFormat="1" ht="76.5" customHeight="1" x14ac:dyDescent="0.2">
      <c r="A29" s="2118"/>
      <c r="C29" s="2091"/>
      <c r="F29" s="2091"/>
      <c r="G29" s="2244">
        <v>2201030</v>
      </c>
      <c r="H29" s="2215" t="s">
        <v>1855</v>
      </c>
      <c r="I29" s="2224" t="s">
        <v>1856</v>
      </c>
      <c r="J29" s="2248" t="s">
        <v>1857</v>
      </c>
      <c r="K29" s="2352">
        <v>2500</v>
      </c>
      <c r="L29" s="2352">
        <v>2540</v>
      </c>
      <c r="M29" s="2794"/>
      <c r="N29" s="2583"/>
      <c r="O29" s="3346"/>
      <c r="P29" s="2353">
        <f>U29/Q28</f>
        <v>0.94988799095742493</v>
      </c>
      <c r="Q29" s="3999"/>
      <c r="R29" s="2742"/>
      <c r="S29" s="2741"/>
      <c r="T29" s="2248" t="s">
        <v>1858</v>
      </c>
      <c r="U29" s="2356">
        <v>1182594792</v>
      </c>
      <c r="V29" s="2344">
        <v>1171273594</v>
      </c>
      <c r="W29" s="2344">
        <v>1171273594</v>
      </c>
      <c r="X29" s="2357">
        <v>25</v>
      </c>
      <c r="Y29" s="2260" t="s">
        <v>1843</v>
      </c>
      <c r="Z29" s="4015"/>
      <c r="AA29" s="4014"/>
      <c r="AB29" s="4014"/>
      <c r="AC29" s="4014"/>
      <c r="AD29" s="4014"/>
      <c r="AE29" s="4014"/>
      <c r="AF29" s="4014"/>
      <c r="AG29" s="4014"/>
      <c r="AH29" s="4014"/>
      <c r="AI29" s="4014"/>
      <c r="AJ29" s="4014"/>
      <c r="AK29" s="4014"/>
      <c r="AL29" s="4014"/>
      <c r="AM29" s="4014"/>
      <c r="AN29" s="4014"/>
      <c r="AO29" s="4014"/>
      <c r="AP29" s="4014"/>
      <c r="AQ29" s="4014"/>
      <c r="AR29" s="4014"/>
      <c r="AS29" s="4014"/>
      <c r="AT29" s="4014"/>
      <c r="AU29" s="4014"/>
      <c r="AV29" s="4014"/>
      <c r="AW29" s="4014"/>
      <c r="AX29" s="4014"/>
      <c r="AY29" s="4014"/>
      <c r="AZ29" s="4014"/>
      <c r="BA29" s="4014"/>
      <c r="BB29" s="4014"/>
      <c r="BC29" s="4014"/>
      <c r="BD29" s="4014"/>
      <c r="BE29" s="4030"/>
      <c r="BF29" s="4016"/>
      <c r="BG29" s="4016"/>
      <c r="BH29" s="4016"/>
      <c r="BI29" s="4018"/>
      <c r="BJ29" s="4016"/>
      <c r="BK29" s="3339"/>
      <c r="BL29" s="3995"/>
      <c r="BM29" s="4028"/>
      <c r="BN29" s="3337"/>
      <c r="BO29" s="3337"/>
      <c r="BP29" s="2743"/>
    </row>
    <row r="30" spans="1:68" s="366" customFormat="1" ht="48.75" customHeight="1" x14ac:dyDescent="0.2">
      <c r="A30" s="2118"/>
      <c r="C30" s="2091"/>
      <c r="F30" s="2091"/>
      <c r="G30" s="2773">
        <v>2201071</v>
      </c>
      <c r="H30" s="2626" t="s">
        <v>1859</v>
      </c>
      <c r="I30" s="2698" t="s">
        <v>1860</v>
      </c>
      <c r="J30" s="2821" t="s">
        <v>1861</v>
      </c>
      <c r="K30" s="2984">
        <v>54</v>
      </c>
      <c r="L30" s="4025">
        <v>54</v>
      </c>
      <c r="M30" s="2618" t="s">
        <v>1862</v>
      </c>
      <c r="N30" s="2626" t="s">
        <v>1863</v>
      </c>
      <c r="O30" s="2698" t="s">
        <v>1864</v>
      </c>
      <c r="P30" s="4019">
        <f>SUM(U30:U33)/Q30</f>
        <v>1</v>
      </c>
      <c r="Q30" s="4021">
        <f>SUM(U30:U33)</f>
        <v>150688886883.94</v>
      </c>
      <c r="R30" s="2788" t="s">
        <v>1865</v>
      </c>
      <c r="S30" s="2788" t="s">
        <v>1866</v>
      </c>
      <c r="T30" s="2698" t="s">
        <v>1867</v>
      </c>
      <c r="U30" s="2354">
        <f>55449435080</f>
        <v>55449435080</v>
      </c>
      <c r="V30" s="2354">
        <f>55449435080</f>
        <v>55449435080</v>
      </c>
      <c r="W30" s="2354">
        <f>55449435080</f>
        <v>55449435080</v>
      </c>
      <c r="X30" s="2243">
        <v>25</v>
      </c>
      <c r="Y30" s="2358" t="s">
        <v>1868</v>
      </c>
      <c r="Z30" s="4022">
        <v>20196</v>
      </c>
      <c r="AA30" s="3987">
        <v>19390.222222222223</v>
      </c>
      <c r="AB30" s="3987">
        <v>20595</v>
      </c>
      <c r="AC30" s="3987">
        <v>19836</v>
      </c>
      <c r="AD30" s="3987">
        <v>29775</v>
      </c>
      <c r="AE30" s="3987">
        <v>28890</v>
      </c>
      <c r="AF30" s="3987">
        <v>9453</v>
      </c>
      <c r="AG30" s="3987">
        <v>9117.4444444444453</v>
      </c>
      <c r="AH30" s="3987">
        <v>1396</v>
      </c>
      <c r="AI30" s="3987">
        <v>1123.3333333333333</v>
      </c>
      <c r="AJ30" s="3987">
        <v>167</v>
      </c>
      <c r="AK30" s="3987">
        <v>95</v>
      </c>
      <c r="AL30" s="3987">
        <v>274</v>
      </c>
      <c r="AM30" s="3987">
        <v>290.22222222222223</v>
      </c>
      <c r="AN30" s="3987">
        <v>329</v>
      </c>
      <c r="AO30" s="3987">
        <v>332.22222222222223</v>
      </c>
      <c r="AP30" s="3987">
        <v>0</v>
      </c>
      <c r="AQ30" s="3987">
        <v>0</v>
      </c>
      <c r="AR30" s="3987">
        <v>0</v>
      </c>
      <c r="AS30" s="3987">
        <v>0</v>
      </c>
      <c r="AT30" s="3987">
        <v>0</v>
      </c>
      <c r="AU30" s="3987">
        <v>0</v>
      </c>
      <c r="AV30" s="3987">
        <v>0</v>
      </c>
      <c r="AW30" s="3987">
        <v>0</v>
      </c>
      <c r="AX30" s="3987">
        <v>3097</v>
      </c>
      <c r="AY30" s="3987">
        <v>3256.4444444444443</v>
      </c>
      <c r="AZ30" s="3987">
        <v>2611</v>
      </c>
      <c r="BA30" s="3987">
        <v>2467.8888888888887</v>
      </c>
      <c r="BB30" s="3987">
        <v>50</v>
      </c>
      <c r="BC30" s="3987">
        <v>112.88888888888889</v>
      </c>
      <c r="BD30" s="3987">
        <f>+Z30+AB30</f>
        <v>40791</v>
      </c>
      <c r="BE30" s="3991">
        <f>SUM(AA30+AC30)</f>
        <v>39226.222222222219</v>
      </c>
      <c r="BF30" s="3991" t="s">
        <v>1869</v>
      </c>
      <c r="BG30" s="3991">
        <f>SUM(V30:V33)</f>
        <v>150524645780</v>
      </c>
      <c r="BH30" s="3991">
        <f>SUM(W30:W33)</f>
        <v>150524645780</v>
      </c>
      <c r="BI30" s="4017">
        <f>+BH30/BG30</f>
        <v>1</v>
      </c>
      <c r="BJ30" s="2244" t="s">
        <v>1833</v>
      </c>
      <c r="BK30" s="3339" t="s">
        <v>1870</v>
      </c>
      <c r="BL30" s="3995">
        <v>43832</v>
      </c>
      <c r="BM30" s="3996">
        <v>43832</v>
      </c>
      <c r="BN30" s="4032">
        <v>44195</v>
      </c>
      <c r="BO30" s="4032">
        <v>44195</v>
      </c>
      <c r="BP30" s="2583" t="s">
        <v>1823</v>
      </c>
    </row>
    <row r="31" spans="1:68" s="366" customFormat="1" ht="51" customHeight="1" x14ac:dyDescent="0.2">
      <c r="A31" s="2118"/>
      <c r="C31" s="2091"/>
      <c r="F31" s="2091"/>
      <c r="G31" s="2774"/>
      <c r="H31" s="2626"/>
      <c r="I31" s="2698"/>
      <c r="J31" s="2821"/>
      <c r="K31" s="2984"/>
      <c r="L31" s="4026"/>
      <c r="M31" s="2618"/>
      <c r="N31" s="2626"/>
      <c r="O31" s="2698"/>
      <c r="P31" s="4020"/>
      <c r="Q31" s="4021"/>
      <c r="R31" s="2831"/>
      <c r="S31" s="2831"/>
      <c r="T31" s="2698"/>
      <c r="U31" s="2354">
        <f>13173537263</f>
        <v>13173537263</v>
      </c>
      <c r="V31" s="2354">
        <f>13173537263</f>
        <v>13173537263</v>
      </c>
      <c r="W31" s="2354">
        <f>13173537263</f>
        <v>13173537263</v>
      </c>
      <c r="X31" s="2243">
        <v>26</v>
      </c>
      <c r="Y31" s="2358" t="s">
        <v>1868</v>
      </c>
      <c r="Z31" s="4023"/>
      <c r="AA31" s="3988"/>
      <c r="AB31" s="3988"/>
      <c r="AC31" s="3988"/>
      <c r="AD31" s="3988"/>
      <c r="AE31" s="3988"/>
      <c r="AF31" s="3988"/>
      <c r="AG31" s="3988"/>
      <c r="AH31" s="3988"/>
      <c r="AI31" s="3988"/>
      <c r="AJ31" s="3988"/>
      <c r="AK31" s="3988"/>
      <c r="AL31" s="3988"/>
      <c r="AM31" s="3988"/>
      <c r="AN31" s="3988"/>
      <c r="AO31" s="3988"/>
      <c r="AP31" s="3988"/>
      <c r="AQ31" s="3988"/>
      <c r="AR31" s="3988"/>
      <c r="AS31" s="3988"/>
      <c r="AT31" s="3988"/>
      <c r="AU31" s="3988"/>
      <c r="AV31" s="3988"/>
      <c r="AW31" s="3988"/>
      <c r="AX31" s="3988"/>
      <c r="AY31" s="3988"/>
      <c r="AZ31" s="3988"/>
      <c r="BA31" s="3988"/>
      <c r="BB31" s="3988"/>
      <c r="BC31" s="3988"/>
      <c r="BD31" s="3988"/>
      <c r="BE31" s="3992"/>
      <c r="BF31" s="3992"/>
      <c r="BG31" s="3992"/>
      <c r="BH31" s="3992"/>
      <c r="BI31" s="4040"/>
      <c r="BJ31" s="2244" t="s">
        <v>1871</v>
      </c>
      <c r="BK31" s="3339"/>
      <c r="BL31" s="3995"/>
      <c r="BM31" s="3997"/>
      <c r="BN31" s="4033"/>
      <c r="BO31" s="4033"/>
      <c r="BP31" s="2584"/>
    </row>
    <row r="32" spans="1:68" s="366" customFormat="1" ht="109.5" customHeight="1" x14ac:dyDescent="0.2">
      <c r="A32" s="2118"/>
      <c r="C32" s="2091"/>
      <c r="F32" s="2091"/>
      <c r="G32" s="2774"/>
      <c r="H32" s="2626"/>
      <c r="I32" s="2698"/>
      <c r="J32" s="2821"/>
      <c r="K32" s="2984"/>
      <c r="L32" s="4026"/>
      <c r="M32" s="2618"/>
      <c r="N32" s="2626"/>
      <c r="O32" s="2698"/>
      <c r="P32" s="4020"/>
      <c r="Q32" s="4021"/>
      <c r="R32" s="2831"/>
      <c r="S32" s="2831"/>
      <c r="T32" s="2230" t="s">
        <v>1872</v>
      </c>
      <c r="U32" s="2354">
        <f>82335686611+3059606733+320453954-4525664226</f>
        <v>81190083072</v>
      </c>
      <c r="V32" s="2354">
        <v>81025841968.059998</v>
      </c>
      <c r="W32" s="2354">
        <v>81025841968.059998</v>
      </c>
      <c r="X32" s="2359" t="s">
        <v>1873</v>
      </c>
      <c r="Y32" s="2222" t="s">
        <v>1874</v>
      </c>
      <c r="Z32" s="4023"/>
      <c r="AA32" s="3988"/>
      <c r="AB32" s="3988"/>
      <c r="AC32" s="3988"/>
      <c r="AD32" s="3988"/>
      <c r="AE32" s="3988"/>
      <c r="AF32" s="3988"/>
      <c r="AG32" s="3988"/>
      <c r="AH32" s="3988"/>
      <c r="AI32" s="3988"/>
      <c r="AJ32" s="3988"/>
      <c r="AK32" s="3988"/>
      <c r="AL32" s="3988"/>
      <c r="AM32" s="3988"/>
      <c r="AN32" s="3988"/>
      <c r="AO32" s="3988"/>
      <c r="AP32" s="3988"/>
      <c r="AQ32" s="3988"/>
      <c r="AR32" s="3988"/>
      <c r="AS32" s="3988"/>
      <c r="AT32" s="3988"/>
      <c r="AU32" s="3988"/>
      <c r="AV32" s="3988"/>
      <c r="AW32" s="3988"/>
      <c r="AX32" s="3988"/>
      <c r="AY32" s="3988"/>
      <c r="AZ32" s="3988"/>
      <c r="BA32" s="3988"/>
      <c r="BB32" s="3988"/>
      <c r="BC32" s="3988"/>
      <c r="BD32" s="3988"/>
      <c r="BE32" s="3992"/>
      <c r="BF32" s="3992"/>
      <c r="BG32" s="3992"/>
      <c r="BH32" s="3992"/>
      <c r="BI32" s="4040"/>
      <c r="BJ32" s="2348"/>
      <c r="BK32" s="3339"/>
      <c r="BL32" s="3995"/>
      <c r="BM32" s="3997"/>
      <c r="BN32" s="4033"/>
      <c r="BO32" s="4033"/>
      <c r="BP32" s="2584"/>
    </row>
    <row r="33" spans="1:68" s="366" customFormat="1" ht="121.5" customHeight="1" x14ac:dyDescent="0.2">
      <c r="A33" s="2118"/>
      <c r="C33" s="2091"/>
      <c r="F33" s="2091"/>
      <c r="G33" s="2775"/>
      <c r="H33" s="2626"/>
      <c r="I33" s="2698"/>
      <c r="J33" s="2821"/>
      <c r="K33" s="2984"/>
      <c r="L33" s="4027"/>
      <c r="M33" s="2618"/>
      <c r="N33" s="2626"/>
      <c r="O33" s="2698"/>
      <c r="P33" s="4020"/>
      <c r="Q33" s="4021"/>
      <c r="R33" s="2787"/>
      <c r="S33" s="2787"/>
      <c r="T33" s="2230" t="s">
        <v>1875</v>
      </c>
      <c r="U33" s="2354">
        <f>962476510.94-86645042</f>
        <v>875831468.94000006</v>
      </c>
      <c r="V33" s="2354">
        <f>962476510.94-86645042</f>
        <v>875831468.94000006</v>
      </c>
      <c r="W33" s="2354">
        <f>962476510.94-86645042</f>
        <v>875831468.94000006</v>
      </c>
      <c r="X33" s="2360" t="s">
        <v>1876</v>
      </c>
      <c r="Y33" s="2231" t="s">
        <v>1877</v>
      </c>
      <c r="Z33" s="4024"/>
      <c r="AA33" s="4031"/>
      <c r="AB33" s="4031"/>
      <c r="AC33" s="4031"/>
      <c r="AD33" s="4031"/>
      <c r="AE33" s="4031"/>
      <c r="AF33" s="4031"/>
      <c r="AG33" s="4031"/>
      <c r="AH33" s="4031"/>
      <c r="AI33" s="4031"/>
      <c r="AJ33" s="4031"/>
      <c r="AK33" s="4031"/>
      <c r="AL33" s="4031"/>
      <c r="AM33" s="4031"/>
      <c r="AN33" s="4031"/>
      <c r="AO33" s="4031"/>
      <c r="AP33" s="4031"/>
      <c r="AQ33" s="4031"/>
      <c r="AR33" s="4031"/>
      <c r="AS33" s="4031"/>
      <c r="AT33" s="4031"/>
      <c r="AU33" s="4031"/>
      <c r="AV33" s="4031"/>
      <c r="AW33" s="4031"/>
      <c r="AX33" s="4031"/>
      <c r="AY33" s="4031"/>
      <c r="AZ33" s="4031"/>
      <c r="BA33" s="4031"/>
      <c r="BB33" s="4031"/>
      <c r="BC33" s="4031"/>
      <c r="BD33" s="4031"/>
      <c r="BE33" s="4016"/>
      <c r="BF33" s="4016"/>
      <c r="BG33" s="4016"/>
      <c r="BH33" s="4016"/>
      <c r="BI33" s="4018"/>
      <c r="BJ33" s="2361"/>
      <c r="BK33" s="3339"/>
      <c r="BL33" s="3995"/>
      <c r="BM33" s="4028"/>
      <c r="BN33" s="4034"/>
      <c r="BO33" s="4034"/>
      <c r="BP33" s="2720"/>
    </row>
    <row r="34" spans="1:68" s="366" customFormat="1" ht="46.5" customHeight="1" x14ac:dyDescent="0.2">
      <c r="A34" s="2118"/>
      <c r="C34" s="2091"/>
      <c r="F34" s="2091"/>
      <c r="G34" s="2773">
        <v>2201071</v>
      </c>
      <c r="H34" s="3407" t="s">
        <v>1859</v>
      </c>
      <c r="I34" s="4035" t="s">
        <v>1860</v>
      </c>
      <c r="J34" s="4038" t="s">
        <v>1861</v>
      </c>
      <c r="K34" s="2984">
        <v>54</v>
      </c>
      <c r="L34" s="4025">
        <v>54</v>
      </c>
      <c r="M34" s="2617" t="s">
        <v>1878</v>
      </c>
      <c r="N34" s="2794" t="s">
        <v>1879</v>
      </c>
      <c r="O34" s="2742" t="s">
        <v>1880</v>
      </c>
      <c r="P34" s="3386">
        <f>SUM(U34:U38)/Q34</f>
        <v>1</v>
      </c>
      <c r="Q34" s="4047">
        <f>SUM(U34:U38)</f>
        <v>2291845202</v>
      </c>
      <c r="R34" s="2742" t="s">
        <v>1881</v>
      </c>
      <c r="S34" s="2742" t="s">
        <v>1882</v>
      </c>
      <c r="T34" s="2249" t="s">
        <v>1883</v>
      </c>
      <c r="U34" s="2342">
        <v>1754977313</v>
      </c>
      <c r="V34" s="2342">
        <v>1754977313</v>
      </c>
      <c r="W34" s="2342">
        <v>1754977313</v>
      </c>
      <c r="X34" s="4041" t="s">
        <v>1884</v>
      </c>
      <c r="Y34" s="2788" t="s">
        <v>1885</v>
      </c>
      <c r="Z34" s="4044">
        <v>20196</v>
      </c>
      <c r="AA34" s="3987">
        <v>19390.222222222223</v>
      </c>
      <c r="AB34" s="3987">
        <v>20595</v>
      </c>
      <c r="AC34" s="3987">
        <v>19836</v>
      </c>
      <c r="AD34" s="3987">
        <v>29775</v>
      </c>
      <c r="AE34" s="3987">
        <v>28890</v>
      </c>
      <c r="AF34" s="3987">
        <v>9453</v>
      </c>
      <c r="AG34" s="3987">
        <v>9117.4444444444453</v>
      </c>
      <c r="AH34" s="3987">
        <v>1396</v>
      </c>
      <c r="AI34" s="3987">
        <v>1123.3333333333333</v>
      </c>
      <c r="AJ34" s="3987">
        <v>167</v>
      </c>
      <c r="AK34" s="3987">
        <v>95</v>
      </c>
      <c r="AL34" s="3987">
        <v>274</v>
      </c>
      <c r="AM34" s="3987">
        <v>290.22222222222223</v>
      </c>
      <c r="AN34" s="3987">
        <v>329</v>
      </c>
      <c r="AO34" s="3987">
        <v>332.22222222222223</v>
      </c>
      <c r="AP34" s="3987">
        <v>0</v>
      </c>
      <c r="AQ34" s="3987">
        <v>0</v>
      </c>
      <c r="AR34" s="3987">
        <v>0</v>
      </c>
      <c r="AS34" s="3987">
        <v>0</v>
      </c>
      <c r="AT34" s="3987">
        <v>0</v>
      </c>
      <c r="AU34" s="3987">
        <v>0</v>
      </c>
      <c r="AV34" s="3987">
        <v>0</v>
      </c>
      <c r="AW34" s="3987">
        <v>0</v>
      </c>
      <c r="AX34" s="3987">
        <v>3097</v>
      </c>
      <c r="AY34" s="3987">
        <v>3256.4444444444443</v>
      </c>
      <c r="AZ34" s="3987">
        <v>2611</v>
      </c>
      <c r="BA34" s="3987">
        <v>2467.8888888888887</v>
      </c>
      <c r="BB34" s="3987">
        <v>50</v>
      </c>
      <c r="BC34" s="3987">
        <v>112.88888888888889</v>
      </c>
      <c r="BD34" s="3987">
        <f>+Z34+AB34</f>
        <v>40791</v>
      </c>
      <c r="BE34" s="3991">
        <f>SUM(AA34+AC34)</f>
        <v>39226.222222222219</v>
      </c>
      <c r="BF34" s="3991" t="s">
        <v>1869</v>
      </c>
      <c r="BG34" s="3991">
        <f>SUM(V34:V38)</f>
        <v>2291845202</v>
      </c>
      <c r="BH34" s="3991">
        <f>SUM(W34:W38)</f>
        <v>2288725202</v>
      </c>
      <c r="BI34" s="4048">
        <f>+BH34/BG34</f>
        <v>0.99863865151220632</v>
      </c>
      <c r="BJ34" s="3987" t="s">
        <v>1833</v>
      </c>
      <c r="BK34" s="3339" t="s">
        <v>1870</v>
      </c>
      <c r="BL34" s="3995">
        <v>43832</v>
      </c>
      <c r="BM34" s="3996">
        <v>43832</v>
      </c>
      <c r="BN34" s="4032">
        <v>44195</v>
      </c>
      <c r="BO34" s="4032">
        <v>44195</v>
      </c>
      <c r="BP34" s="2583" t="s">
        <v>1823</v>
      </c>
    </row>
    <row r="35" spans="1:68" s="366" customFormat="1" ht="27.75" customHeight="1" x14ac:dyDescent="0.2">
      <c r="A35" s="2118"/>
      <c r="C35" s="2091"/>
      <c r="F35" s="2091"/>
      <c r="G35" s="2774"/>
      <c r="H35" s="3188"/>
      <c r="I35" s="4036"/>
      <c r="J35" s="4039"/>
      <c r="K35" s="2984"/>
      <c r="L35" s="4026"/>
      <c r="M35" s="2618"/>
      <c r="N35" s="2794"/>
      <c r="O35" s="2742"/>
      <c r="P35" s="3386"/>
      <c r="Q35" s="4047"/>
      <c r="R35" s="2742"/>
      <c r="S35" s="2742"/>
      <c r="T35" s="2248" t="s">
        <v>1886</v>
      </c>
      <c r="U35" s="2330">
        <v>22440000</v>
      </c>
      <c r="V35" s="2330">
        <v>22440000</v>
      </c>
      <c r="W35" s="2330">
        <v>22440000</v>
      </c>
      <c r="X35" s="4042"/>
      <c r="Y35" s="2831"/>
      <c r="Z35" s="4045"/>
      <c r="AA35" s="3988"/>
      <c r="AB35" s="3988"/>
      <c r="AC35" s="3988"/>
      <c r="AD35" s="3988"/>
      <c r="AE35" s="3988"/>
      <c r="AF35" s="3988"/>
      <c r="AG35" s="3988"/>
      <c r="AH35" s="3988"/>
      <c r="AI35" s="3988"/>
      <c r="AJ35" s="3988"/>
      <c r="AK35" s="3988"/>
      <c r="AL35" s="3988"/>
      <c r="AM35" s="3988"/>
      <c r="AN35" s="3988"/>
      <c r="AO35" s="3988"/>
      <c r="AP35" s="3988"/>
      <c r="AQ35" s="3988"/>
      <c r="AR35" s="3988"/>
      <c r="AS35" s="3988"/>
      <c r="AT35" s="3988"/>
      <c r="AU35" s="3988"/>
      <c r="AV35" s="3988"/>
      <c r="AW35" s="3988"/>
      <c r="AX35" s="3988"/>
      <c r="AY35" s="3988"/>
      <c r="AZ35" s="3988"/>
      <c r="BA35" s="3988"/>
      <c r="BB35" s="3988"/>
      <c r="BC35" s="3988"/>
      <c r="BD35" s="3988"/>
      <c r="BE35" s="3992"/>
      <c r="BF35" s="3992"/>
      <c r="BG35" s="3992"/>
      <c r="BH35" s="3992"/>
      <c r="BI35" s="4049"/>
      <c r="BJ35" s="3988"/>
      <c r="BK35" s="3339"/>
      <c r="BL35" s="3995"/>
      <c r="BM35" s="3997"/>
      <c r="BN35" s="4033"/>
      <c r="BO35" s="4033"/>
      <c r="BP35" s="2584"/>
    </row>
    <row r="36" spans="1:68" s="366" customFormat="1" ht="27.75" customHeight="1" x14ac:dyDescent="0.2">
      <c r="A36" s="2118"/>
      <c r="C36" s="2091"/>
      <c r="F36" s="2091"/>
      <c r="G36" s="2774"/>
      <c r="H36" s="3188"/>
      <c r="I36" s="4036"/>
      <c r="J36" s="4039"/>
      <c r="K36" s="2984"/>
      <c r="L36" s="4026"/>
      <c r="M36" s="2618"/>
      <c r="N36" s="2794"/>
      <c r="O36" s="2742"/>
      <c r="P36" s="3386"/>
      <c r="Q36" s="4047"/>
      <c r="R36" s="2742"/>
      <c r="S36" s="2742"/>
      <c r="T36" s="2248" t="s">
        <v>1887</v>
      </c>
      <c r="U36" s="2330">
        <v>505906772</v>
      </c>
      <c r="V36" s="2330">
        <v>505906772</v>
      </c>
      <c r="W36" s="2330">
        <v>505906772</v>
      </c>
      <c r="X36" s="4042"/>
      <c r="Y36" s="2831"/>
      <c r="Z36" s="4045"/>
      <c r="AA36" s="3988"/>
      <c r="AB36" s="3988"/>
      <c r="AC36" s="3988"/>
      <c r="AD36" s="3988"/>
      <c r="AE36" s="3988"/>
      <c r="AF36" s="3988"/>
      <c r="AG36" s="3988"/>
      <c r="AH36" s="3988"/>
      <c r="AI36" s="3988"/>
      <c r="AJ36" s="3988"/>
      <c r="AK36" s="3988"/>
      <c r="AL36" s="3988"/>
      <c r="AM36" s="3988"/>
      <c r="AN36" s="3988"/>
      <c r="AO36" s="3988"/>
      <c r="AP36" s="3988"/>
      <c r="AQ36" s="3988"/>
      <c r="AR36" s="3988"/>
      <c r="AS36" s="3988"/>
      <c r="AT36" s="3988"/>
      <c r="AU36" s="3988"/>
      <c r="AV36" s="3988"/>
      <c r="AW36" s="3988"/>
      <c r="AX36" s="3988"/>
      <c r="AY36" s="3988"/>
      <c r="AZ36" s="3988"/>
      <c r="BA36" s="3988"/>
      <c r="BB36" s="3988"/>
      <c r="BC36" s="3988"/>
      <c r="BD36" s="3988"/>
      <c r="BE36" s="3992"/>
      <c r="BF36" s="3992"/>
      <c r="BG36" s="3992"/>
      <c r="BH36" s="3992"/>
      <c r="BI36" s="4049"/>
      <c r="BJ36" s="3988"/>
      <c r="BK36" s="3339"/>
      <c r="BL36" s="3995"/>
      <c r="BM36" s="3997"/>
      <c r="BN36" s="4033"/>
      <c r="BO36" s="4033"/>
      <c r="BP36" s="2584"/>
    </row>
    <row r="37" spans="1:68" s="366" customFormat="1" ht="27.75" customHeight="1" x14ac:dyDescent="0.2">
      <c r="A37" s="2118"/>
      <c r="C37" s="2091"/>
      <c r="F37" s="2091"/>
      <c r="G37" s="2774"/>
      <c r="H37" s="3188"/>
      <c r="I37" s="4036"/>
      <c r="J37" s="4039"/>
      <c r="K37" s="2984"/>
      <c r="L37" s="4026"/>
      <c r="M37" s="2618"/>
      <c r="N37" s="2794"/>
      <c r="O37" s="2742"/>
      <c r="P37" s="3386"/>
      <c r="Q37" s="4047"/>
      <c r="R37" s="2742"/>
      <c r="S37" s="2742"/>
      <c r="T37" s="2248" t="s">
        <v>1888</v>
      </c>
      <c r="U37" s="2330">
        <v>5000000</v>
      </c>
      <c r="V37" s="2330">
        <v>5000000</v>
      </c>
      <c r="W37" s="2330">
        <v>1880000</v>
      </c>
      <c r="X37" s="4042"/>
      <c r="Y37" s="2831"/>
      <c r="Z37" s="4045"/>
      <c r="AA37" s="3988"/>
      <c r="AB37" s="3988"/>
      <c r="AC37" s="3988"/>
      <c r="AD37" s="3988"/>
      <c r="AE37" s="3988"/>
      <c r="AF37" s="3988"/>
      <c r="AG37" s="3988"/>
      <c r="AH37" s="3988"/>
      <c r="AI37" s="3988"/>
      <c r="AJ37" s="3988"/>
      <c r="AK37" s="3988"/>
      <c r="AL37" s="3988"/>
      <c r="AM37" s="3988"/>
      <c r="AN37" s="3988"/>
      <c r="AO37" s="3988"/>
      <c r="AP37" s="3988"/>
      <c r="AQ37" s="3988"/>
      <c r="AR37" s="3988"/>
      <c r="AS37" s="3988"/>
      <c r="AT37" s="3988"/>
      <c r="AU37" s="3988"/>
      <c r="AV37" s="3988"/>
      <c r="AW37" s="3988"/>
      <c r="AX37" s="3988"/>
      <c r="AY37" s="3988"/>
      <c r="AZ37" s="3988"/>
      <c r="BA37" s="3988"/>
      <c r="BB37" s="3988"/>
      <c r="BC37" s="3988"/>
      <c r="BD37" s="3988"/>
      <c r="BE37" s="3992"/>
      <c r="BF37" s="3992"/>
      <c r="BG37" s="3992"/>
      <c r="BH37" s="3992"/>
      <c r="BI37" s="4049"/>
      <c r="BJ37" s="3988"/>
      <c r="BK37" s="3339"/>
      <c r="BL37" s="3995"/>
      <c r="BM37" s="3997"/>
      <c r="BN37" s="4033"/>
      <c r="BO37" s="4033"/>
      <c r="BP37" s="2584"/>
    </row>
    <row r="38" spans="1:68" s="366" customFormat="1" ht="36" customHeight="1" x14ac:dyDescent="0.2">
      <c r="A38" s="2118"/>
      <c r="C38" s="2091"/>
      <c r="F38" s="2091"/>
      <c r="G38" s="2775"/>
      <c r="H38" s="3408"/>
      <c r="I38" s="4037"/>
      <c r="J38" s="3612"/>
      <c r="K38" s="2984"/>
      <c r="L38" s="4027"/>
      <c r="M38" s="3276"/>
      <c r="N38" s="2794"/>
      <c r="O38" s="2742"/>
      <c r="P38" s="3386"/>
      <c r="Q38" s="3986"/>
      <c r="R38" s="2743"/>
      <c r="S38" s="2743"/>
      <c r="T38" s="2362" t="s">
        <v>1889</v>
      </c>
      <c r="U38" s="2330">
        <v>3521117</v>
      </c>
      <c r="V38" s="2330">
        <v>3521117</v>
      </c>
      <c r="W38" s="2330">
        <v>3521117</v>
      </c>
      <c r="X38" s="4043"/>
      <c r="Y38" s="2787"/>
      <c r="Z38" s="4046"/>
      <c r="AA38" s="4031"/>
      <c r="AB38" s="4031"/>
      <c r="AC38" s="4031"/>
      <c r="AD38" s="4031"/>
      <c r="AE38" s="4031"/>
      <c r="AF38" s="4031"/>
      <c r="AG38" s="4031"/>
      <c r="AH38" s="4031"/>
      <c r="AI38" s="4031"/>
      <c r="AJ38" s="4031"/>
      <c r="AK38" s="4031"/>
      <c r="AL38" s="4031"/>
      <c r="AM38" s="4031"/>
      <c r="AN38" s="4031"/>
      <c r="AO38" s="4031"/>
      <c r="AP38" s="4031"/>
      <c r="AQ38" s="4031"/>
      <c r="AR38" s="4031"/>
      <c r="AS38" s="4031"/>
      <c r="AT38" s="4031"/>
      <c r="AU38" s="4031"/>
      <c r="AV38" s="4031"/>
      <c r="AW38" s="4031"/>
      <c r="AX38" s="4031"/>
      <c r="AY38" s="4031"/>
      <c r="AZ38" s="4031"/>
      <c r="BA38" s="4031"/>
      <c r="BB38" s="4031"/>
      <c r="BC38" s="4031"/>
      <c r="BD38" s="4031"/>
      <c r="BE38" s="4016"/>
      <c r="BF38" s="4016"/>
      <c r="BG38" s="4016"/>
      <c r="BH38" s="4016"/>
      <c r="BI38" s="4050"/>
      <c r="BJ38" s="4031"/>
      <c r="BK38" s="3339"/>
      <c r="BL38" s="3995"/>
      <c r="BM38" s="4028"/>
      <c r="BN38" s="4034"/>
      <c r="BO38" s="4034"/>
      <c r="BP38" s="2720"/>
    </row>
    <row r="39" spans="1:68" s="366" customFormat="1" ht="49.5" customHeight="1" x14ac:dyDescent="0.2">
      <c r="A39" s="2118"/>
      <c r="C39" s="2091"/>
      <c r="F39" s="2091"/>
      <c r="G39" s="2773">
        <v>2201006</v>
      </c>
      <c r="H39" s="2626" t="s">
        <v>1890</v>
      </c>
      <c r="I39" s="2698" t="s">
        <v>1891</v>
      </c>
      <c r="J39" s="2821" t="s">
        <v>1892</v>
      </c>
      <c r="K39" s="2984">
        <v>54</v>
      </c>
      <c r="L39" s="4025">
        <v>54</v>
      </c>
      <c r="M39" s="2618" t="s">
        <v>1893</v>
      </c>
      <c r="N39" s="2626" t="s">
        <v>1894</v>
      </c>
      <c r="O39" s="2821" t="s">
        <v>1895</v>
      </c>
      <c r="P39" s="4020">
        <f>SUM(U39:U40)/Q39</f>
        <v>3.4580457306659436E-2</v>
      </c>
      <c r="Q39" s="4057">
        <f>SUM(U39:U53)</f>
        <v>2227269475.27</v>
      </c>
      <c r="R39" s="2741" t="s">
        <v>1896</v>
      </c>
      <c r="S39" s="3345" t="s">
        <v>1897</v>
      </c>
      <c r="T39" s="2232" t="s">
        <v>1898</v>
      </c>
      <c r="U39" s="2363">
        <f>20600000</f>
        <v>20600000</v>
      </c>
      <c r="V39" s="2364">
        <f>U39</f>
        <v>20600000</v>
      </c>
      <c r="W39" s="2364">
        <f>V39</f>
        <v>20600000</v>
      </c>
      <c r="X39" s="2244">
        <v>20</v>
      </c>
      <c r="Y39" s="2358" t="s">
        <v>397</v>
      </c>
      <c r="Z39" s="4022">
        <v>20196</v>
      </c>
      <c r="AA39" s="3987">
        <v>19390.222222222223</v>
      </c>
      <c r="AB39" s="3987">
        <v>20595</v>
      </c>
      <c r="AC39" s="3987">
        <v>19836</v>
      </c>
      <c r="AD39" s="3987">
        <v>29775</v>
      </c>
      <c r="AE39" s="3987">
        <v>28890</v>
      </c>
      <c r="AF39" s="3987">
        <v>9453</v>
      </c>
      <c r="AG39" s="3987">
        <v>9117.4444444444453</v>
      </c>
      <c r="AH39" s="3987">
        <v>1396</v>
      </c>
      <c r="AI39" s="3987">
        <v>1123.3333333333333</v>
      </c>
      <c r="AJ39" s="3987">
        <v>167</v>
      </c>
      <c r="AK39" s="3987">
        <v>95</v>
      </c>
      <c r="AL39" s="3987">
        <v>274</v>
      </c>
      <c r="AM39" s="3987">
        <v>290.22222222222223</v>
      </c>
      <c r="AN39" s="3987">
        <v>329</v>
      </c>
      <c r="AO39" s="3987">
        <v>332.22222222222223</v>
      </c>
      <c r="AP39" s="3987">
        <v>0</v>
      </c>
      <c r="AQ39" s="3987">
        <v>0</v>
      </c>
      <c r="AR39" s="3987">
        <v>0</v>
      </c>
      <c r="AS39" s="3987">
        <v>0</v>
      </c>
      <c r="AT39" s="3987">
        <v>0</v>
      </c>
      <c r="AU39" s="3987">
        <v>0</v>
      </c>
      <c r="AV39" s="3987">
        <v>0</v>
      </c>
      <c r="AW39" s="3987">
        <v>0</v>
      </c>
      <c r="AX39" s="3987">
        <v>3097</v>
      </c>
      <c r="AY39" s="3987">
        <v>3256.4444444444443</v>
      </c>
      <c r="AZ39" s="3987">
        <v>2611</v>
      </c>
      <c r="BA39" s="3987">
        <v>2467.8888888888887</v>
      </c>
      <c r="BB39" s="3987">
        <v>50</v>
      </c>
      <c r="BC39" s="3987">
        <v>112.88888888888889</v>
      </c>
      <c r="BD39" s="3987">
        <f>+Z39+AB39</f>
        <v>40791</v>
      </c>
      <c r="BE39" s="3991">
        <f>SUM(AA39+AC39)</f>
        <v>39226.222222222219</v>
      </c>
      <c r="BF39" s="3991">
        <v>8</v>
      </c>
      <c r="BG39" s="3991">
        <f>SUM(V39:V53)</f>
        <v>406075886</v>
      </c>
      <c r="BH39" s="3991">
        <f>SUM(W39:W53)</f>
        <v>406075886</v>
      </c>
      <c r="BI39" s="4017">
        <f>+BH39/BG39</f>
        <v>1</v>
      </c>
      <c r="BJ39" s="2244" t="s">
        <v>85</v>
      </c>
      <c r="BK39" s="3339" t="s">
        <v>1899</v>
      </c>
      <c r="BL39" s="3995">
        <v>43832</v>
      </c>
      <c r="BM39" s="3996">
        <v>43832</v>
      </c>
      <c r="BN39" s="3171">
        <v>44195</v>
      </c>
      <c r="BO39" s="3171">
        <v>44195</v>
      </c>
      <c r="BP39" s="2583" t="s">
        <v>1823</v>
      </c>
    </row>
    <row r="40" spans="1:68" s="366" customFormat="1" ht="93" customHeight="1" x14ac:dyDescent="0.2">
      <c r="A40" s="2118"/>
      <c r="C40" s="2091"/>
      <c r="F40" s="2091"/>
      <c r="G40" s="2775"/>
      <c r="H40" s="2626"/>
      <c r="I40" s="2698"/>
      <c r="J40" s="2821"/>
      <c r="K40" s="2984"/>
      <c r="L40" s="4027"/>
      <c r="M40" s="2618"/>
      <c r="N40" s="2626"/>
      <c r="O40" s="2821"/>
      <c r="P40" s="4020"/>
      <c r="Q40" s="3998"/>
      <c r="R40" s="2742"/>
      <c r="S40" s="3346"/>
      <c r="T40" s="2222" t="s">
        <v>1900</v>
      </c>
      <c r="U40" s="2343">
        <v>56419997</v>
      </c>
      <c r="V40" s="2365">
        <v>50013332</v>
      </c>
      <c r="W40" s="2365">
        <v>50013332</v>
      </c>
      <c r="X40" s="2262">
        <v>20</v>
      </c>
      <c r="Y40" s="2358" t="s">
        <v>397</v>
      </c>
      <c r="Z40" s="4023"/>
      <c r="AA40" s="3988"/>
      <c r="AB40" s="3988"/>
      <c r="AC40" s="3988"/>
      <c r="AD40" s="3988"/>
      <c r="AE40" s="3988"/>
      <c r="AF40" s="3988"/>
      <c r="AG40" s="3988"/>
      <c r="AH40" s="3988"/>
      <c r="AI40" s="3988"/>
      <c r="AJ40" s="3988"/>
      <c r="AK40" s="3988"/>
      <c r="AL40" s="3988"/>
      <c r="AM40" s="3988"/>
      <c r="AN40" s="3988"/>
      <c r="AO40" s="3988"/>
      <c r="AP40" s="3988"/>
      <c r="AQ40" s="3988"/>
      <c r="AR40" s="3988"/>
      <c r="AS40" s="3988"/>
      <c r="AT40" s="3988"/>
      <c r="AU40" s="3988"/>
      <c r="AV40" s="3988"/>
      <c r="AW40" s="3988"/>
      <c r="AX40" s="3988"/>
      <c r="AY40" s="3988"/>
      <c r="AZ40" s="3988"/>
      <c r="BA40" s="3988"/>
      <c r="BB40" s="3988"/>
      <c r="BC40" s="3988"/>
      <c r="BD40" s="3988"/>
      <c r="BE40" s="3992"/>
      <c r="BF40" s="3992"/>
      <c r="BG40" s="3992"/>
      <c r="BH40" s="3992"/>
      <c r="BI40" s="4040"/>
      <c r="BJ40" s="2244" t="s">
        <v>1901</v>
      </c>
      <c r="BK40" s="3339"/>
      <c r="BL40" s="3995"/>
      <c r="BM40" s="3997"/>
      <c r="BN40" s="3172"/>
      <c r="BO40" s="3172"/>
      <c r="BP40" s="2584"/>
    </row>
    <row r="41" spans="1:68" s="366" customFormat="1" ht="93" customHeight="1" x14ac:dyDescent="0.2">
      <c r="A41" s="2118"/>
      <c r="C41" s="2091"/>
      <c r="F41" s="2091"/>
      <c r="G41" s="2366">
        <v>2201033</v>
      </c>
      <c r="H41" s="2213" t="s">
        <v>1902</v>
      </c>
      <c r="I41" s="2230" t="s">
        <v>1814</v>
      </c>
      <c r="J41" s="2226" t="s">
        <v>1815</v>
      </c>
      <c r="K41" s="2352">
        <v>9000</v>
      </c>
      <c r="L41" s="2352">
        <v>9000</v>
      </c>
      <c r="M41" s="2618"/>
      <c r="N41" s="2626"/>
      <c r="O41" s="2821"/>
      <c r="P41" s="2353">
        <f>U41/Q39</f>
        <v>4.1831000260399848E-3</v>
      </c>
      <c r="Q41" s="3998"/>
      <c r="R41" s="2742"/>
      <c r="S41" s="3346"/>
      <c r="T41" s="2230" t="s">
        <v>1903</v>
      </c>
      <c r="U41" s="2343">
        <v>9316891</v>
      </c>
      <c r="V41" s="2365">
        <v>9316891</v>
      </c>
      <c r="W41" s="2365">
        <v>9316891</v>
      </c>
      <c r="X41" s="2238">
        <v>21</v>
      </c>
      <c r="Y41" s="2230" t="s">
        <v>1904</v>
      </c>
      <c r="Z41" s="4023"/>
      <c r="AA41" s="3988"/>
      <c r="AB41" s="3988"/>
      <c r="AC41" s="3988"/>
      <c r="AD41" s="3988"/>
      <c r="AE41" s="3988"/>
      <c r="AF41" s="3988"/>
      <c r="AG41" s="3988"/>
      <c r="AH41" s="3988"/>
      <c r="AI41" s="3988"/>
      <c r="AJ41" s="3988"/>
      <c r="AK41" s="3988"/>
      <c r="AL41" s="3988"/>
      <c r="AM41" s="3988"/>
      <c r="AN41" s="3988"/>
      <c r="AO41" s="3988"/>
      <c r="AP41" s="3988"/>
      <c r="AQ41" s="3988"/>
      <c r="AR41" s="3988"/>
      <c r="AS41" s="3988"/>
      <c r="AT41" s="3988"/>
      <c r="AU41" s="3988"/>
      <c r="AV41" s="3988"/>
      <c r="AW41" s="3988"/>
      <c r="AX41" s="3988"/>
      <c r="AY41" s="3988"/>
      <c r="AZ41" s="3988"/>
      <c r="BA41" s="3988"/>
      <c r="BB41" s="3988"/>
      <c r="BC41" s="3988"/>
      <c r="BD41" s="3988"/>
      <c r="BE41" s="3992"/>
      <c r="BF41" s="3992"/>
      <c r="BG41" s="3992"/>
      <c r="BH41" s="3992"/>
      <c r="BI41" s="4040"/>
      <c r="BJ41" s="2244" t="s">
        <v>411</v>
      </c>
      <c r="BK41" s="3339"/>
      <c r="BL41" s="3995"/>
      <c r="BM41" s="3997"/>
      <c r="BN41" s="3172"/>
      <c r="BO41" s="3172"/>
      <c r="BP41" s="2584"/>
    </row>
    <row r="42" spans="1:68" s="366" customFormat="1" ht="93" customHeight="1" x14ac:dyDescent="0.2">
      <c r="A42" s="2118"/>
      <c r="C42" s="2091"/>
      <c r="F42" s="2091"/>
      <c r="G42" s="2366">
        <v>2201068</v>
      </c>
      <c r="H42" s="2213" t="s">
        <v>1611</v>
      </c>
      <c r="I42" s="2230" t="s">
        <v>1612</v>
      </c>
      <c r="J42" s="2226" t="s">
        <v>1613</v>
      </c>
      <c r="K42" s="2275">
        <v>48</v>
      </c>
      <c r="L42" s="2352">
        <v>48</v>
      </c>
      <c r="M42" s="2618"/>
      <c r="N42" s="2626"/>
      <c r="O42" s="2821"/>
      <c r="P42" s="2353">
        <f>U42/Q39</f>
        <v>1.228295377086493E-2</v>
      </c>
      <c r="Q42" s="3998"/>
      <c r="R42" s="2742"/>
      <c r="S42" s="3346"/>
      <c r="T42" s="2230" t="s">
        <v>1905</v>
      </c>
      <c r="U42" s="2343">
        <f>34778000-5243865-2176687</f>
        <v>27357448</v>
      </c>
      <c r="V42" s="2367">
        <v>18756135</v>
      </c>
      <c r="W42" s="2367">
        <v>18756135</v>
      </c>
      <c r="X42" s="2238">
        <v>88</v>
      </c>
      <c r="Y42" s="2230" t="s">
        <v>1826</v>
      </c>
      <c r="Z42" s="4023"/>
      <c r="AA42" s="3988"/>
      <c r="AB42" s="3988"/>
      <c r="AC42" s="3988"/>
      <c r="AD42" s="3988"/>
      <c r="AE42" s="3988"/>
      <c r="AF42" s="3988"/>
      <c r="AG42" s="3988"/>
      <c r="AH42" s="3988"/>
      <c r="AI42" s="3988"/>
      <c r="AJ42" s="3988"/>
      <c r="AK42" s="3988"/>
      <c r="AL42" s="3988"/>
      <c r="AM42" s="3988"/>
      <c r="AN42" s="3988"/>
      <c r="AO42" s="3988"/>
      <c r="AP42" s="3988"/>
      <c r="AQ42" s="3988"/>
      <c r="AR42" s="3988"/>
      <c r="AS42" s="3988"/>
      <c r="AT42" s="3988"/>
      <c r="AU42" s="3988"/>
      <c r="AV42" s="3988"/>
      <c r="AW42" s="3988"/>
      <c r="AX42" s="3988"/>
      <c r="AY42" s="3988"/>
      <c r="AZ42" s="3988"/>
      <c r="BA42" s="3988"/>
      <c r="BB42" s="3988"/>
      <c r="BC42" s="3988"/>
      <c r="BD42" s="3988"/>
      <c r="BE42" s="3992"/>
      <c r="BF42" s="3992"/>
      <c r="BG42" s="3992"/>
      <c r="BH42" s="3992"/>
      <c r="BI42" s="4040"/>
      <c r="BJ42" s="2244" t="s">
        <v>1901</v>
      </c>
      <c r="BK42" s="3339"/>
      <c r="BL42" s="3995"/>
      <c r="BM42" s="3997"/>
      <c r="BN42" s="3172"/>
      <c r="BO42" s="3172"/>
      <c r="BP42" s="2584"/>
    </row>
    <row r="43" spans="1:68" s="366" customFormat="1" ht="93" customHeight="1" x14ac:dyDescent="0.2">
      <c r="A43" s="2118"/>
      <c r="C43" s="2091"/>
      <c r="F43" s="2091"/>
      <c r="G43" s="2366">
        <v>2201046</v>
      </c>
      <c r="H43" s="2213" t="s">
        <v>1906</v>
      </c>
      <c r="I43" s="2230" t="s">
        <v>1907</v>
      </c>
      <c r="J43" s="2226" t="s">
        <v>1908</v>
      </c>
      <c r="K43" s="2243">
        <v>5</v>
      </c>
      <c r="L43" s="2352">
        <v>5</v>
      </c>
      <c r="M43" s="2618"/>
      <c r="N43" s="2626"/>
      <c r="O43" s="2821"/>
      <c r="P43" s="2353">
        <f>U43/Q39</f>
        <v>2.4244933358795245E-3</v>
      </c>
      <c r="Q43" s="3998"/>
      <c r="R43" s="2742"/>
      <c r="S43" s="3346"/>
      <c r="T43" s="2230" t="s">
        <v>1909</v>
      </c>
      <c r="U43" s="2347">
        <v>5400000</v>
      </c>
      <c r="V43" s="2368">
        <v>5400000</v>
      </c>
      <c r="W43" s="2368">
        <v>5400000</v>
      </c>
      <c r="X43" s="2238">
        <v>20</v>
      </c>
      <c r="Y43" s="2230" t="s">
        <v>397</v>
      </c>
      <c r="Z43" s="4023"/>
      <c r="AA43" s="3988"/>
      <c r="AB43" s="3988"/>
      <c r="AC43" s="3988"/>
      <c r="AD43" s="3988"/>
      <c r="AE43" s="3988"/>
      <c r="AF43" s="3988"/>
      <c r="AG43" s="3988"/>
      <c r="AH43" s="3988"/>
      <c r="AI43" s="3988"/>
      <c r="AJ43" s="3988"/>
      <c r="AK43" s="3988"/>
      <c r="AL43" s="3988"/>
      <c r="AM43" s="3988"/>
      <c r="AN43" s="3988"/>
      <c r="AO43" s="3988"/>
      <c r="AP43" s="3988"/>
      <c r="AQ43" s="3988"/>
      <c r="AR43" s="3988"/>
      <c r="AS43" s="3988"/>
      <c r="AT43" s="3988"/>
      <c r="AU43" s="3988"/>
      <c r="AV43" s="3988"/>
      <c r="AW43" s="3988"/>
      <c r="AX43" s="3988"/>
      <c r="AY43" s="3988"/>
      <c r="AZ43" s="3988"/>
      <c r="BA43" s="3988"/>
      <c r="BB43" s="3988"/>
      <c r="BC43" s="3988"/>
      <c r="BD43" s="3988"/>
      <c r="BE43" s="3992"/>
      <c r="BF43" s="3992"/>
      <c r="BG43" s="3992"/>
      <c r="BH43" s="3992"/>
      <c r="BI43" s="4040"/>
      <c r="BJ43" s="2244" t="s">
        <v>1824</v>
      </c>
      <c r="BK43" s="3339"/>
      <c r="BL43" s="3995"/>
      <c r="BM43" s="3997"/>
      <c r="BN43" s="3172"/>
      <c r="BO43" s="3172"/>
      <c r="BP43" s="2584"/>
    </row>
    <row r="44" spans="1:68" s="366" customFormat="1" ht="51.75" customHeight="1" x14ac:dyDescent="0.2">
      <c r="A44" s="2118"/>
      <c r="C44" s="2091"/>
      <c r="F44" s="2091"/>
      <c r="G44" s="2773" t="s">
        <v>64</v>
      </c>
      <c r="H44" s="3167" t="s">
        <v>1401</v>
      </c>
      <c r="I44" s="2788" t="s">
        <v>1910</v>
      </c>
      <c r="J44" s="3610" t="s">
        <v>619</v>
      </c>
      <c r="K44" s="2984">
        <v>9</v>
      </c>
      <c r="L44" s="4025">
        <v>4</v>
      </c>
      <c r="M44" s="2618"/>
      <c r="N44" s="2626"/>
      <c r="O44" s="2821"/>
      <c r="P44" s="4019">
        <f>SUM(U44:U48)/Q39</f>
        <v>0.8211548619631166</v>
      </c>
      <c r="Q44" s="3998"/>
      <c r="R44" s="2742"/>
      <c r="S44" s="3346"/>
      <c r="T44" s="2221" t="s">
        <v>1911</v>
      </c>
      <c r="U44" s="2347">
        <f>18360000</f>
        <v>18360000</v>
      </c>
      <c r="V44" s="2364">
        <f>U44</f>
        <v>18360000</v>
      </c>
      <c r="W44" s="2364">
        <f>V44</f>
        <v>18360000</v>
      </c>
      <c r="X44" s="2238">
        <v>20</v>
      </c>
      <c r="Y44" s="2230" t="s">
        <v>397</v>
      </c>
      <c r="Z44" s="4023"/>
      <c r="AA44" s="3988"/>
      <c r="AB44" s="3988"/>
      <c r="AC44" s="3988"/>
      <c r="AD44" s="3988"/>
      <c r="AE44" s="3988"/>
      <c r="AF44" s="3988"/>
      <c r="AG44" s="3988"/>
      <c r="AH44" s="3988"/>
      <c r="AI44" s="3988"/>
      <c r="AJ44" s="3988"/>
      <c r="AK44" s="3988"/>
      <c r="AL44" s="3988"/>
      <c r="AM44" s="3988"/>
      <c r="AN44" s="3988"/>
      <c r="AO44" s="3988"/>
      <c r="AP44" s="3988"/>
      <c r="AQ44" s="3988"/>
      <c r="AR44" s="3988"/>
      <c r="AS44" s="3988"/>
      <c r="AT44" s="3988"/>
      <c r="AU44" s="3988"/>
      <c r="AV44" s="3988"/>
      <c r="AW44" s="3988"/>
      <c r="AX44" s="3988"/>
      <c r="AY44" s="3988"/>
      <c r="AZ44" s="3988"/>
      <c r="BA44" s="3988"/>
      <c r="BB44" s="3988"/>
      <c r="BC44" s="3988"/>
      <c r="BD44" s="3988"/>
      <c r="BE44" s="3992"/>
      <c r="BF44" s="3992"/>
      <c r="BG44" s="3992"/>
      <c r="BH44" s="3992"/>
      <c r="BI44" s="4040"/>
      <c r="BJ44" s="2244" t="s">
        <v>1901</v>
      </c>
      <c r="BK44" s="3339"/>
      <c r="BL44" s="3995"/>
      <c r="BM44" s="3997"/>
      <c r="BN44" s="3172"/>
      <c r="BO44" s="3172"/>
      <c r="BP44" s="2584"/>
    </row>
    <row r="45" spans="1:68" s="366" customFormat="1" ht="35.25" customHeight="1" x14ac:dyDescent="0.2">
      <c r="A45" s="2118"/>
      <c r="C45" s="2091"/>
      <c r="F45" s="2091"/>
      <c r="G45" s="2774"/>
      <c r="H45" s="3019"/>
      <c r="I45" s="2831"/>
      <c r="J45" s="3083"/>
      <c r="K45" s="2984"/>
      <c r="L45" s="4026"/>
      <c r="M45" s="2618"/>
      <c r="N45" s="2626"/>
      <c r="O45" s="2821"/>
      <c r="P45" s="4019"/>
      <c r="Q45" s="3998"/>
      <c r="R45" s="2742"/>
      <c r="S45" s="3346"/>
      <c r="T45" s="3070" t="s">
        <v>1912</v>
      </c>
      <c r="U45" s="4053">
        <v>1791506530</v>
      </c>
      <c r="V45" s="4055">
        <v>0</v>
      </c>
      <c r="W45" s="4055">
        <v>0</v>
      </c>
      <c r="X45" s="3622">
        <v>173</v>
      </c>
      <c r="Y45" s="4062" t="s">
        <v>1913</v>
      </c>
      <c r="Z45" s="4023"/>
      <c r="AA45" s="3988"/>
      <c r="AB45" s="3988"/>
      <c r="AC45" s="3988"/>
      <c r="AD45" s="3988"/>
      <c r="AE45" s="3988"/>
      <c r="AF45" s="3988"/>
      <c r="AG45" s="3988"/>
      <c r="AH45" s="3988"/>
      <c r="AI45" s="3988"/>
      <c r="AJ45" s="3988"/>
      <c r="AK45" s="3988"/>
      <c r="AL45" s="3988"/>
      <c r="AM45" s="3988"/>
      <c r="AN45" s="3988"/>
      <c r="AO45" s="3988"/>
      <c r="AP45" s="3988"/>
      <c r="AQ45" s="3988"/>
      <c r="AR45" s="3988"/>
      <c r="AS45" s="3988"/>
      <c r="AT45" s="3988"/>
      <c r="AU45" s="3988"/>
      <c r="AV45" s="3988"/>
      <c r="AW45" s="3988"/>
      <c r="AX45" s="3988"/>
      <c r="AY45" s="3988"/>
      <c r="AZ45" s="3988"/>
      <c r="BA45" s="3988"/>
      <c r="BB45" s="3988"/>
      <c r="BC45" s="3988"/>
      <c r="BD45" s="3988"/>
      <c r="BE45" s="3992"/>
      <c r="BF45" s="3992"/>
      <c r="BG45" s="3992"/>
      <c r="BH45" s="3992"/>
      <c r="BI45" s="4040"/>
      <c r="BJ45" s="2244"/>
      <c r="BK45" s="3339"/>
      <c r="BL45" s="3995"/>
      <c r="BM45" s="3997"/>
      <c r="BN45" s="3172"/>
      <c r="BO45" s="3172"/>
      <c r="BP45" s="2584"/>
    </row>
    <row r="46" spans="1:68" s="366" customFormat="1" ht="42.75" customHeight="1" x14ac:dyDescent="0.2">
      <c r="A46" s="2118"/>
      <c r="C46" s="2091"/>
      <c r="F46" s="2091"/>
      <c r="G46" s="2774"/>
      <c r="H46" s="3019"/>
      <c r="I46" s="2831"/>
      <c r="J46" s="3083"/>
      <c r="K46" s="2984"/>
      <c r="L46" s="4026"/>
      <c r="M46" s="2618"/>
      <c r="N46" s="2626"/>
      <c r="O46" s="2821"/>
      <c r="P46" s="4019"/>
      <c r="Q46" s="3998"/>
      <c r="R46" s="2742"/>
      <c r="S46" s="3346"/>
      <c r="T46" s="3071"/>
      <c r="U46" s="4054"/>
      <c r="V46" s="4056"/>
      <c r="W46" s="4056"/>
      <c r="X46" s="3624"/>
      <c r="Y46" s="4063"/>
      <c r="Z46" s="4023"/>
      <c r="AA46" s="3988"/>
      <c r="AB46" s="3988"/>
      <c r="AC46" s="3988"/>
      <c r="AD46" s="3988"/>
      <c r="AE46" s="3988"/>
      <c r="AF46" s="3988"/>
      <c r="AG46" s="3988"/>
      <c r="AH46" s="3988"/>
      <c r="AI46" s="3988"/>
      <c r="AJ46" s="3988"/>
      <c r="AK46" s="3988"/>
      <c r="AL46" s="3988"/>
      <c r="AM46" s="3988"/>
      <c r="AN46" s="3988"/>
      <c r="AO46" s="3988"/>
      <c r="AP46" s="3988"/>
      <c r="AQ46" s="3988"/>
      <c r="AR46" s="3988"/>
      <c r="AS46" s="3988"/>
      <c r="AT46" s="3988"/>
      <c r="AU46" s="3988"/>
      <c r="AV46" s="3988"/>
      <c r="AW46" s="3988"/>
      <c r="AX46" s="3988"/>
      <c r="AY46" s="3988"/>
      <c r="AZ46" s="3988"/>
      <c r="BA46" s="3988"/>
      <c r="BB46" s="3988"/>
      <c r="BC46" s="3988"/>
      <c r="BD46" s="3988"/>
      <c r="BE46" s="3992"/>
      <c r="BF46" s="3992"/>
      <c r="BG46" s="3992"/>
      <c r="BH46" s="3992"/>
      <c r="BI46" s="4040"/>
      <c r="BJ46" s="2244"/>
      <c r="BK46" s="3339"/>
      <c r="BL46" s="3995"/>
      <c r="BM46" s="3997"/>
      <c r="BN46" s="3172"/>
      <c r="BO46" s="3172"/>
      <c r="BP46" s="2584"/>
    </row>
    <row r="47" spans="1:68" s="366" customFormat="1" ht="53.25" customHeight="1" x14ac:dyDescent="0.2">
      <c r="A47" s="2118"/>
      <c r="C47" s="2091"/>
      <c r="F47" s="2091"/>
      <c r="G47" s="2774"/>
      <c r="H47" s="3019"/>
      <c r="I47" s="2831"/>
      <c r="J47" s="3083"/>
      <c r="K47" s="2984"/>
      <c r="L47" s="4026"/>
      <c r="M47" s="2618"/>
      <c r="N47" s="2626"/>
      <c r="O47" s="2821"/>
      <c r="P47" s="4020"/>
      <c r="Q47" s="3998"/>
      <c r="R47" s="2742"/>
      <c r="S47" s="3346"/>
      <c r="T47" s="2788" t="s">
        <v>1914</v>
      </c>
      <c r="U47" s="2347">
        <v>12426628.52</v>
      </c>
      <c r="V47" s="2368">
        <v>0</v>
      </c>
      <c r="W47" s="2368">
        <v>0</v>
      </c>
      <c r="X47" s="2238">
        <v>21</v>
      </c>
      <c r="Y47" s="2230" t="s">
        <v>1904</v>
      </c>
      <c r="Z47" s="4023"/>
      <c r="AA47" s="3988"/>
      <c r="AB47" s="3988"/>
      <c r="AC47" s="3988"/>
      <c r="AD47" s="3988"/>
      <c r="AE47" s="3988"/>
      <c r="AF47" s="3988"/>
      <c r="AG47" s="3988"/>
      <c r="AH47" s="3988"/>
      <c r="AI47" s="3988"/>
      <c r="AJ47" s="3988"/>
      <c r="AK47" s="3988"/>
      <c r="AL47" s="3988"/>
      <c r="AM47" s="3988"/>
      <c r="AN47" s="3988"/>
      <c r="AO47" s="3988"/>
      <c r="AP47" s="3988"/>
      <c r="AQ47" s="3988"/>
      <c r="AR47" s="3988"/>
      <c r="AS47" s="3988"/>
      <c r="AT47" s="3988"/>
      <c r="AU47" s="3988"/>
      <c r="AV47" s="3988"/>
      <c r="AW47" s="3988"/>
      <c r="AX47" s="3988"/>
      <c r="AY47" s="3988"/>
      <c r="AZ47" s="3988"/>
      <c r="BA47" s="3988"/>
      <c r="BB47" s="3988"/>
      <c r="BC47" s="3988"/>
      <c r="BD47" s="3988"/>
      <c r="BE47" s="3992"/>
      <c r="BF47" s="3992"/>
      <c r="BG47" s="3992"/>
      <c r="BH47" s="3992"/>
      <c r="BI47" s="4040"/>
      <c r="BJ47" s="2244" t="s">
        <v>1833</v>
      </c>
      <c r="BK47" s="3339"/>
      <c r="BL47" s="3995"/>
      <c r="BM47" s="3997"/>
      <c r="BN47" s="3172"/>
      <c r="BO47" s="3172"/>
      <c r="BP47" s="2584"/>
    </row>
    <row r="48" spans="1:68" s="366" customFormat="1" ht="39.75" customHeight="1" x14ac:dyDescent="0.2">
      <c r="A48" s="2118"/>
      <c r="C48" s="2091"/>
      <c r="F48" s="2091"/>
      <c r="G48" s="2775"/>
      <c r="H48" s="3168"/>
      <c r="I48" s="2787"/>
      <c r="J48" s="3611"/>
      <c r="K48" s="2984"/>
      <c r="L48" s="4027"/>
      <c r="M48" s="2618"/>
      <c r="N48" s="2626"/>
      <c r="O48" s="2821"/>
      <c r="P48" s="4020"/>
      <c r="Q48" s="3998"/>
      <c r="R48" s="2742"/>
      <c r="S48" s="3346"/>
      <c r="T48" s="2787"/>
      <c r="U48" s="2347">
        <v>6640000</v>
      </c>
      <c r="V48" s="2368">
        <v>6640000</v>
      </c>
      <c r="W48" s="2368">
        <v>6640000</v>
      </c>
      <c r="X48" s="2238">
        <v>20</v>
      </c>
      <c r="Y48" s="2230" t="s">
        <v>397</v>
      </c>
      <c r="Z48" s="4023"/>
      <c r="AA48" s="3988"/>
      <c r="AB48" s="3988"/>
      <c r="AC48" s="3988"/>
      <c r="AD48" s="3988"/>
      <c r="AE48" s="3988"/>
      <c r="AF48" s="3988"/>
      <c r="AG48" s="3988"/>
      <c r="AH48" s="3988"/>
      <c r="AI48" s="3988"/>
      <c r="AJ48" s="3988"/>
      <c r="AK48" s="3988"/>
      <c r="AL48" s="3988"/>
      <c r="AM48" s="3988"/>
      <c r="AN48" s="3988"/>
      <c r="AO48" s="3988"/>
      <c r="AP48" s="3988"/>
      <c r="AQ48" s="3988"/>
      <c r="AR48" s="3988"/>
      <c r="AS48" s="3988"/>
      <c r="AT48" s="3988"/>
      <c r="AU48" s="3988"/>
      <c r="AV48" s="3988"/>
      <c r="AW48" s="3988"/>
      <c r="AX48" s="3988"/>
      <c r="AY48" s="3988"/>
      <c r="AZ48" s="3988"/>
      <c r="BA48" s="3988"/>
      <c r="BB48" s="3988"/>
      <c r="BC48" s="3988"/>
      <c r="BD48" s="3988"/>
      <c r="BE48" s="3992"/>
      <c r="BF48" s="3992"/>
      <c r="BG48" s="3992"/>
      <c r="BH48" s="3992"/>
      <c r="BI48" s="4040"/>
      <c r="BJ48" s="2244" t="s">
        <v>411</v>
      </c>
      <c r="BK48" s="3339"/>
      <c r="BL48" s="3995"/>
      <c r="BM48" s="3997"/>
      <c r="BN48" s="3172"/>
      <c r="BO48" s="3172"/>
      <c r="BP48" s="2584"/>
    </row>
    <row r="49" spans="1:68" s="366" customFormat="1" ht="39.75" customHeight="1" x14ac:dyDescent="0.2">
      <c r="A49" s="2118"/>
      <c r="C49" s="2091"/>
      <c r="F49" s="2091"/>
      <c r="G49" s="2773">
        <v>2201026</v>
      </c>
      <c r="H49" s="2626" t="s">
        <v>1915</v>
      </c>
      <c r="I49" s="2698" t="s">
        <v>1916</v>
      </c>
      <c r="J49" s="2821" t="s">
        <v>1917</v>
      </c>
      <c r="K49" s="2984">
        <v>5</v>
      </c>
      <c r="L49" s="4025">
        <v>5</v>
      </c>
      <c r="M49" s="2618"/>
      <c r="N49" s="2626"/>
      <c r="O49" s="2821"/>
      <c r="P49" s="4020">
        <f>SUM(U49:U53)/Q39</f>
        <v>0.12537413359743951</v>
      </c>
      <c r="Q49" s="3998"/>
      <c r="R49" s="2742"/>
      <c r="S49" s="3346"/>
      <c r="T49" s="2788" t="s">
        <v>1918</v>
      </c>
      <c r="U49" s="2343">
        <f>63201500.09+5243865+2176687</f>
        <v>70622052.090000004</v>
      </c>
      <c r="V49" s="2369">
        <f>63201500+5243865+2176687</f>
        <v>70622052</v>
      </c>
      <c r="W49" s="2369">
        <f>63201500+5243865+2176687</f>
        <v>70622052</v>
      </c>
      <c r="X49" s="2238">
        <v>88</v>
      </c>
      <c r="Y49" s="2230" t="s">
        <v>1826</v>
      </c>
      <c r="Z49" s="4023"/>
      <c r="AA49" s="3988"/>
      <c r="AB49" s="3988"/>
      <c r="AC49" s="3988"/>
      <c r="AD49" s="3988"/>
      <c r="AE49" s="3988"/>
      <c r="AF49" s="3988"/>
      <c r="AG49" s="3988"/>
      <c r="AH49" s="3988"/>
      <c r="AI49" s="3988"/>
      <c r="AJ49" s="3988"/>
      <c r="AK49" s="3988"/>
      <c r="AL49" s="3988"/>
      <c r="AM49" s="3988"/>
      <c r="AN49" s="3988"/>
      <c r="AO49" s="3988"/>
      <c r="AP49" s="3988"/>
      <c r="AQ49" s="3988"/>
      <c r="AR49" s="3988"/>
      <c r="AS49" s="3988"/>
      <c r="AT49" s="3988"/>
      <c r="AU49" s="3988"/>
      <c r="AV49" s="3988"/>
      <c r="AW49" s="3988"/>
      <c r="AX49" s="3988"/>
      <c r="AY49" s="3988"/>
      <c r="AZ49" s="3988"/>
      <c r="BA49" s="3988"/>
      <c r="BB49" s="3988"/>
      <c r="BC49" s="3988"/>
      <c r="BD49" s="3988"/>
      <c r="BE49" s="3992"/>
      <c r="BF49" s="3992"/>
      <c r="BG49" s="3992"/>
      <c r="BH49" s="3992"/>
      <c r="BI49" s="4040"/>
      <c r="BJ49" s="2348"/>
      <c r="BK49" s="3339"/>
      <c r="BL49" s="3995"/>
      <c r="BM49" s="3997"/>
      <c r="BN49" s="3172"/>
      <c r="BO49" s="3172"/>
      <c r="BP49" s="2584"/>
    </row>
    <row r="50" spans="1:68" s="366" customFormat="1" ht="45.75" customHeight="1" x14ac:dyDescent="0.2">
      <c r="A50" s="2118"/>
      <c r="C50" s="2091"/>
      <c r="F50" s="2091"/>
      <c r="G50" s="2774"/>
      <c r="H50" s="2626"/>
      <c r="I50" s="2698"/>
      <c r="J50" s="2821"/>
      <c r="K50" s="2984"/>
      <c r="L50" s="4026"/>
      <c r="M50" s="2618"/>
      <c r="N50" s="2626"/>
      <c r="O50" s="2821"/>
      <c r="P50" s="4020"/>
      <c r="Q50" s="3998"/>
      <c r="R50" s="2742"/>
      <c r="S50" s="3346"/>
      <c r="T50" s="2831"/>
      <c r="U50" s="2343">
        <v>10728918.960000001</v>
      </c>
      <c r="V50" s="2367">
        <v>9316891</v>
      </c>
      <c r="W50" s="2367">
        <v>9316891</v>
      </c>
      <c r="X50" s="2238">
        <v>21</v>
      </c>
      <c r="Y50" s="2230" t="s">
        <v>1904</v>
      </c>
      <c r="Z50" s="4023"/>
      <c r="AA50" s="3988"/>
      <c r="AB50" s="3988"/>
      <c r="AC50" s="3988"/>
      <c r="AD50" s="3988"/>
      <c r="AE50" s="3988"/>
      <c r="AF50" s="3988"/>
      <c r="AG50" s="3988"/>
      <c r="AH50" s="3988"/>
      <c r="AI50" s="3988"/>
      <c r="AJ50" s="3988"/>
      <c r="AK50" s="3988"/>
      <c r="AL50" s="3988"/>
      <c r="AM50" s="3988"/>
      <c r="AN50" s="3988"/>
      <c r="AO50" s="3988"/>
      <c r="AP50" s="3988"/>
      <c r="AQ50" s="3988"/>
      <c r="AR50" s="3988"/>
      <c r="AS50" s="3988"/>
      <c r="AT50" s="3988"/>
      <c r="AU50" s="3988"/>
      <c r="AV50" s="3988"/>
      <c r="AW50" s="3988"/>
      <c r="AX50" s="3988"/>
      <c r="AY50" s="3988"/>
      <c r="AZ50" s="3988"/>
      <c r="BA50" s="3988"/>
      <c r="BB50" s="3988"/>
      <c r="BC50" s="3988"/>
      <c r="BD50" s="3988"/>
      <c r="BE50" s="3992"/>
      <c r="BF50" s="3992"/>
      <c r="BG50" s="3992"/>
      <c r="BH50" s="3992"/>
      <c r="BI50" s="4040"/>
      <c r="BJ50" s="2348"/>
      <c r="BK50" s="3339"/>
      <c r="BL50" s="3995"/>
      <c r="BM50" s="3997"/>
      <c r="BN50" s="3172"/>
      <c r="BO50" s="3172"/>
      <c r="BP50" s="2584"/>
    </row>
    <row r="51" spans="1:68" s="366" customFormat="1" ht="32.25" customHeight="1" x14ac:dyDescent="0.2">
      <c r="A51" s="2118"/>
      <c r="C51" s="2091"/>
      <c r="F51" s="2091"/>
      <c r="G51" s="2774"/>
      <c r="H51" s="2626"/>
      <c r="I51" s="2698"/>
      <c r="J51" s="2821"/>
      <c r="K51" s="2984"/>
      <c r="L51" s="4026"/>
      <c r="M51" s="2618"/>
      <c r="N51" s="2626"/>
      <c r="O51" s="2821"/>
      <c r="P51" s="4020"/>
      <c r="Q51" s="3998"/>
      <c r="R51" s="2742"/>
      <c r="S51" s="3346"/>
      <c r="T51" s="2831"/>
      <c r="U51" s="2343">
        <f>0+756135+5333335</f>
        <v>6089470</v>
      </c>
      <c r="V51" s="2370">
        <v>5256135</v>
      </c>
      <c r="W51" s="2370">
        <v>5256135</v>
      </c>
      <c r="X51" s="2238">
        <v>20</v>
      </c>
      <c r="Y51" s="2230" t="s">
        <v>397</v>
      </c>
      <c r="Z51" s="4023"/>
      <c r="AA51" s="3988"/>
      <c r="AB51" s="3988"/>
      <c r="AC51" s="3988"/>
      <c r="AD51" s="3988"/>
      <c r="AE51" s="3988"/>
      <c r="AF51" s="3988"/>
      <c r="AG51" s="3988"/>
      <c r="AH51" s="3988"/>
      <c r="AI51" s="3988"/>
      <c r="AJ51" s="3988"/>
      <c r="AK51" s="3988"/>
      <c r="AL51" s="3988"/>
      <c r="AM51" s="3988"/>
      <c r="AN51" s="3988"/>
      <c r="AO51" s="3988"/>
      <c r="AP51" s="3988"/>
      <c r="AQ51" s="3988"/>
      <c r="AR51" s="3988"/>
      <c r="AS51" s="3988"/>
      <c r="AT51" s="3988"/>
      <c r="AU51" s="3988"/>
      <c r="AV51" s="3988"/>
      <c r="AW51" s="3988"/>
      <c r="AX51" s="3988"/>
      <c r="AY51" s="3988"/>
      <c r="AZ51" s="3988"/>
      <c r="BA51" s="3988"/>
      <c r="BB51" s="3988"/>
      <c r="BC51" s="3988"/>
      <c r="BD51" s="3988"/>
      <c r="BE51" s="3992"/>
      <c r="BF51" s="3992"/>
      <c r="BG51" s="3992"/>
      <c r="BH51" s="3992"/>
      <c r="BI51" s="4040"/>
      <c r="BJ51" s="2348"/>
      <c r="BK51" s="3339"/>
      <c r="BL51" s="3995"/>
      <c r="BM51" s="3997"/>
      <c r="BN51" s="3172"/>
      <c r="BO51" s="3172"/>
      <c r="BP51" s="2584"/>
    </row>
    <row r="52" spans="1:68" s="366" customFormat="1" ht="50.25" customHeight="1" x14ac:dyDescent="0.2">
      <c r="A52" s="2118"/>
      <c r="C52" s="2091"/>
      <c r="F52" s="2091"/>
      <c r="G52" s="2774"/>
      <c r="H52" s="2626"/>
      <c r="I52" s="2698"/>
      <c r="J52" s="2821"/>
      <c r="K52" s="2984"/>
      <c r="L52" s="4026"/>
      <c r="M52" s="2618"/>
      <c r="N52" s="2626"/>
      <c r="O52" s="2821"/>
      <c r="P52" s="4020"/>
      <c r="Q52" s="3998"/>
      <c r="R52" s="2742"/>
      <c r="S52" s="3346"/>
      <c r="T52" s="2831"/>
      <c r="U52" s="2343">
        <v>174455946.69999999</v>
      </c>
      <c r="V52" s="2369">
        <v>174455946</v>
      </c>
      <c r="W52" s="2369">
        <v>174455946</v>
      </c>
      <c r="X52" s="2238">
        <v>91</v>
      </c>
      <c r="Y52" s="2230" t="s">
        <v>1919</v>
      </c>
      <c r="Z52" s="4023"/>
      <c r="AA52" s="3988"/>
      <c r="AB52" s="3988"/>
      <c r="AC52" s="3988"/>
      <c r="AD52" s="3988"/>
      <c r="AE52" s="3988"/>
      <c r="AF52" s="3988"/>
      <c r="AG52" s="3988"/>
      <c r="AH52" s="3988"/>
      <c r="AI52" s="3988"/>
      <c r="AJ52" s="3988"/>
      <c r="AK52" s="3988"/>
      <c r="AL52" s="3988"/>
      <c r="AM52" s="3988"/>
      <c r="AN52" s="3988"/>
      <c r="AO52" s="3988"/>
      <c r="AP52" s="3988"/>
      <c r="AQ52" s="3988"/>
      <c r="AR52" s="3988"/>
      <c r="AS52" s="3988"/>
      <c r="AT52" s="3988"/>
      <c r="AU52" s="3988"/>
      <c r="AV52" s="3988"/>
      <c r="AW52" s="3988"/>
      <c r="AX52" s="3988"/>
      <c r="AY52" s="3988"/>
      <c r="AZ52" s="3988"/>
      <c r="BA52" s="3988"/>
      <c r="BB52" s="3988"/>
      <c r="BC52" s="3988"/>
      <c r="BD52" s="3988"/>
      <c r="BE52" s="3992"/>
      <c r="BF52" s="3992"/>
      <c r="BG52" s="3992"/>
      <c r="BH52" s="3992"/>
      <c r="BI52" s="4040"/>
      <c r="BJ52" s="2348"/>
      <c r="BK52" s="3339"/>
      <c r="BL52" s="3995"/>
      <c r="BM52" s="3997"/>
      <c r="BN52" s="3172"/>
      <c r="BO52" s="3172"/>
      <c r="BP52" s="2584"/>
    </row>
    <row r="53" spans="1:68" s="366" customFormat="1" ht="47.25" customHeight="1" x14ac:dyDescent="0.2">
      <c r="A53" s="2118"/>
      <c r="C53" s="2091"/>
      <c r="F53" s="2091"/>
      <c r="G53" s="2775"/>
      <c r="H53" s="3167"/>
      <c r="I53" s="2788"/>
      <c r="J53" s="3610"/>
      <c r="K53" s="2984"/>
      <c r="L53" s="4027"/>
      <c r="M53" s="3276"/>
      <c r="N53" s="3167"/>
      <c r="O53" s="3610"/>
      <c r="P53" s="4064"/>
      <c r="Q53" s="3998"/>
      <c r="R53" s="4065"/>
      <c r="S53" s="4066"/>
      <c r="T53" s="2831"/>
      <c r="U53" s="2343">
        <v>17345593</v>
      </c>
      <c r="V53" s="2371">
        <v>17338504</v>
      </c>
      <c r="W53" s="2371">
        <v>17338504</v>
      </c>
      <c r="X53" s="2261">
        <v>25</v>
      </c>
      <c r="Y53" s="2221" t="s">
        <v>1843</v>
      </c>
      <c r="Z53" s="4051"/>
      <c r="AA53" s="4052"/>
      <c r="AB53" s="4052"/>
      <c r="AC53" s="4052"/>
      <c r="AD53" s="4052"/>
      <c r="AE53" s="4052"/>
      <c r="AF53" s="4052"/>
      <c r="AG53" s="4052"/>
      <c r="AH53" s="4052"/>
      <c r="AI53" s="4052"/>
      <c r="AJ53" s="4052"/>
      <c r="AK53" s="4052"/>
      <c r="AL53" s="4052"/>
      <c r="AM53" s="4052"/>
      <c r="AN53" s="4052"/>
      <c r="AO53" s="4052"/>
      <c r="AP53" s="4052"/>
      <c r="AQ53" s="4052"/>
      <c r="AR53" s="4052"/>
      <c r="AS53" s="4052"/>
      <c r="AT53" s="4052"/>
      <c r="AU53" s="4052"/>
      <c r="AV53" s="4052"/>
      <c r="AW53" s="4052"/>
      <c r="AX53" s="4052"/>
      <c r="AY53" s="4052"/>
      <c r="AZ53" s="4052"/>
      <c r="BA53" s="4052"/>
      <c r="BB53" s="4052"/>
      <c r="BC53" s="4052"/>
      <c r="BD53" s="4052"/>
      <c r="BE53" s="4059"/>
      <c r="BF53" s="4059"/>
      <c r="BG53" s="4059"/>
      <c r="BH53" s="4059"/>
      <c r="BI53" s="4060"/>
      <c r="BJ53" s="2372"/>
      <c r="BK53" s="3339"/>
      <c r="BL53" s="3995"/>
      <c r="BM53" s="4061"/>
      <c r="BN53" s="4058"/>
      <c r="BO53" s="4058"/>
      <c r="BP53" s="2720"/>
    </row>
    <row r="54" spans="1:68" s="366" customFormat="1" ht="83.25" customHeight="1" x14ac:dyDescent="0.2">
      <c r="A54" s="2118"/>
      <c r="C54" s="2091"/>
      <c r="F54" s="2091"/>
      <c r="G54" s="2773">
        <v>2201006</v>
      </c>
      <c r="H54" s="3188" t="s">
        <v>1890</v>
      </c>
      <c r="I54" s="2698" t="s">
        <v>1891</v>
      </c>
      <c r="J54" s="2821" t="s">
        <v>1892</v>
      </c>
      <c r="K54" s="2984">
        <v>54</v>
      </c>
      <c r="L54" s="4025">
        <v>54</v>
      </c>
      <c r="M54" s="2618" t="s">
        <v>1920</v>
      </c>
      <c r="N54" s="2626" t="s">
        <v>1921</v>
      </c>
      <c r="O54" s="2698" t="s">
        <v>1922</v>
      </c>
      <c r="P54" s="4020">
        <f>SUM(U54:U55)/Q54</f>
        <v>1</v>
      </c>
      <c r="Q54" s="4021">
        <f>SUM(U54:U55)</f>
        <v>20000000</v>
      </c>
      <c r="R54" s="2788" t="s">
        <v>1923</v>
      </c>
      <c r="S54" s="2788" t="s">
        <v>1924</v>
      </c>
      <c r="T54" s="2230" t="s">
        <v>1925</v>
      </c>
      <c r="U54" s="2330">
        <f>19200000</f>
        <v>19200000</v>
      </c>
      <c r="V54" s="2344">
        <f>U54</f>
        <v>19200000</v>
      </c>
      <c r="W54" s="2344">
        <f>V54</f>
        <v>19200000</v>
      </c>
      <c r="X54" s="2213">
        <v>20</v>
      </c>
      <c r="Y54" s="2230" t="s">
        <v>397</v>
      </c>
      <c r="Z54" s="4068">
        <v>20196</v>
      </c>
      <c r="AA54" s="4067">
        <v>19390.222222222223</v>
      </c>
      <c r="AB54" s="4067">
        <v>20595</v>
      </c>
      <c r="AC54" s="4067">
        <v>19836</v>
      </c>
      <c r="AD54" s="4067">
        <v>29775</v>
      </c>
      <c r="AE54" s="4067">
        <v>28890</v>
      </c>
      <c r="AF54" s="4067">
        <v>9453</v>
      </c>
      <c r="AG54" s="4067">
        <v>9117.4444444444453</v>
      </c>
      <c r="AH54" s="4067">
        <v>1396</v>
      </c>
      <c r="AI54" s="4067">
        <v>1123.3333333333333</v>
      </c>
      <c r="AJ54" s="4067">
        <v>167</v>
      </c>
      <c r="AK54" s="4067">
        <v>95</v>
      </c>
      <c r="AL54" s="4067">
        <v>274</v>
      </c>
      <c r="AM54" s="4067">
        <v>290.22222222222223</v>
      </c>
      <c r="AN54" s="4067">
        <v>329</v>
      </c>
      <c r="AO54" s="4067">
        <v>332.22222222222223</v>
      </c>
      <c r="AP54" s="4067">
        <v>0</v>
      </c>
      <c r="AQ54" s="4067">
        <v>0</v>
      </c>
      <c r="AR54" s="4067">
        <v>0</v>
      </c>
      <c r="AS54" s="4067">
        <v>0</v>
      </c>
      <c r="AT54" s="4067">
        <v>0</v>
      </c>
      <c r="AU54" s="4067">
        <v>0</v>
      </c>
      <c r="AV54" s="4067">
        <v>0</v>
      </c>
      <c r="AW54" s="4067">
        <v>0</v>
      </c>
      <c r="AX54" s="4067">
        <v>3097</v>
      </c>
      <c r="AY54" s="4067">
        <v>3256.4444444444443</v>
      </c>
      <c r="AZ54" s="4067">
        <v>2611</v>
      </c>
      <c r="BA54" s="4067">
        <v>2467.8888888888887</v>
      </c>
      <c r="BB54" s="4067">
        <v>50</v>
      </c>
      <c r="BC54" s="4067">
        <v>112.88888888888889</v>
      </c>
      <c r="BD54" s="4067">
        <f>+Z54+AB54</f>
        <v>40791</v>
      </c>
      <c r="BE54" s="4070">
        <f>SUM(AA54+AC54)</f>
        <v>39226.222222222219</v>
      </c>
      <c r="BF54" s="4070">
        <v>1</v>
      </c>
      <c r="BG54" s="4070">
        <f>SUM(V54:V55)</f>
        <v>19200000</v>
      </c>
      <c r="BH54" s="4070">
        <f>SUM(W54:W55)</f>
        <v>19200000</v>
      </c>
      <c r="BI54" s="4082">
        <f>+BH54/BG54</f>
        <v>1</v>
      </c>
      <c r="BJ54" s="4070" t="s">
        <v>85</v>
      </c>
      <c r="BK54" s="4083" t="s">
        <v>1926</v>
      </c>
      <c r="BL54" s="3995">
        <v>43832</v>
      </c>
      <c r="BM54" s="3309">
        <v>43832</v>
      </c>
      <c r="BN54" s="4077">
        <v>44195</v>
      </c>
      <c r="BO54" s="4077">
        <v>44195</v>
      </c>
      <c r="BP54" s="4079" t="s">
        <v>1823</v>
      </c>
    </row>
    <row r="55" spans="1:68" s="366" customFormat="1" ht="118.5" customHeight="1" x14ac:dyDescent="0.2">
      <c r="A55" s="2118"/>
      <c r="C55" s="2091"/>
      <c r="F55" s="2091"/>
      <c r="G55" s="2775"/>
      <c r="H55" s="3408"/>
      <c r="I55" s="2698"/>
      <c r="J55" s="2821"/>
      <c r="K55" s="2984"/>
      <c r="L55" s="4027"/>
      <c r="M55" s="2618"/>
      <c r="N55" s="3167"/>
      <c r="O55" s="2698"/>
      <c r="P55" s="4020"/>
      <c r="Q55" s="4021"/>
      <c r="R55" s="2787"/>
      <c r="S55" s="2787"/>
      <c r="T55" s="2230" t="s">
        <v>1900</v>
      </c>
      <c r="U55" s="2330">
        <v>800000</v>
      </c>
      <c r="V55" s="2330">
        <v>0</v>
      </c>
      <c r="W55" s="2330">
        <v>0</v>
      </c>
      <c r="X55" s="2264">
        <v>20</v>
      </c>
      <c r="Y55" s="2230" t="s">
        <v>1927</v>
      </c>
      <c r="Z55" s="4069"/>
      <c r="AA55" s="4052"/>
      <c r="AB55" s="4052"/>
      <c r="AC55" s="4052"/>
      <c r="AD55" s="4052"/>
      <c r="AE55" s="4052"/>
      <c r="AF55" s="4052"/>
      <c r="AG55" s="4052"/>
      <c r="AH55" s="4052"/>
      <c r="AI55" s="4052"/>
      <c r="AJ55" s="4052"/>
      <c r="AK55" s="4052"/>
      <c r="AL55" s="4052"/>
      <c r="AM55" s="4052"/>
      <c r="AN55" s="4052"/>
      <c r="AO55" s="4052"/>
      <c r="AP55" s="4052"/>
      <c r="AQ55" s="4052"/>
      <c r="AR55" s="4052"/>
      <c r="AS55" s="4052"/>
      <c r="AT55" s="4052"/>
      <c r="AU55" s="4052"/>
      <c r="AV55" s="4052"/>
      <c r="AW55" s="4052"/>
      <c r="AX55" s="4052"/>
      <c r="AY55" s="4052"/>
      <c r="AZ55" s="4052"/>
      <c r="BA55" s="4052"/>
      <c r="BB55" s="4052"/>
      <c r="BC55" s="4052"/>
      <c r="BD55" s="4052"/>
      <c r="BE55" s="4059"/>
      <c r="BF55" s="4059"/>
      <c r="BG55" s="4059"/>
      <c r="BH55" s="4059"/>
      <c r="BI55" s="4060"/>
      <c r="BJ55" s="4059"/>
      <c r="BK55" s="4083"/>
      <c r="BL55" s="3995"/>
      <c r="BM55" s="4084"/>
      <c r="BN55" s="4078"/>
      <c r="BO55" s="4078"/>
      <c r="BP55" s="4080"/>
    </row>
    <row r="56" spans="1:68" s="366" customFormat="1" ht="88.5" customHeight="1" x14ac:dyDescent="0.2">
      <c r="A56" s="2118"/>
      <c r="C56" s="2091"/>
      <c r="F56" s="2091"/>
      <c r="G56" s="2773">
        <v>2201046</v>
      </c>
      <c r="H56" s="2626" t="s">
        <v>1906</v>
      </c>
      <c r="I56" s="2787" t="s">
        <v>1907</v>
      </c>
      <c r="J56" s="3611" t="s">
        <v>1908</v>
      </c>
      <c r="K56" s="2984">
        <v>5</v>
      </c>
      <c r="L56" s="4025">
        <v>5</v>
      </c>
      <c r="M56" s="4081" t="s">
        <v>1928</v>
      </c>
      <c r="N56" s="2583" t="s">
        <v>1929</v>
      </c>
      <c r="O56" s="4071" t="s">
        <v>1930</v>
      </c>
      <c r="P56" s="4064">
        <f>SUM(U56:U57)/(Q56+Q68)</f>
        <v>0.571632376866966</v>
      </c>
      <c r="Q56" s="4072">
        <f>+U56+U57</f>
        <v>58500000</v>
      </c>
      <c r="R56" s="4074" t="s">
        <v>1931</v>
      </c>
      <c r="S56" s="4071" t="s">
        <v>1932</v>
      </c>
      <c r="T56" s="2222" t="s">
        <v>1933</v>
      </c>
      <c r="U56" s="2342">
        <f>12513333</f>
        <v>12513333</v>
      </c>
      <c r="V56" s="2344">
        <f>U56</f>
        <v>12513333</v>
      </c>
      <c r="W56" s="2344">
        <v>12513333</v>
      </c>
      <c r="X56" s="2223">
        <v>20</v>
      </c>
      <c r="Y56" s="2270" t="s">
        <v>397</v>
      </c>
      <c r="Z56" s="4067">
        <v>4129</v>
      </c>
      <c r="AA56" s="4067">
        <v>3991</v>
      </c>
      <c r="AB56" s="4067">
        <v>4094</v>
      </c>
      <c r="AC56" s="4067">
        <v>3922</v>
      </c>
      <c r="AD56" s="4067">
        <v>1792</v>
      </c>
      <c r="AE56" s="4067">
        <v>1622</v>
      </c>
      <c r="AF56" s="4067">
        <v>6403</v>
      </c>
      <c r="AG56" s="4067">
        <v>6262</v>
      </c>
      <c r="AH56" s="4067">
        <v>28</v>
      </c>
      <c r="AI56" s="4067">
        <v>29</v>
      </c>
      <c r="AJ56" s="4067">
        <v>0</v>
      </c>
      <c r="AK56" s="4067">
        <v>0</v>
      </c>
      <c r="AL56" s="4067">
        <v>22</v>
      </c>
      <c r="AM56" s="4067">
        <v>22</v>
      </c>
      <c r="AN56" s="4067">
        <v>95</v>
      </c>
      <c r="AO56" s="4067">
        <v>98</v>
      </c>
      <c r="AP56" s="4067">
        <v>0</v>
      </c>
      <c r="AQ56" s="4067">
        <v>0</v>
      </c>
      <c r="AR56" s="4067">
        <v>0</v>
      </c>
      <c r="AS56" s="4067">
        <v>0</v>
      </c>
      <c r="AT56" s="4067">
        <v>0</v>
      </c>
      <c r="AU56" s="4067">
        <v>0</v>
      </c>
      <c r="AV56" s="4067">
        <v>0</v>
      </c>
      <c r="AW56" s="4067">
        <v>0</v>
      </c>
      <c r="AX56" s="4067">
        <v>590</v>
      </c>
      <c r="AY56" s="4067">
        <v>664</v>
      </c>
      <c r="AZ56" s="4067">
        <v>431</v>
      </c>
      <c r="BA56" s="4067">
        <v>427</v>
      </c>
      <c r="BB56" s="4067">
        <v>6</v>
      </c>
      <c r="BC56" s="4067">
        <v>15</v>
      </c>
      <c r="BD56" s="4067">
        <f>+Z56+AB56</f>
        <v>8223</v>
      </c>
      <c r="BE56" s="4070">
        <f>SUM(AA56+AC56)</f>
        <v>7913</v>
      </c>
      <c r="BF56" s="4070">
        <v>2</v>
      </c>
      <c r="BG56" s="4070">
        <f>SUM(V56:V57)</f>
        <v>58500000</v>
      </c>
      <c r="BH56" s="4070">
        <f>SUM(W56:W57)</f>
        <v>58500000</v>
      </c>
      <c r="BI56" s="4082">
        <f>+BH56/BG56</f>
        <v>1</v>
      </c>
      <c r="BJ56" s="2244" t="s">
        <v>411</v>
      </c>
      <c r="BK56" s="3339" t="s">
        <v>1899</v>
      </c>
      <c r="BL56" s="3995">
        <v>43832</v>
      </c>
      <c r="BM56" s="3309">
        <v>43832</v>
      </c>
      <c r="BN56" s="4077">
        <v>44195</v>
      </c>
      <c r="BO56" s="4077">
        <v>44195</v>
      </c>
      <c r="BP56" s="2793" t="s">
        <v>1823</v>
      </c>
    </row>
    <row r="57" spans="1:68" s="366" customFormat="1" ht="83.25" customHeight="1" x14ac:dyDescent="0.2">
      <c r="A57" s="2118"/>
      <c r="C57" s="2091"/>
      <c r="F57" s="2091"/>
      <c r="G57" s="2775"/>
      <c r="H57" s="3167"/>
      <c r="I57" s="2788"/>
      <c r="J57" s="3610"/>
      <c r="K57" s="2984"/>
      <c r="L57" s="4027"/>
      <c r="M57" s="2720"/>
      <c r="N57" s="2720"/>
      <c r="O57" s="4010"/>
      <c r="P57" s="4019"/>
      <c r="Q57" s="4073"/>
      <c r="R57" s="4075"/>
      <c r="S57" s="4076"/>
      <c r="T57" s="2221" t="s">
        <v>1909</v>
      </c>
      <c r="U57" s="2373">
        <v>45986667</v>
      </c>
      <c r="V57" s="2105">
        <v>45986667</v>
      </c>
      <c r="W57" s="2105">
        <v>45986667</v>
      </c>
      <c r="X57" s="2374">
        <v>88</v>
      </c>
      <c r="Y57" s="2232" t="s">
        <v>1826</v>
      </c>
      <c r="Z57" s="4031"/>
      <c r="AA57" s="4031"/>
      <c r="AB57" s="4031"/>
      <c r="AC57" s="4031"/>
      <c r="AD57" s="4031"/>
      <c r="AE57" s="4031"/>
      <c r="AF57" s="4031"/>
      <c r="AG57" s="4031"/>
      <c r="AH57" s="4031"/>
      <c r="AI57" s="4031"/>
      <c r="AJ57" s="4031"/>
      <c r="AK57" s="4031"/>
      <c r="AL57" s="4031"/>
      <c r="AM57" s="4031"/>
      <c r="AN57" s="4031"/>
      <c r="AO57" s="4031"/>
      <c r="AP57" s="4031"/>
      <c r="AQ57" s="4031"/>
      <c r="AR57" s="4031"/>
      <c r="AS57" s="4031"/>
      <c r="AT57" s="4031"/>
      <c r="AU57" s="4031"/>
      <c r="AV57" s="4031"/>
      <c r="AW57" s="4031"/>
      <c r="AX57" s="4031"/>
      <c r="AY57" s="4031"/>
      <c r="AZ57" s="4031"/>
      <c r="BA57" s="4031"/>
      <c r="BB57" s="4031"/>
      <c r="BC57" s="4031"/>
      <c r="BD57" s="4031"/>
      <c r="BE57" s="4016"/>
      <c r="BF57" s="4016"/>
      <c r="BG57" s="4016"/>
      <c r="BH57" s="4016"/>
      <c r="BI57" s="4018"/>
      <c r="BJ57" s="2244" t="s">
        <v>85</v>
      </c>
      <c r="BK57" s="3339"/>
      <c r="BL57" s="3995"/>
      <c r="BM57" s="3309"/>
      <c r="BN57" s="4077"/>
      <c r="BO57" s="4077"/>
      <c r="BP57" s="4085"/>
    </row>
    <row r="58" spans="1:68" s="366" customFormat="1" ht="51" customHeight="1" x14ac:dyDescent="0.2">
      <c r="A58" s="2118"/>
      <c r="C58" s="2091"/>
      <c r="F58" s="2091"/>
      <c r="G58" s="2773">
        <v>2201037</v>
      </c>
      <c r="H58" s="3188" t="s">
        <v>1934</v>
      </c>
      <c r="I58" s="2698" t="s">
        <v>1935</v>
      </c>
      <c r="J58" s="2821" t="s">
        <v>1936</v>
      </c>
      <c r="K58" s="2984">
        <v>54</v>
      </c>
      <c r="L58" s="4025">
        <v>54</v>
      </c>
      <c r="M58" s="2618" t="s">
        <v>1937</v>
      </c>
      <c r="N58" s="2626" t="s">
        <v>1938</v>
      </c>
      <c r="O58" s="2698" t="s">
        <v>1939</v>
      </c>
      <c r="P58" s="4020">
        <f>SUM(U58:U60)/Q58</f>
        <v>1</v>
      </c>
      <c r="Q58" s="4021">
        <f>U58+U59+U60</f>
        <v>40000000</v>
      </c>
      <c r="R58" s="2788" t="s">
        <v>1940</v>
      </c>
      <c r="S58" s="2788" t="s">
        <v>1941</v>
      </c>
      <c r="T58" s="2230" t="s">
        <v>1942</v>
      </c>
      <c r="U58" s="2330">
        <f>15680000</f>
        <v>15680000</v>
      </c>
      <c r="V58" s="2344">
        <f>U58</f>
        <v>15680000</v>
      </c>
      <c r="W58" s="2344">
        <v>15680000</v>
      </c>
      <c r="X58" s="2264">
        <v>20</v>
      </c>
      <c r="Y58" s="2222" t="s">
        <v>397</v>
      </c>
      <c r="Z58" s="4044">
        <v>1450</v>
      </c>
      <c r="AA58" s="3987">
        <v>1326</v>
      </c>
      <c r="AB58" s="3987">
        <v>1439</v>
      </c>
      <c r="AC58" s="3987">
        <v>1383</v>
      </c>
      <c r="AD58" s="3987">
        <v>2889</v>
      </c>
      <c r="AE58" s="3987">
        <v>2709</v>
      </c>
      <c r="AF58" s="3987">
        <v>0</v>
      </c>
      <c r="AG58" s="3987">
        <v>0</v>
      </c>
      <c r="AH58" s="3987">
        <v>0</v>
      </c>
      <c r="AI58" s="3987">
        <v>0</v>
      </c>
      <c r="AJ58" s="3987">
        <v>0</v>
      </c>
      <c r="AK58" s="3987">
        <v>0</v>
      </c>
      <c r="AL58" s="3987">
        <v>11</v>
      </c>
      <c r="AM58" s="3987">
        <v>10</v>
      </c>
      <c r="AN58" s="3987">
        <v>3</v>
      </c>
      <c r="AO58" s="3987">
        <v>3</v>
      </c>
      <c r="AP58" s="3987">
        <v>0</v>
      </c>
      <c r="AQ58" s="3987">
        <v>0</v>
      </c>
      <c r="AR58" s="4086">
        <v>0</v>
      </c>
      <c r="AS58" s="3987">
        <v>0</v>
      </c>
      <c r="AT58" s="3987">
        <v>0</v>
      </c>
      <c r="AU58" s="3987">
        <v>0</v>
      </c>
      <c r="AV58" s="3987">
        <v>0</v>
      </c>
      <c r="AW58" s="3987">
        <v>0</v>
      </c>
      <c r="AX58" s="3987">
        <v>192</v>
      </c>
      <c r="AY58" s="3987">
        <v>166</v>
      </c>
      <c r="AZ58" s="3987">
        <v>27</v>
      </c>
      <c r="BA58" s="3987">
        <v>18</v>
      </c>
      <c r="BB58" s="3987">
        <v>6</v>
      </c>
      <c r="BC58" s="3987">
        <v>41</v>
      </c>
      <c r="BD58" s="3987">
        <f>SUM(Z58+AB58)</f>
        <v>2889</v>
      </c>
      <c r="BE58" s="3991">
        <f>SUM(AA58+AC58)</f>
        <v>2709</v>
      </c>
      <c r="BF58" s="3991">
        <v>2</v>
      </c>
      <c r="BG58" s="3991">
        <f>SUM(V58:V60)</f>
        <v>39999332.869999997</v>
      </c>
      <c r="BH58" s="3991">
        <f>SUM(W58:W60)</f>
        <v>39999332.869999997</v>
      </c>
      <c r="BI58" s="4017">
        <f>+BH58/BG58</f>
        <v>1</v>
      </c>
      <c r="BJ58" s="2244" t="s">
        <v>85</v>
      </c>
      <c r="BK58" s="4083" t="s">
        <v>1943</v>
      </c>
      <c r="BL58" s="3995">
        <v>43832</v>
      </c>
      <c r="BM58" s="4092">
        <v>43832</v>
      </c>
      <c r="BN58" s="4089">
        <v>44195</v>
      </c>
      <c r="BO58" s="4089">
        <v>44195</v>
      </c>
      <c r="BP58" s="2626" t="s">
        <v>1823</v>
      </c>
    </row>
    <row r="59" spans="1:68" s="366" customFormat="1" ht="44.25" customHeight="1" x14ac:dyDescent="0.2">
      <c r="A59" s="2118"/>
      <c r="C59" s="2091"/>
      <c r="F59" s="2091"/>
      <c r="G59" s="2774"/>
      <c r="H59" s="3188"/>
      <c r="I59" s="2698"/>
      <c r="J59" s="2821"/>
      <c r="K59" s="2984"/>
      <c r="L59" s="4026"/>
      <c r="M59" s="2618"/>
      <c r="N59" s="2626"/>
      <c r="O59" s="2698"/>
      <c r="P59" s="4020"/>
      <c r="Q59" s="4021"/>
      <c r="R59" s="2831"/>
      <c r="S59" s="2831"/>
      <c r="T59" s="2698" t="s">
        <v>1944</v>
      </c>
      <c r="U59" s="2330">
        <v>11979500</v>
      </c>
      <c r="V59" s="2373">
        <v>11979499.869999999</v>
      </c>
      <c r="W59" s="2373">
        <v>11979499.869999999</v>
      </c>
      <c r="X59" s="2264">
        <v>20</v>
      </c>
      <c r="Y59" s="2222" t="s">
        <v>397</v>
      </c>
      <c r="Z59" s="4045"/>
      <c r="AA59" s="3988"/>
      <c r="AB59" s="3988"/>
      <c r="AC59" s="3988"/>
      <c r="AD59" s="3988"/>
      <c r="AE59" s="3988"/>
      <c r="AF59" s="3988"/>
      <c r="AG59" s="3988"/>
      <c r="AH59" s="3988"/>
      <c r="AI59" s="3988"/>
      <c r="AJ59" s="3988"/>
      <c r="AK59" s="3988"/>
      <c r="AL59" s="3988"/>
      <c r="AM59" s="3988"/>
      <c r="AN59" s="3988"/>
      <c r="AO59" s="3988"/>
      <c r="AP59" s="3988"/>
      <c r="AQ59" s="3988"/>
      <c r="AR59" s="4087"/>
      <c r="AS59" s="3988"/>
      <c r="AT59" s="3988"/>
      <c r="AU59" s="3988"/>
      <c r="AV59" s="3988"/>
      <c r="AW59" s="3988"/>
      <c r="AX59" s="3988"/>
      <c r="AY59" s="3988"/>
      <c r="AZ59" s="3988"/>
      <c r="BA59" s="3988"/>
      <c r="BB59" s="3988"/>
      <c r="BC59" s="3988"/>
      <c r="BD59" s="3988"/>
      <c r="BE59" s="3992"/>
      <c r="BF59" s="3992"/>
      <c r="BG59" s="3992"/>
      <c r="BH59" s="3992"/>
      <c r="BI59" s="4040"/>
      <c r="BJ59" s="2244" t="s">
        <v>411</v>
      </c>
      <c r="BK59" s="4083"/>
      <c r="BL59" s="3995"/>
      <c r="BM59" s="3309"/>
      <c r="BN59" s="4077"/>
      <c r="BO59" s="4077"/>
      <c r="BP59" s="2626"/>
    </row>
    <row r="60" spans="1:68" s="366" customFormat="1" ht="53.25" customHeight="1" x14ac:dyDescent="0.2">
      <c r="A60" s="2118"/>
      <c r="C60" s="2091"/>
      <c r="F60" s="2091"/>
      <c r="G60" s="2775"/>
      <c r="H60" s="3408"/>
      <c r="I60" s="2698"/>
      <c r="J60" s="2821"/>
      <c r="K60" s="2984"/>
      <c r="L60" s="4027"/>
      <c r="M60" s="2618"/>
      <c r="N60" s="2626"/>
      <c r="O60" s="2698"/>
      <c r="P60" s="4020"/>
      <c r="Q60" s="4021"/>
      <c r="R60" s="2787"/>
      <c r="S60" s="2787"/>
      <c r="T60" s="2698"/>
      <c r="U60" s="2373">
        <v>12340500</v>
      </c>
      <c r="V60" s="2105">
        <v>12339833</v>
      </c>
      <c r="W60" s="2105">
        <v>12339833</v>
      </c>
      <c r="X60" s="2264">
        <v>88</v>
      </c>
      <c r="Y60" s="2230" t="s">
        <v>1945</v>
      </c>
      <c r="Z60" s="4046"/>
      <c r="AA60" s="4031"/>
      <c r="AB60" s="4031"/>
      <c r="AC60" s="4031"/>
      <c r="AD60" s="4031"/>
      <c r="AE60" s="4031"/>
      <c r="AF60" s="4031"/>
      <c r="AG60" s="4031"/>
      <c r="AH60" s="4031"/>
      <c r="AI60" s="4031"/>
      <c r="AJ60" s="4031"/>
      <c r="AK60" s="4031"/>
      <c r="AL60" s="4031"/>
      <c r="AM60" s="4031"/>
      <c r="AN60" s="4031"/>
      <c r="AO60" s="4031"/>
      <c r="AP60" s="4031"/>
      <c r="AQ60" s="4031"/>
      <c r="AR60" s="4088"/>
      <c r="AS60" s="4031"/>
      <c r="AT60" s="4031"/>
      <c r="AU60" s="4031"/>
      <c r="AV60" s="4031"/>
      <c r="AW60" s="4031"/>
      <c r="AX60" s="4031"/>
      <c r="AY60" s="4031"/>
      <c r="AZ60" s="4031"/>
      <c r="BA60" s="4031"/>
      <c r="BB60" s="4031"/>
      <c r="BC60" s="4031"/>
      <c r="BD60" s="4031"/>
      <c r="BE60" s="4016"/>
      <c r="BF60" s="4016"/>
      <c r="BG60" s="4016"/>
      <c r="BH60" s="4016"/>
      <c r="BI60" s="4018"/>
      <c r="BJ60" s="2244"/>
      <c r="BK60" s="4083"/>
      <c r="BL60" s="3995"/>
      <c r="BM60" s="4084"/>
      <c r="BN60" s="4078"/>
      <c r="BO60" s="4078"/>
      <c r="BP60" s="3167"/>
    </row>
    <row r="61" spans="1:68" s="366" customFormat="1" ht="60" customHeight="1" x14ac:dyDescent="0.2">
      <c r="A61" s="2118"/>
      <c r="C61" s="2091"/>
      <c r="F61" s="2091"/>
      <c r="G61" s="2748">
        <v>2201050</v>
      </c>
      <c r="H61" s="2626" t="s">
        <v>1946</v>
      </c>
      <c r="I61" s="2787" t="s">
        <v>1947</v>
      </c>
      <c r="J61" s="2375" t="s">
        <v>1948</v>
      </c>
      <c r="K61" s="2376">
        <v>150</v>
      </c>
      <c r="L61" s="2352">
        <v>54</v>
      </c>
      <c r="M61" s="2617" t="s">
        <v>1949</v>
      </c>
      <c r="N61" s="4090" t="s">
        <v>1950</v>
      </c>
      <c r="O61" s="3613" t="s">
        <v>1951</v>
      </c>
      <c r="P61" s="4019">
        <f>+U61/Q61</f>
        <v>1</v>
      </c>
      <c r="Q61" s="4073">
        <f>+U61</f>
        <v>549272916</v>
      </c>
      <c r="R61" s="2787" t="s">
        <v>1952</v>
      </c>
      <c r="S61" s="2787" t="s">
        <v>1953</v>
      </c>
      <c r="T61" s="2787" t="s">
        <v>1954</v>
      </c>
      <c r="U61" s="4098">
        <v>549272916</v>
      </c>
      <c r="V61" s="4098">
        <v>549272916</v>
      </c>
      <c r="W61" s="4093">
        <v>549272916</v>
      </c>
      <c r="X61" s="4095">
        <v>25</v>
      </c>
      <c r="Y61" s="4096" t="s">
        <v>1955</v>
      </c>
      <c r="Z61" s="4044">
        <v>20196</v>
      </c>
      <c r="AA61" s="3987">
        <v>19390.222222222223</v>
      </c>
      <c r="AB61" s="3987">
        <v>20595</v>
      </c>
      <c r="AC61" s="3987">
        <v>19836</v>
      </c>
      <c r="AD61" s="3987">
        <v>29775</v>
      </c>
      <c r="AE61" s="3987">
        <v>28890</v>
      </c>
      <c r="AF61" s="3987">
        <v>9453</v>
      </c>
      <c r="AG61" s="3987">
        <v>9117.4444444444453</v>
      </c>
      <c r="AH61" s="3987">
        <v>1396</v>
      </c>
      <c r="AI61" s="3987">
        <v>1123.3333333333333</v>
      </c>
      <c r="AJ61" s="3987">
        <v>167</v>
      </c>
      <c r="AK61" s="3987">
        <v>95</v>
      </c>
      <c r="AL61" s="3987">
        <v>274</v>
      </c>
      <c r="AM61" s="3987">
        <v>290.22222222222223</v>
      </c>
      <c r="AN61" s="3987">
        <v>329</v>
      </c>
      <c r="AO61" s="3987">
        <v>332.22222222222223</v>
      </c>
      <c r="AP61" s="3991">
        <v>0</v>
      </c>
      <c r="AQ61" s="3987">
        <v>0</v>
      </c>
      <c r="AR61" s="3987">
        <v>0</v>
      </c>
      <c r="AS61" s="3987">
        <v>0</v>
      </c>
      <c r="AT61" s="3987">
        <v>0</v>
      </c>
      <c r="AU61" s="3987">
        <v>0</v>
      </c>
      <c r="AV61" s="3987">
        <v>0</v>
      </c>
      <c r="AW61" s="3987">
        <v>0</v>
      </c>
      <c r="AX61" s="3987">
        <v>3097</v>
      </c>
      <c r="AY61" s="3987">
        <v>3256.4444444444443</v>
      </c>
      <c r="AZ61" s="3987">
        <v>2611</v>
      </c>
      <c r="BA61" s="3987">
        <v>2467.8888888888887</v>
      </c>
      <c r="BB61" s="3987">
        <v>50</v>
      </c>
      <c r="BC61" s="3987">
        <v>112.88888888888889</v>
      </c>
      <c r="BD61" s="3987">
        <f>+Z61+AB61</f>
        <v>40791</v>
      </c>
      <c r="BE61" s="3991">
        <f>SUM(AA61+AC61)</f>
        <v>39226.222222222219</v>
      </c>
      <c r="BF61" s="3991">
        <v>1</v>
      </c>
      <c r="BG61" s="3991">
        <f>SUM(V61)</f>
        <v>549272916</v>
      </c>
      <c r="BH61" s="3991">
        <f>SUM(W61)</f>
        <v>549272916</v>
      </c>
      <c r="BI61" s="4017">
        <f>+BH61/BG61</f>
        <v>1</v>
      </c>
      <c r="BJ61" s="3991" t="s">
        <v>1833</v>
      </c>
      <c r="BK61" s="3339" t="s">
        <v>1956</v>
      </c>
      <c r="BL61" s="3995">
        <v>43832</v>
      </c>
      <c r="BM61" s="3996">
        <v>43832</v>
      </c>
      <c r="BN61" s="3171">
        <v>44195</v>
      </c>
      <c r="BO61" s="3171">
        <v>44195</v>
      </c>
      <c r="BP61" s="2583" t="s">
        <v>1823</v>
      </c>
    </row>
    <row r="62" spans="1:68" s="366" customFormat="1" ht="78.75" customHeight="1" x14ac:dyDescent="0.2">
      <c r="A62" s="2118"/>
      <c r="C62" s="2091"/>
      <c r="F62" s="2091"/>
      <c r="G62" s="2750"/>
      <c r="H62" s="3167"/>
      <c r="I62" s="2788"/>
      <c r="J62" s="2377" t="s">
        <v>1957</v>
      </c>
      <c r="K62" s="2376">
        <v>10000</v>
      </c>
      <c r="L62" s="2352">
        <v>7650</v>
      </c>
      <c r="M62" s="2618"/>
      <c r="N62" s="4091"/>
      <c r="O62" s="3613"/>
      <c r="P62" s="4064"/>
      <c r="Q62" s="4072"/>
      <c r="R62" s="2698"/>
      <c r="S62" s="2698"/>
      <c r="T62" s="2698"/>
      <c r="U62" s="4094"/>
      <c r="V62" s="4094"/>
      <c r="W62" s="4094"/>
      <c r="X62" s="4095"/>
      <c r="Y62" s="4097"/>
      <c r="Z62" s="4046"/>
      <c r="AA62" s="4031"/>
      <c r="AB62" s="4031"/>
      <c r="AC62" s="4031"/>
      <c r="AD62" s="4031"/>
      <c r="AE62" s="4031"/>
      <c r="AF62" s="4031"/>
      <c r="AG62" s="4031"/>
      <c r="AH62" s="4031"/>
      <c r="AI62" s="4031"/>
      <c r="AJ62" s="4031"/>
      <c r="AK62" s="4031"/>
      <c r="AL62" s="4031"/>
      <c r="AM62" s="4031"/>
      <c r="AN62" s="4031"/>
      <c r="AO62" s="4031"/>
      <c r="AP62" s="4016"/>
      <c r="AQ62" s="4031"/>
      <c r="AR62" s="4031"/>
      <c r="AS62" s="4031"/>
      <c r="AT62" s="4031"/>
      <c r="AU62" s="4031"/>
      <c r="AV62" s="4031"/>
      <c r="AW62" s="4031"/>
      <c r="AX62" s="4031"/>
      <c r="AY62" s="4031"/>
      <c r="AZ62" s="4031"/>
      <c r="BA62" s="4031"/>
      <c r="BB62" s="4031"/>
      <c r="BC62" s="4031"/>
      <c r="BD62" s="4031"/>
      <c r="BE62" s="4016"/>
      <c r="BF62" s="4016"/>
      <c r="BG62" s="4016"/>
      <c r="BH62" s="4016"/>
      <c r="BI62" s="4018"/>
      <c r="BJ62" s="4016"/>
      <c r="BK62" s="3339"/>
      <c r="BL62" s="3995"/>
      <c r="BM62" s="4028"/>
      <c r="BN62" s="3337"/>
      <c r="BO62" s="3337"/>
      <c r="BP62" s="2720"/>
    </row>
    <row r="63" spans="1:68" s="366" customFormat="1" ht="85.5" customHeight="1" x14ac:dyDescent="0.2">
      <c r="A63" s="2118"/>
      <c r="C63" s="2091"/>
      <c r="F63" s="2091"/>
      <c r="G63" s="2748">
        <v>2201034</v>
      </c>
      <c r="H63" s="2988" t="s">
        <v>1958</v>
      </c>
      <c r="I63" s="2724" t="s">
        <v>1959</v>
      </c>
      <c r="J63" s="2351" t="s">
        <v>1960</v>
      </c>
      <c r="K63" s="2378">
        <v>100</v>
      </c>
      <c r="L63" s="2352">
        <v>102</v>
      </c>
      <c r="M63" s="4099" t="s">
        <v>1961</v>
      </c>
      <c r="N63" s="2626" t="s">
        <v>1962</v>
      </c>
      <c r="O63" s="2821" t="s">
        <v>1963</v>
      </c>
      <c r="P63" s="3385"/>
      <c r="Q63" s="4101">
        <f>+U63+U64+U65</f>
        <v>0</v>
      </c>
      <c r="R63" s="3367" t="s">
        <v>1964</v>
      </c>
      <c r="S63" s="2742" t="s">
        <v>1965</v>
      </c>
      <c r="T63" s="4071" t="s">
        <v>1966</v>
      </c>
      <c r="U63" s="2379">
        <v>0</v>
      </c>
      <c r="V63" s="2379">
        <v>0</v>
      </c>
      <c r="W63" s="2379">
        <v>0</v>
      </c>
      <c r="X63" s="2264">
        <v>88</v>
      </c>
      <c r="Y63" s="2225" t="s">
        <v>247</v>
      </c>
      <c r="Z63" s="4100">
        <v>19649</v>
      </c>
      <c r="AA63" s="4100">
        <v>19390.222222222223</v>
      </c>
      <c r="AB63" s="4100">
        <v>20118</v>
      </c>
      <c r="AC63" s="4100">
        <v>19836</v>
      </c>
      <c r="AD63" s="4100">
        <v>28907</v>
      </c>
      <c r="AE63" s="4100">
        <v>28890</v>
      </c>
      <c r="AF63" s="4100">
        <v>9525</v>
      </c>
      <c r="AG63" s="4100">
        <v>9117.4444444444453</v>
      </c>
      <c r="AH63" s="4100">
        <v>1222</v>
      </c>
      <c r="AI63" s="4100">
        <v>1123.3333333333333</v>
      </c>
      <c r="AJ63" s="4100">
        <v>113</v>
      </c>
      <c r="AK63" s="4100">
        <v>95</v>
      </c>
      <c r="AL63" s="4100">
        <v>297</v>
      </c>
      <c r="AM63" s="4100">
        <v>290.22222222222223</v>
      </c>
      <c r="AN63" s="4100">
        <v>345</v>
      </c>
      <c r="AO63" s="4100">
        <v>332.22222222222223</v>
      </c>
      <c r="AP63" s="4100">
        <v>0</v>
      </c>
      <c r="AQ63" s="4100">
        <v>0</v>
      </c>
      <c r="AR63" s="4100">
        <v>0</v>
      </c>
      <c r="AS63" s="4100">
        <v>0</v>
      </c>
      <c r="AT63" s="4100">
        <v>0</v>
      </c>
      <c r="AU63" s="4100">
        <v>0</v>
      </c>
      <c r="AV63" s="4100">
        <v>0</v>
      </c>
      <c r="AW63" s="4100">
        <v>0</v>
      </c>
      <c r="AX63" s="4100">
        <v>3302</v>
      </c>
      <c r="AY63" s="4100">
        <v>3256.4444444444443</v>
      </c>
      <c r="AZ63" s="4100">
        <v>2507</v>
      </c>
      <c r="BA63" s="4100">
        <v>2467.8888888888887</v>
      </c>
      <c r="BB63" s="4100">
        <v>3414</v>
      </c>
      <c r="BC63" s="4100">
        <v>112.88888888888889</v>
      </c>
      <c r="BD63" s="4100">
        <f>SUM(Z63+AB63)</f>
        <v>39767</v>
      </c>
      <c r="BE63" s="4100">
        <f>SUM(AA63+AC63)</f>
        <v>39226.222222222219</v>
      </c>
      <c r="BF63" s="4100">
        <v>0</v>
      </c>
      <c r="BG63" s="4102">
        <v>0</v>
      </c>
      <c r="BH63" s="4102">
        <v>0</v>
      </c>
      <c r="BI63" s="4048"/>
      <c r="BJ63" s="4100" t="s">
        <v>411</v>
      </c>
      <c r="BK63" s="3339" t="s">
        <v>1967</v>
      </c>
      <c r="BL63" s="3171">
        <v>44033</v>
      </c>
      <c r="BM63" s="3171">
        <v>44033</v>
      </c>
      <c r="BN63" s="3171">
        <v>44195</v>
      </c>
      <c r="BO63" s="3171">
        <v>44195</v>
      </c>
      <c r="BP63" s="2583" t="s">
        <v>1823</v>
      </c>
    </row>
    <row r="64" spans="1:68" s="366" customFormat="1" ht="93" customHeight="1" x14ac:dyDescent="0.2">
      <c r="A64" s="2118"/>
      <c r="C64" s="2091"/>
      <c r="F64" s="2091"/>
      <c r="G64" s="2750"/>
      <c r="H64" s="2988"/>
      <c r="I64" s="2724"/>
      <c r="J64" s="2375" t="s">
        <v>1968</v>
      </c>
      <c r="K64" s="2376">
        <v>54</v>
      </c>
      <c r="L64" s="2352">
        <v>54</v>
      </c>
      <c r="M64" s="4099"/>
      <c r="N64" s="2626"/>
      <c r="O64" s="2821"/>
      <c r="P64" s="3386"/>
      <c r="Q64" s="4101"/>
      <c r="R64" s="3367"/>
      <c r="S64" s="2742"/>
      <c r="T64" s="4011"/>
      <c r="U64" s="2379">
        <v>0</v>
      </c>
      <c r="V64" s="2379">
        <v>0</v>
      </c>
      <c r="W64" s="2379">
        <v>0</v>
      </c>
      <c r="X64" s="2264">
        <v>88</v>
      </c>
      <c r="Y64" s="2225" t="s">
        <v>247</v>
      </c>
      <c r="Z64" s="4100"/>
      <c r="AA64" s="4100"/>
      <c r="AB64" s="4100"/>
      <c r="AC64" s="4100"/>
      <c r="AD64" s="4100"/>
      <c r="AE64" s="4100"/>
      <c r="AF64" s="4100"/>
      <c r="AG64" s="4100"/>
      <c r="AH64" s="4100"/>
      <c r="AI64" s="4100"/>
      <c r="AJ64" s="4100"/>
      <c r="AK64" s="4100"/>
      <c r="AL64" s="4100"/>
      <c r="AM64" s="4100"/>
      <c r="AN64" s="4100"/>
      <c r="AO64" s="4100"/>
      <c r="AP64" s="4100"/>
      <c r="AQ64" s="4100"/>
      <c r="AR64" s="4100"/>
      <c r="AS64" s="4100"/>
      <c r="AT64" s="4100"/>
      <c r="AU64" s="4100"/>
      <c r="AV64" s="4100"/>
      <c r="AW64" s="4100"/>
      <c r="AX64" s="4100"/>
      <c r="AY64" s="4100"/>
      <c r="AZ64" s="4100"/>
      <c r="BA64" s="4100"/>
      <c r="BB64" s="4100"/>
      <c r="BC64" s="4100"/>
      <c r="BD64" s="4100"/>
      <c r="BE64" s="4100"/>
      <c r="BF64" s="4100"/>
      <c r="BG64" s="4103"/>
      <c r="BH64" s="4103"/>
      <c r="BI64" s="4049"/>
      <c r="BJ64" s="4100"/>
      <c r="BK64" s="3339"/>
      <c r="BL64" s="3172"/>
      <c r="BM64" s="3172"/>
      <c r="BN64" s="3172"/>
      <c r="BO64" s="3172"/>
      <c r="BP64" s="2584"/>
    </row>
    <row r="65" spans="1:68" s="366" customFormat="1" ht="66" customHeight="1" x14ac:dyDescent="0.2">
      <c r="A65" s="2118"/>
      <c r="C65" s="2091"/>
      <c r="F65" s="2091"/>
      <c r="G65" s="2366">
        <v>2201060</v>
      </c>
      <c r="H65" s="2244" t="s">
        <v>1969</v>
      </c>
      <c r="I65" s="2232" t="s">
        <v>1970</v>
      </c>
      <c r="J65" s="2351" t="s">
        <v>1971</v>
      </c>
      <c r="K65" s="2243">
        <v>50</v>
      </c>
      <c r="L65" s="2352">
        <v>37</v>
      </c>
      <c r="M65" s="3922"/>
      <c r="N65" s="2626"/>
      <c r="O65" s="2821"/>
      <c r="P65" s="3387"/>
      <c r="Q65" s="4101"/>
      <c r="R65" s="3368"/>
      <c r="S65" s="2743"/>
      <c r="T65" s="2351" t="s">
        <v>1972</v>
      </c>
      <c r="U65" s="2354">
        <v>0</v>
      </c>
      <c r="V65" s="2354">
        <v>0</v>
      </c>
      <c r="W65" s="2354">
        <v>0</v>
      </c>
      <c r="X65" s="2264">
        <v>88</v>
      </c>
      <c r="Y65" s="2225" t="s">
        <v>247</v>
      </c>
      <c r="Z65" s="4100"/>
      <c r="AA65" s="4100"/>
      <c r="AB65" s="4100"/>
      <c r="AC65" s="4100"/>
      <c r="AD65" s="4100"/>
      <c r="AE65" s="4100"/>
      <c r="AF65" s="4100"/>
      <c r="AG65" s="4100"/>
      <c r="AH65" s="4100"/>
      <c r="AI65" s="4100"/>
      <c r="AJ65" s="4100"/>
      <c r="AK65" s="4100"/>
      <c r="AL65" s="4100"/>
      <c r="AM65" s="4100"/>
      <c r="AN65" s="4100"/>
      <c r="AO65" s="4100"/>
      <c r="AP65" s="4100"/>
      <c r="AQ65" s="4100"/>
      <c r="AR65" s="4100"/>
      <c r="AS65" s="4100"/>
      <c r="AT65" s="4100"/>
      <c r="AU65" s="4100"/>
      <c r="AV65" s="4100"/>
      <c r="AW65" s="4100"/>
      <c r="AX65" s="4100"/>
      <c r="AY65" s="4100"/>
      <c r="AZ65" s="4100"/>
      <c r="BA65" s="4100"/>
      <c r="BB65" s="4100"/>
      <c r="BC65" s="4100"/>
      <c r="BD65" s="4100"/>
      <c r="BE65" s="4100"/>
      <c r="BF65" s="4100"/>
      <c r="BG65" s="4104"/>
      <c r="BH65" s="4104"/>
      <c r="BI65" s="4050"/>
      <c r="BJ65" s="4100"/>
      <c r="BK65" s="3339"/>
      <c r="BL65" s="3337"/>
      <c r="BM65" s="3337"/>
      <c r="BN65" s="3337"/>
      <c r="BO65" s="3337"/>
      <c r="BP65" s="2720"/>
    </row>
    <row r="66" spans="1:68" s="366" customFormat="1" ht="333.75" customHeight="1" x14ac:dyDescent="0.2">
      <c r="A66" s="2118"/>
      <c r="C66" s="2091"/>
      <c r="D66" s="2142"/>
      <c r="E66" s="2142"/>
      <c r="F66" s="2143"/>
      <c r="G66" s="2244">
        <v>2201015</v>
      </c>
      <c r="H66" s="2223" t="s">
        <v>1973</v>
      </c>
      <c r="I66" s="2225" t="s">
        <v>1974</v>
      </c>
      <c r="J66" s="2251" t="s">
        <v>1975</v>
      </c>
      <c r="K66" s="2243">
        <v>11</v>
      </c>
      <c r="L66" s="2352">
        <v>10</v>
      </c>
      <c r="M66" s="2267" t="s">
        <v>1976</v>
      </c>
      <c r="N66" s="2223" t="s">
        <v>1977</v>
      </c>
      <c r="O66" s="2225" t="s">
        <v>1978</v>
      </c>
      <c r="P66" s="2250">
        <f>+U66/Q66</f>
        <v>1</v>
      </c>
      <c r="Q66" s="2380">
        <f>+U66</f>
        <v>10000000</v>
      </c>
      <c r="R66" s="2232" t="s">
        <v>1979</v>
      </c>
      <c r="S66" s="2232" t="s">
        <v>1980</v>
      </c>
      <c r="T66" s="2224" t="s">
        <v>1974</v>
      </c>
      <c r="U66" s="2381">
        <v>10000000</v>
      </c>
      <c r="V66" s="2381">
        <v>0</v>
      </c>
      <c r="W66" s="2381">
        <v>0</v>
      </c>
      <c r="X66" s="2382">
        <v>88</v>
      </c>
      <c r="Y66" s="2231" t="s">
        <v>247</v>
      </c>
      <c r="Z66" s="2383">
        <v>19649</v>
      </c>
      <c r="AA66" s="2383">
        <v>19390.222222222223</v>
      </c>
      <c r="AB66" s="2383">
        <v>20118</v>
      </c>
      <c r="AC66" s="2383">
        <v>19836</v>
      </c>
      <c r="AD66" s="2383">
        <v>28907</v>
      </c>
      <c r="AE66" s="2383">
        <v>28890</v>
      </c>
      <c r="AF66" s="2383">
        <v>9525</v>
      </c>
      <c r="AG66" s="2383">
        <v>9117.4444444444453</v>
      </c>
      <c r="AH66" s="2383">
        <v>1222</v>
      </c>
      <c r="AI66" s="2383">
        <v>1123.3333333333333</v>
      </c>
      <c r="AJ66" s="2383">
        <v>113</v>
      </c>
      <c r="AK66" s="2383">
        <v>95</v>
      </c>
      <c r="AL66" s="2383">
        <v>297</v>
      </c>
      <c r="AM66" s="2383">
        <v>290.22222222222223</v>
      </c>
      <c r="AN66" s="2383">
        <v>345</v>
      </c>
      <c r="AO66" s="2383">
        <v>332.22222222222223</v>
      </c>
      <c r="AP66" s="2383">
        <v>0</v>
      </c>
      <c r="AQ66" s="2383">
        <v>0</v>
      </c>
      <c r="AR66" s="2383">
        <v>0</v>
      </c>
      <c r="AS66" s="2383">
        <v>0</v>
      </c>
      <c r="AT66" s="2383">
        <v>0</v>
      </c>
      <c r="AU66" s="2383">
        <v>0</v>
      </c>
      <c r="AV66" s="2383">
        <v>0</v>
      </c>
      <c r="AW66" s="2383">
        <v>0</v>
      </c>
      <c r="AX66" s="2383">
        <v>3302</v>
      </c>
      <c r="AY66" s="2383">
        <v>3256.4444444444443</v>
      </c>
      <c r="AZ66" s="2383">
        <v>2507</v>
      </c>
      <c r="BA66" s="2383">
        <v>2467.8888888888887</v>
      </c>
      <c r="BB66" s="2383">
        <v>3414</v>
      </c>
      <c r="BC66" s="2383">
        <v>112.88888888888889</v>
      </c>
      <c r="BD66" s="2383">
        <f>SUM(Z66+AB66)</f>
        <v>39767</v>
      </c>
      <c r="BE66" s="2384">
        <f>SUM(AA66+AC66)</f>
        <v>39226.222222222219</v>
      </c>
      <c r="BF66" s="2243">
        <v>0</v>
      </c>
      <c r="BG66" s="2385">
        <v>0</v>
      </c>
      <c r="BH66" s="2385">
        <v>0</v>
      </c>
      <c r="BI66" s="2386"/>
      <c r="BJ66" s="2243">
        <v>0</v>
      </c>
      <c r="BK66" s="2232" t="s">
        <v>1870</v>
      </c>
      <c r="BL66" s="2168">
        <v>44033</v>
      </c>
      <c r="BM66" s="2387">
        <v>44033</v>
      </c>
      <c r="BN66" s="2388">
        <v>44195</v>
      </c>
      <c r="BO66" s="2388">
        <v>44195</v>
      </c>
      <c r="BP66" s="2232" t="s">
        <v>1823</v>
      </c>
    </row>
    <row r="67" spans="1:68" s="4" customFormat="1" ht="24.75" customHeight="1" x14ac:dyDescent="0.2">
      <c r="A67" s="45"/>
      <c r="B67" s="275"/>
      <c r="C67" s="2258"/>
      <c r="D67" s="218">
        <v>44</v>
      </c>
      <c r="E67" s="788" t="s">
        <v>617</v>
      </c>
      <c r="F67" s="220"/>
      <c r="G67" s="954"/>
      <c r="H67" s="221"/>
      <c r="I67" s="222"/>
      <c r="J67" s="222"/>
      <c r="K67" s="81"/>
      <c r="L67" s="2389"/>
      <c r="M67" s="1776"/>
      <c r="N67" s="955"/>
      <c r="O67" s="222"/>
      <c r="P67" s="320"/>
      <c r="Q67" s="2390"/>
      <c r="R67" s="279"/>
      <c r="S67" s="279"/>
      <c r="T67" s="1098"/>
      <c r="U67" s="1098"/>
      <c r="V67" s="1098"/>
      <c r="W67" s="1098"/>
      <c r="X67" s="2391"/>
      <c r="Y67" s="2392"/>
      <c r="Z67" s="2393"/>
      <c r="AA67" s="2393"/>
      <c r="AB67" s="2393"/>
      <c r="AC67" s="2393"/>
      <c r="AD67" s="2393"/>
      <c r="AE67" s="2393"/>
      <c r="AF67" s="2393"/>
      <c r="AG67" s="2393"/>
      <c r="AH67" s="2393"/>
      <c r="AI67" s="2393"/>
      <c r="AJ67" s="2393"/>
      <c r="AK67" s="2393"/>
      <c r="AL67" s="2393"/>
      <c r="AM67" s="2393"/>
      <c r="AN67" s="2393"/>
      <c r="AO67" s="2393"/>
      <c r="AP67" s="2393"/>
      <c r="AQ67" s="2393"/>
      <c r="AR67" s="2393"/>
      <c r="AS67" s="2393"/>
      <c r="AT67" s="2393"/>
      <c r="AU67" s="2393"/>
      <c r="AV67" s="2393"/>
      <c r="AW67" s="2393"/>
      <c r="AX67" s="2393"/>
      <c r="AY67" s="2393"/>
      <c r="AZ67" s="2393"/>
      <c r="BA67" s="2393"/>
      <c r="BB67" s="2393"/>
      <c r="BC67" s="2393"/>
      <c r="BD67" s="2393"/>
      <c r="BE67" s="2394"/>
      <c r="BF67" s="2394"/>
      <c r="BG67" s="414"/>
      <c r="BH67" s="414"/>
      <c r="BI67" s="2395"/>
      <c r="BJ67" s="414"/>
      <c r="BK67" s="415"/>
      <c r="BL67" s="559"/>
      <c r="BM67" s="2396"/>
      <c r="BN67" s="2397"/>
      <c r="BO67" s="1280"/>
      <c r="BP67" s="289"/>
    </row>
    <row r="68" spans="1:68" s="366" customFormat="1" ht="61.5" customHeight="1" x14ac:dyDescent="0.2">
      <c r="A68" s="2327"/>
      <c r="B68" s="2267"/>
      <c r="C68" s="2267"/>
      <c r="D68" s="3551"/>
      <c r="E68" s="4106"/>
      <c r="F68" s="3276"/>
      <c r="G68" s="3167">
        <v>2202006</v>
      </c>
      <c r="H68" s="2618" t="s">
        <v>1981</v>
      </c>
      <c r="I68" s="2698" t="s">
        <v>1982</v>
      </c>
      <c r="J68" s="2821" t="s">
        <v>1983</v>
      </c>
      <c r="K68" s="2984">
        <v>1</v>
      </c>
      <c r="L68" s="4105">
        <v>1</v>
      </c>
      <c r="M68" s="2618" t="s">
        <v>1984</v>
      </c>
      <c r="N68" s="2626" t="s">
        <v>1929</v>
      </c>
      <c r="O68" s="3608" t="s">
        <v>1985</v>
      </c>
      <c r="P68" s="4020">
        <f>SUM(U68:U69)/(Q56+Q68)</f>
        <v>0.428367623133034</v>
      </c>
      <c r="Q68" s="4021">
        <f>+U68+U69</f>
        <v>43838500</v>
      </c>
      <c r="R68" s="2698" t="s">
        <v>1931</v>
      </c>
      <c r="S68" s="2821" t="s">
        <v>1932</v>
      </c>
      <c r="T68" s="2698" t="s">
        <v>1986</v>
      </c>
      <c r="U68" s="2330">
        <v>3838500</v>
      </c>
      <c r="V68" s="2330">
        <v>3838500</v>
      </c>
      <c r="W68" s="2330">
        <v>3838500</v>
      </c>
      <c r="X68" s="2264">
        <v>20</v>
      </c>
      <c r="Y68" s="2230" t="s">
        <v>397</v>
      </c>
      <c r="Z68" s="4068">
        <v>4129</v>
      </c>
      <c r="AA68" s="4067">
        <v>3991</v>
      </c>
      <c r="AB68" s="4067">
        <v>4094</v>
      </c>
      <c r="AC68" s="4067">
        <v>3922</v>
      </c>
      <c r="AD68" s="4067">
        <v>1792</v>
      </c>
      <c r="AE68" s="4067">
        <v>1622</v>
      </c>
      <c r="AF68" s="4067">
        <v>6403</v>
      </c>
      <c r="AG68" s="4067">
        <v>6262</v>
      </c>
      <c r="AH68" s="4067">
        <v>28</v>
      </c>
      <c r="AI68" s="4067">
        <v>29</v>
      </c>
      <c r="AJ68" s="4067">
        <v>0</v>
      </c>
      <c r="AK68" s="4067">
        <v>0</v>
      </c>
      <c r="AL68" s="4067">
        <v>22</v>
      </c>
      <c r="AM68" s="4067">
        <v>22</v>
      </c>
      <c r="AN68" s="4067">
        <v>95</v>
      </c>
      <c r="AO68" s="4067">
        <v>98</v>
      </c>
      <c r="AP68" s="4067">
        <v>0</v>
      </c>
      <c r="AQ68" s="4067">
        <v>0</v>
      </c>
      <c r="AR68" s="4067">
        <v>0</v>
      </c>
      <c r="AS68" s="4067">
        <v>0</v>
      </c>
      <c r="AT68" s="4067">
        <v>0</v>
      </c>
      <c r="AU68" s="4067">
        <v>0</v>
      </c>
      <c r="AV68" s="4067">
        <v>0</v>
      </c>
      <c r="AW68" s="4067">
        <v>0</v>
      </c>
      <c r="AX68" s="4067">
        <v>590</v>
      </c>
      <c r="AY68" s="4067">
        <v>664</v>
      </c>
      <c r="AZ68" s="4067">
        <v>431</v>
      </c>
      <c r="BA68" s="4067">
        <v>427</v>
      </c>
      <c r="BB68" s="4067">
        <v>6</v>
      </c>
      <c r="BC68" s="4067">
        <v>15</v>
      </c>
      <c r="BD68" s="4067">
        <f>+Z68+AB68</f>
        <v>8223</v>
      </c>
      <c r="BE68" s="4070">
        <f>SUM(AA68+AC68)</f>
        <v>7913</v>
      </c>
      <c r="BF68" s="4070">
        <v>1</v>
      </c>
      <c r="BG68" s="4070">
        <f>SUM(V68:V69)</f>
        <v>43838500</v>
      </c>
      <c r="BH68" s="4070">
        <f>SUM(W68:W69)</f>
        <v>43838500</v>
      </c>
      <c r="BI68" s="4017">
        <f>+BH68/BG68</f>
        <v>1</v>
      </c>
      <c r="BJ68" s="2244" t="s">
        <v>85</v>
      </c>
      <c r="BK68" s="3339" t="s">
        <v>1926</v>
      </c>
      <c r="BL68" s="3995">
        <v>43832</v>
      </c>
      <c r="BM68" s="3309">
        <v>43832</v>
      </c>
      <c r="BN68" s="4077">
        <v>44195</v>
      </c>
      <c r="BO68" s="4077">
        <v>44195</v>
      </c>
      <c r="BP68" s="4108" t="s">
        <v>1823</v>
      </c>
    </row>
    <row r="69" spans="1:68" s="366" customFormat="1" ht="75.75" customHeight="1" x14ac:dyDescent="0.2">
      <c r="A69" s="2118"/>
      <c r="D69" s="3552"/>
      <c r="E69" s="4107"/>
      <c r="F69" s="2696"/>
      <c r="G69" s="3019"/>
      <c r="H69" s="3276"/>
      <c r="I69" s="2788"/>
      <c r="J69" s="3610"/>
      <c r="K69" s="2984"/>
      <c r="L69" s="4105"/>
      <c r="M69" s="2618"/>
      <c r="N69" s="2626"/>
      <c r="O69" s="3594"/>
      <c r="P69" s="4064"/>
      <c r="Q69" s="4072"/>
      <c r="R69" s="2788"/>
      <c r="S69" s="2821"/>
      <c r="T69" s="2698"/>
      <c r="U69" s="2330">
        <v>40000000</v>
      </c>
      <c r="V69" s="2330">
        <v>40000000</v>
      </c>
      <c r="W69" s="2330">
        <v>40000000</v>
      </c>
      <c r="X69" s="2264">
        <v>91</v>
      </c>
      <c r="Y69" s="2230" t="s">
        <v>1987</v>
      </c>
      <c r="Z69" s="4046"/>
      <c r="AA69" s="4052"/>
      <c r="AB69" s="4031"/>
      <c r="AC69" s="4052"/>
      <c r="AD69" s="4031"/>
      <c r="AE69" s="4052"/>
      <c r="AF69" s="4031"/>
      <c r="AG69" s="4052"/>
      <c r="AH69" s="4031"/>
      <c r="AI69" s="4052"/>
      <c r="AJ69" s="4031"/>
      <c r="AK69" s="4052"/>
      <c r="AL69" s="4031"/>
      <c r="AM69" s="4052"/>
      <c r="AN69" s="4031"/>
      <c r="AO69" s="4052"/>
      <c r="AP69" s="4031"/>
      <c r="AQ69" s="4052"/>
      <c r="AR69" s="4031"/>
      <c r="AS69" s="4052"/>
      <c r="AT69" s="4031"/>
      <c r="AU69" s="4052"/>
      <c r="AV69" s="3988"/>
      <c r="AW69" s="3988"/>
      <c r="AX69" s="4031"/>
      <c r="AY69" s="4052"/>
      <c r="AZ69" s="4031"/>
      <c r="BA69" s="4052"/>
      <c r="BB69" s="4031"/>
      <c r="BC69" s="4052"/>
      <c r="BD69" s="4031"/>
      <c r="BE69" s="4059"/>
      <c r="BF69" s="4059"/>
      <c r="BG69" s="4059"/>
      <c r="BH69" s="4059"/>
      <c r="BI69" s="4060"/>
      <c r="BJ69" s="2244" t="s">
        <v>1824</v>
      </c>
      <c r="BK69" s="3339"/>
      <c r="BL69" s="3995"/>
      <c r="BM69" s="3309"/>
      <c r="BN69" s="4077"/>
      <c r="BO69" s="4077"/>
      <c r="BP69" s="4109"/>
    </row>
    <row r="70" spans="1:68" s="366" customFormat="1" ht="72.75" customHeight="1" x14ac:dyDescent="0.2">
      <c r="A70" s="2118"/>
      <c r="C70" s="2091"/>
      <c r="D70" s="3261"/>
      <c r="E70" s="3262"/>
      <c r="F70" s="4111"/>
      <c r="G70" s="3167">
        <v>2202006</v>
      </c>
      <c r="H70" s="2626" t="s">
        <v>1981</v>
      </c>
      <c r="I70" s="3608" t="s">
        <v>1982</v>
      </c>
      <c r="J70" s="2821" t="s">
        <v>1983</v>
      </c>
      <c r="K70" s="2984">
        <v>1</v>
      </c>
      <c r="L70" s="4105">
        <v>1</v>
      </c>
      <c r="M70" s="2618" t="s">
        <v>1988</v>
      </c>
      <c r="N70" s="4113" t="s">
        <v>1989</v>
      </c>
      <c r="O70" s="3608" t="s">
        <v>1990</v>
      </c>
      <c r="P70" s="4020">
        <f>SUM(U70:U72)/Q70</f>
        <v>1</v>
      </c>
      <c r="Q70" s="4114">
        <f>SUM(U70:U72)</f>
        <v>200000000</v>
      </c>
      <c r="R70" s="2724" t="s">
        <v>1931</v>
      </c>
      <c r="S70" s="3594" t="s">
        <v>1932</v>
      </c>
      <c r="T70" s="2222" t="s">
        <v>1991</v>
      </c>
      <c r="U70" s="2342">
        <v>100000000</v>
      </c>
      <c r="V70" s="2344">
        <f>U70</f>
        <v>100000000</v>
      </c>
      <c r="W70" s="2344">
        <v>100000000</v>
      </c>
      <c r="X70" s="2254">
        <v>20</v>
      </c>
      <c r="Y70" s="2222" t="s">
        <v>397</v>
      </c>
      <c r="Z70" s="4044">
        <v>4129</v>
      </c>
      <c r="AA70" s="4067">
        <v>3991</v>
      </c>
      <c r="AB70" s="3987">
        <v>4094</v>
      </c>
      <c r="AC70" s="4067">
        <v>3922</v>
      </c>
      <c r="AD70" s="3987">
        <v>1792</v>
      </c>
      <c r="AE70" s="4067">
        <v>1622</v>
      </c>
      <c r="AF70" s="3987">
        <v>6403</v>
      </c>
      <c r="AG70" s="4067">
        <v>6262</v>
      </c>
      <c r="AH70" s="3987">
        <v>28</v>
      </c>
      <c r="AI70" s="4067">
        <v>29</v>
      </c>
      <c r="AJ70" s="3987">
        <v>0</v>
      </c>
      <c r="AK70" s="4067">
        <v>0</v>
      </c>
      <c r="AL70" s="3987">
        <v>22</v>
      </c>
      <c r="AM70" s="4067">
        <v>22</v>
      </c>
      <c r="AN70" s="3987">
        <v>95</v>
      </c>
      <c r="AO70" s="4067">
        <v>98</v>
      </c>
      <c r="AP70" s="3987">
        <v>0</v>
      </c>
      <c r="AQ70" s="4067">
        <v>0</v>
      </c>
      <c r="AR70" s="3987">
        <v>0</v>
      </c>
      <c r="AS70" s="4067">
        <v>0</v>
      </c>
      <c r="AT70" s="3987">
        <v>0</v>
      </c>
      <c r="AU70" s="4067">
        <v>0</v>
      </c>
      <c r="AV70" s="4100">
        <v>0</v>
      </c>
      <c r="AW70" s="4067">
        <v>0</v>
      </c>
      <c r="AX70" s="3987">
        <v>590</v>
      </c>
      <c r="AY70" s="4067">
        <v>664</v>
      </c>
      <c r="AZ70" s="3987">
        <v>431</v>
      </c>
      <c r="BA70" s="4067">
        <v>427</v>
      </c>
      <c r="BB70" s="3987">
        <v>6</v>
      </c>
      <c r="BC70" s="4067">
        <v>15</v>
      </c>
      <c r="BD70" s="3987">
        <v>8223</v>
      </c>
      <c r="BE70" s="4070">
        <f>SUM(AA70+AC70)</f>
        <v>7913</v>
      </c>
      <c r="BF70" s="4070">
        <v>3</v>
      </c>
      <c r="BG70" s="4070">
        <f>SUM(V70:V72)</f>
        <v>170849645</v>
      </c>
      <c r="BH70" s="4070">
        <f>SUM(W70:W72)</f>
        <v>170849645</v>
      </c>
      <c r="BI70" s="4082">
        <f>+BH70/BG70</f>
        <v>1</v>
      </c>
      <c r="BJ70" s="2244" t="s">
        <v>1822</v>
      </c>
      <c r="BK70" s="3339" t="s">
        <v>1899</v>
      </c>
      <c r="BL70" s="3995">
        <v>43832</v>
      </c>
      <c r="BM70" s="3997">
        <v>43832</v>
      </c>
      <c r="BN70" s="4033">
        <v>44195</v>
      </c>
      <c r="BO70" s="4033">
        <v>44195</v>
      </c>
      <c r="BP70" s="2583" t="s">
        <v>1823</v>
      </c>
    </row>
    <row r="71" spans="1:68" s="366" customFormat="1" ht="48.75" customHeight="1" x14ac:dyDescent="0.2">
      <c r="A71" s="2118"/>
      <c r="C71" s="2091"/>
      <c r="D71" s="3261"/>
      <c r="E71" s="3262"/>
      <c r="F71" s="4111"/>
      <c r="G71" s="3019"/>
      <c r="H71" s="2626"/>
      <c r="I71" s="3608"/>
      <c r="J71" s="2821"/>
      <c r="K71" s="2984"/>
      <c r="L71" s="4105"/>
      <c r="M71" s="2618"/>
      <c r="N71" s="4113"/>
      <c r="O71" s="3608"/>
      <c r="P71" s="4020"/>
      <c r="Q71" s="4114"/>
      <c r="R71" s="2724"/>
      <c r="S71" s="3595"/>
      <c r="T71" s="2698" t="s">
        <v>1992</v>
      </c>
      <c r="U71" s="2330">
        <v>50000000</v>
      </c>
      <c r="V71" s="2373">
        <v>20849645</v>
      </c>
      <c r="W71" s="2373">
        <v>20849645</v>
      </c>
      <c r="X71" s="2264">
        <v>35</v>
      </c>
      <c r="Y71" s="2230" t="s">
        <v>1822</v>
      </c>
      <c r="Z71" s="4045"/>
      <c r="AA71" s="3988"/>
      <c r="AB71" s="3988"/>
      <c r="AC71" s="3988"/>
      <c r="AD71" s="3988"/>
      <c r="AE71" s="3988"/>
      <c r="AF71" s="3988"/>
      <c r="AG71" s="3988"/>
      <c r="AH71" s="3988"/>
      <c r="AI71" s="3988"/>
      <c r="AJ71" s="3988"/>
      <c r="AK71" s="3988"/>
      <c r="AL71" s="3988"/>
      <c r="AM71" s="3988"/>
      <c r="AN71" s="3988"/>
      <c r="AO71" s="3988"/>
      <c r="AP71" s="3988"/>
      <c r="AQ71" s="3988"/>
      <c r="AR71" s="3988"/>
      <c r="AS71" s="3988"/>
      <c r="AT71" s="3988"/>
      <c r="AU71" s="3988"/>
      <c r="AV71" s="4100"/>
      <c r="AW71" s="3988"/>
      <c r="AX71" s="3988"/>
      <c r="AY71" s="3988"/>
      <c r="AZ71" s="3988"/>
      <c r="BA71" s="3988"/>
      <c r="BB71" s="3988"/>
      <c r="BC71" s="3988"/>
      <c r="BD71" s="3988"/>
      <c r="BE71" s="3992"/>
      <c r="BF71" s="3992"/>
      <c r="BG71" s="3992"/>
      <c r="BH71" s="3992"/>
      <c r="BI71" s="4040"/>
      <c r="BJ71" s="2244" t="s">
        <v>411</v>
      </c>
      <c r="BK71" s="3339"/>
      <c r="BL71" s="3995"/>
      <c r="BM71" s="3997"/>
      <c r="BN71" s="4033"/>
      <c r="BO71" s="4033"/>
      <c r="BP71" s="2584"/>
    </row>
    <row r="72" spans="1:68" s="366" customFormat="1" ht="47.25" customHeight="1" x14ac:dyDescent="0.2">
      <c r="A72" s="2118"/>
      <c r="C72" s="2091"/>
      <c r="D72" s="3390"/>
      <c r="E72" s="4110"/>
      <c r="F72" s="4112"/>
      <c r="G72" s="3168"/>
      <c r="H72" s="2626"/>
      <c r="I72" s="3608"/>
      <c r="J72" s="2821"/>
      <c r="K72" s="2984"/>
      <c r="L72" s="4105"/>
      <c r="M72" s="2618"/>
      <c r="N72" s="4113"/>
      <c r="O72" s="3608"/>
      <c r="P72" s="4064"/>
      <c r="Q72" s="4114"/>
      <c r="R72" s="2724"/>
      <c r="S72" s="4115"/>
      <c r="T72" s="2698"/>
      <c r="U72" s="2398">
        <v>50000000</v>
      </c>
      <c r="V72" s="2398">
        <v>50000000</v>
      </c>
      <c r="W72" s="2398">
        <v>50000000</v>
      </c>
      <c r="X72" s="2264">
        <v>88</v>
      </c>
      <c r="Y72" s="2230" t="s">
        <v>1987</v>
      </c>
      <c r="Z72" s="4046"/>
      <c r="AA72" s="4031"/>
      <c r="AB72" s="4031"/>
      <c r="AC72" s="4031"/>
      <c r="AD72" s="4031"/>
      <c r="AE72" s="4031"/>
      <c r="AF72" s="4031"/>
      <c r="AG72" s="4031"/>
      <c r="AH72" s="4031"/>
      <c r="AI72" s="4031"/>
      <c r="AJ72" s="4031"/>
      <c r="AK72" s="4031"/>
      <c r="AL72" s="4031"/>
      <c r="AM72" s="4031"/>
      <c r="AN72" s="4031"/>
      <c r="AO72" s="4031"/>
      <c r="AP72" s="4031"/>
      <c r="AQ72" s="4031"/>
      <c r="AR72" s="4031"/>
      <c r="AS72" s="4031"/>
      <c r="AT72" s="4031"/>
      <c r="AU72" s="4031"/>
      <c r="AV72" s="4100"/>
      <c r="AW72" s="4031"/>
      <c r="AX72" s="4031"/>
      <c r="AY72" s="4031"/>
      <c r="AZ72" s="4031"/>
      <c r="BA72" s="4031"/>
      <c r="BB72" s="4031"/>
      <c r="BC72" s="4031"/>
      <c r="BD72" s="4031"/>
      <c r="BE72" s="4016"/>
      <c r="BF72" s="4016"/>
      <c r="BG72" s="4016"/>
      <c r="BH72" s="4016"/>
      <c r="BI72" s="4018"/>
      <c r="BJ72" s="2244" t="s">
        <v>85</v>
      </c>
      <c r="BK72" s="3339"/>
      <c r="BL72" s="3995"/>
      <c r="BM72" s="4028"/>
      <c r="BN72" s="4034"/>
      <c r="BO72" s="4034"/>
      <c r="BP72" s="2720"/>
    </row>
    <row r="73" spans="1:68" s="4" customFormat="1" ht="23.25" customHeight="1" x14ac:dyDescent="0.2">
      <c r="A73" s="349"/>
      <c r="B73" s="263"/>
      <c r="C73" s="265"/>
      <c r="D73" s="292"/>
      <c r="E73" s="263"/>
      <c r="F73" s="265"/>
      <c r="G73" s="2399"/>
      <c r="H73" s="2399"/>
      <c r="I73" s="2399"/>
      <c r="J73" s="2400"/>
      <c r="K73" s="2401"/>
      <c r="L73" s="2402"/>
      <c r="M73" s="2403"/>
      <c r="N73" s="2404"/>
      <c r="O73" s="2405"/>
      <c r="P73" s="2406"/>
      <c r="Q73" s="2407">
        <f>SUM(Q12:Q70)</f>
        <v>178324204793.70999</v>
      </c>
      <c r="R73" s="2217"/>
      <c r="S73" s="2217"/>
      <c r="T73" s="2263"/>
      <c r="U73" s="2408">
        <f>SUM(U12:U72)</f>
        <v>178324204793.70999</v>
      </c>
      <c r="V73" s="2408">
        <f>SUM(V12:V72)</f>
        <v>174269380098.87</v>
      </c>
      <c r="W73" s="2408">
        <f>SUM(W12:W72)</f>
        <v>173939597428.87</v>
      </c>
      <c r="X73" s="2242"/>
      <c r="Y73" s="2263"/>
      <c r="Z73" s="1265"/>
      <c r="AA73" s="1265"/>
      <c r="AB73" s="1265"/>
      <c r="AC73" s="1265"/>
      <c r="AD73" s="1265"/>
      <c r="AE73" s="1265"/>
      <c r="AF73" s="1265"/>
      <c r="AG73" s="1265"/>
      <c r="AH73" s="1265"/>
      <c r="AI73" s="1265"/>
      <c r="AJ73" s="1265"/>
      <c r="AK73" s="1265"/>
      <c r="AL73" s="1265"/>
      <c r="AM73" s="1265"/>
      <c r="AN73" s="1265"/>
      <c r="AO73" s="1265"/>
      <c r="AP73" s="1265"/>
      <c r="AQ73" s="1265"/>
      <c r="AR73" s="1265"/>
      <c r="AS73" s="1265"/>
      <c r="AT73" s="1265"/>
      <c r="AU73" s="1265"/>
      <c r="AV73" s="1265"/>
      <c r="AW73" s="1265"/>
      <c r="AX73" s="1265"/>
      <c r="AY73" s="1265"/>
      <c r="AZ73" s="1265"/>
      <c r="BA73" s="1265"/>
      <c r="BB73" s="1265"/>
      <c r="BC73" s="1265"/>
      <c r="BD73" s="1265"/>
      <c r="BE73" s="1265"/>
      <c r="BF73" s="1265"/>
      <c r="BG73" s="473">
        <f>SUM(BG12:BG72)</f>
        <v>174269380098.87</v>
      </c>
      <c r="BH73" s="473">
        <f>SUM(BH12:BH72)</f>
        <v>173939597428.87</v>
      </c>
      <c r="BI73" s="2409"/>
      <c r="BJ73" s="1265"/>
      <c r="BK73" s="2233"/>
      <c r="BL73" s="2237"/>
      <c r="BM73" s="2410"/>
      <c r="BN73" s="365"/>
      <c r="BO73" s="365"/>
      <c r="BP73" s="359"/>
    </row>
    <row r="74" spans="1:68" x14ac:dyDescent="0.2">
      <c r="L74" s="2411"/>
      <c r="Q74" s="493"/>
      <c r="BG74" s="2413"/>
      <c r="BH74" s="2413"/>
      <c r="BK74" s="2415"/>
    </row>
    <row r="75" spans="1:68" ht="42.75" customHeight="1" x14ac:dyDescent="0.2">
      <c r="L75" s="2411"/>
      <c r="Q75" s="493"/>
      <c r="T75" s="2416"/>
      <c r="U75" s="2417"/>
      <c r="V75" s="2417"/>
      <c r="W75" s="2417"/>
      <c r="BK75" s="2415"/>
    </row>
    <row r="76" spans="1:68" x14ac:dyDescent="0.2">
      <c r="L76" s="2411"/>
      <c r="Q76" s="493"/>
      <c r="T76" s="2416"/>
      <c r="U76" s="2417"/>
      <c r="V76" s="2417"/>
      <c r="W76" s="2417"/>
      <c r="BK76" s="2415"/>
    </row>
    <row r="77" spans="1:68" x14ac:dyDescent="0.2">
      <c r="L77" s="2411"/>
      <c r="O77" s="2416"/>
      <c r="T77" s="2416"/>
      <c r="U77" s="2417"/>
      <c r="V77" s="2417"/>
      <c r="W77" s="2417"/>
      <c r="BK77" s="2415"/>
    </row>
    <row r="78" spans="1:68" x14ac:dyDescent="0.2">
      <c r="B78" s="367"/>
      <c r="C78" s="368"/>
      <c r="D78" s="263"/>
      <c r="E78" s="263"/>
      <c r="F78" s="263"/>
      <c r="G78" s="263"/>
      <c r="H78" s="4"/>
      <c r="L78" s="2411"/>
      <c r="O78" s="2416"/>
      <c r="T78" s="2416"/>
      <c r="U78" s="2417"/>
      <c r="V78" s="2417"/>
      <c r="W78" s="2417"/>
      <c r="BK78" s="2415"/>
    </row>
    <row r="79" spans="1:68" ht="19.5" customHeight="1" x14ac:dyDescent="0.25">
      <c r="B79" s="169" t="s">
        <v>1993</v>
      </c>
      <c r="C79" s="170"/>
      <c r="D79" s="4"/>
      <c r="E79" s="4"/>
      <c r="F79" s="4"/>
      <c r="G79" s="4"/>
      <c r="H79" s="4"/>
      <c r="L79" s="2411"/>
      <c r="O79" s="2416"/>
      <c r="T79" s="2416"/>
      <c r="U79" s="2417"/>
      <c r="V79" s="2417"/>
      <c r="W79" s="2417"/>
      <c r="BK79" s="2415"/>
    </row>
    <row r="80" spans="1:68" ht="27" customHeight="1" x14ac:dyDescent="0.25">
      <c r="B80" s="169" t="s">
        <v>1994</v>
      </c>
      <c r="C80" s="170"/>
      <c r="D80" s="4"/>
      <c r="E80" s="4"/>
      <c r="F80" s="4"/>
      <c r="G80" s="4"/>
      <c r="H80" s="4"/>
      <c r="L80" s="2411"/>
      <c r="O80" s="2416"/>
      <c r="T80" s="2416"/>
      <c r="U80" s="2417"/>
      <c r="V80" s="2417"/>
      <c r="W80" s="2417"/>
      <c r="BK80" s="2415"/>
    </row>
    <row r="81" spans="1:68" x14ac:dyDescent="0.2">
      <c r="L81" s="2411"/>
      <c r="BK81" s="2415"/>
    </row>
    <row r="82" spans="1:68" x14ac:dyDescent="0.2">
      <c r="L82" s="2411"/>
      <c r="BK82" s="2415"/>
    </row>
    <row r="83" spans="1:68" s="479" customFormat="1" x14ac:dyDescent="0.2">
      <c r="A83" s="477"/>
      <c r="B83" s="388"/>
      <c r="C83" s="388"/>
      <c r="D83" s="388"/>
      <c r="E83" s="388"/>
      <c r="F83" s="388"/>
      <c r="G83" s="388"/>
      <c r="H83" s="388"/>
      <c r="I83" s="478"/>
      <c r="J83" s="191"/>
      <c r="K83" s="485"/>
      <c r="L83" s="2411"/>
      <c r="M83" s="2412"/>
      <c r="O83" s="478"/>
      <c r="P83" s="481"/>
      <c r="Q83" s="482"/>
      <c r="R83" s="480"/>
      <c r="S83" s="480"/>
      <c r="T83" s="480"/>
      <c r="U83" s="493"/>
      <c r="V83" s="493"/>
      <c r="W83" s="493"/>
      <c r="X83" s="484"/>
      <c r="Y83" s="480"/>
      <c r="Z83" s="388"/>
      <c r="AA83" s="388"/>
      <c r="AB83" s="388"/>
      <c r="AC83" s="388"/>
      <c r="AD83" s="388"/>
      <c r="AE83" s="388"/>
      <c r="AF83" s="388"/>
      <c r="AG83" s="388"/>
      <c r="AH83" s="388"/>
      <c r="AI83" s="388"/>
      <c r="AJ83" s="388"/>
      <c r="AK83" s="388"/>
      <c r="AL83" s="388"/>
      <c r="AM83" s="388"/>
      <c r="AN83" s="388"/>
      <c r="AO83" s="388"/>
      <c r="AP83" s="388"/>
      <c r="AQ83" s="388"/>
      <c r="AR83" s="388"/>
      <c r="AS83" s="388"/>
      <c r="AT83" s="388"/>
      <c r="AU83" s="388"/>
      <c r="AV83" s="388"/>
      <c r="AW83" s="388"/>
      <c r="AX83" s="388"/>
      <c r="AY83" s="388"/>
      <c r="AZ83" s="388"/>
      <c r="BA83" s="388"/>
      <c r="BB83" s="388"/>
      <c r="BC83" s="388"/>
      <c r="BD83" s="388"/>
      <c r="BE83" s="388"/>
      <c r="BF83" s="388"/>
      <c r="BG83" s="388"/>
      <c r="BH83" s="388"/>
      <c r="BI83" s="2414"/>
      <c r="BJ83" s="388"/>
      <c r="BK83" s="2415"/>
      <c r="BL83" s="388"/>
      <c r="BM83" s="388"/>
      <c r="BN83" s="388"/>
      <c r="BO83" s="388"/>
      <c r="BP83" s="388"/>
    </row>
    <row r="84" spans="1:68" s="479" customFormat="1" x14ac:dyDescent="0.2">
      <c r="A84" s="477"/>
      <c r="B84" s="388"/>
      <c r="C84" s="388"/>
      <c r="D84" s="388"/>
      <c r="E84" s="388"/>
      <c r="F84" s="388"/>
      <c r="G84" s="388"/>
      <c r="H84" s="388"/>
      <c r="I84" s="478"/>
      <c r="J84" s="191"/>
      <c r="K84" s="485"/>
      <c r="L84" s="2411"/>
      <c r="M84" s="2412"/>
      <c r="O84" s="478"/>
      <c r="P84" s="481"/>
      <c r="Q84" s="482"/>
      <c r="R84" s="480"/>
      <c r="S84" s="480"/>
      <c r="T84" s="480"/>
      <c r="U84" s="493"/>
      <c r="V84" s="493"/>
      <c r="W84" s="493"/>
      <c r="X84" s="484"/>
      <c r="Y84" s="480"/>
      <c r="Z84" s="388"/>
      <c r="AA84" s="388"/>
      <c r="AB84" s="388"/>
      <c r="AC84" s="388"/>
      <c r="AD84" s="388"/>
      <c r="AE84" s="388"/>
      <c r="AF84" s="388"/>
      <c r="AG84" s="388"/>
      <c r="AH84" s="388"/>
      <c r="AI84" s="388"/>
      <c r="AJ84" s="388"/>
      <c r="AK84" s="388"/>
      <c r="AL84" s="388"/>
      <c r="AM84" s="388"/>
      <c r="AN84" s="388"/>
      <c r="AO84" s="388"/>
      <c r="AP84" s="388"/>
      <c r="AQ84" s="388"/>
      <c r="AR84" s="388"/>
      <c r="AS84" s="388"/>
      <c r="AT84" s="388"/>
      <c r="AU84" s="388"/>
      <c r="AV84" s="388"/>
      <c r="AW84" s="388"/>
      <c r="AX84" s="388"/>
      <c r="AY84" s="388"/>
      <c r="AZ84" s="388"/>
      <c r="BA84" s="388"/>
      <c r="BB84" s="388"/>
      <c r="BC84" s="388"/>
      <c r="BD84" s="388"/>
      <c r="BE84" s="388"/>
      <c r="BF84" s="388"/>
      <c r="BG84" s="388"/>
      <c r="BH84" s="388"/>
      <c r="BI84" s="2414"/>
      <c r="BJ84" s="388"/>
      <c r="BK84" s="2415"/>
      <c r="BL84" s="388"/>
      <c r="BM84" s="388"/>
      <c r="BN84" s="388"/>
      <c r="BO84" s="388"/>
      <c r="BP84" s="388"/>
    </row>
    <row r="85" spans="1:68" s="479" customFormat="1" x14ac:dyDescent="0.2">
      <c r="A85" s="477"/>
      <c r="B85" s="388"/>
      <c r="C85" s="388"/>
      <c r="D85" s="388"/>
      <c r="E85" s="388"/>
      <c r="F85" s="388"/>
      <c r="G85" s="388"/>
      <c r="H85" s="388"/>
      <c r="I85" s="478"/>
      <c r="J85" s="191"/>
      <c r="K85" s="485"/>
      <c r="L85" s="2411"/>
      <c r="M85" s="2418"/>
      <c r="O85" s="478"/>
      <c r="P85" s="481"/>
      <c r="Q85" s="482"/>
      <c r="R85" s="480"/>
      <c r="S85" s="480"/>
      <c r="T85" s="480"/>
      <c r="U85" s="493"/>
      <c r="V85" s="493"/>
      <c r="W85" s="493"/>
      <c r="X85" s="484"/>
      <c r="Y85" s="480"/>
      <c r="Z85" s="388"/>
      <c r="AA85" s="388"/>
      <c r="AB85" s="388"/>
      <c r="AC85" s="388"/>
      <c r="AD85" s="388"/>
      <c r="AE85" s="388"/>
      <c r="AF85" s="388"/>
      <c r="AG85" s="388"/>
      <c r="AH85" s="388"/>
      <c r="AI85" s="388"/>
      <c r="AJ85" s="388"/>
      <c r="AK85" s="388"/>
      <c r="AL85" s="388"/>
      <c r="AM85" s="388"/>
      <c r="AN85" s="388"/>
      <c r="AO85" s="388"/>
      <c r="AP85" s="388"/>
      <c r="AQ85" s="388"/>
      <c r="AR85" s="388"/>
      <c r="AS85" s="388"/>
      <c r="AT85" s="388"/>
      <c r="AU85" s="388"/>
      <c r="AV85" s="388"/>
      <c r="AW85" s="388"/>
      <c r="AX85" s="388"/>
      <c r="AY85" s="388"/>
      <c r="AZ85" s="388"/>
      <c r="BA85" s="388"/>
      <c r="BB85" s="388"/>
      <c r="BC85" s="388"/>
      <c r="BD85" s="388"/>
      <c r="BE85" s="388"/>
      <c r="BF85" s="388"/>
      <c r="BG85" s="388"/>
      <c r="BH85" s="388"/>
      <c r="BI85" s="2414"/>
      <c r="BJ85" s="388"/>
      <c r="BK85" s="2415"/>
      <c r="BL85" s="388"/>
      <c r="BM85" s="388"/>
      <c r="BN85" s="388"/>
      <c r="BO85" s="388"/>
      <c r="BP85" s="388"/>
    </row>
    <row r="86" spans="1:68" s="479" customFormat="1" x14ac:dyDescent="0.2">
      <c r="A86" s="477"/>
      <c r="B86" s="388"/>
      <c r="C86" s="388"/>
      <c r="D86" s="388"/>
      <c r="E86" s="388"/>
      <c r="F86" s="388"/>
      <c r="G86" s="388"/>
      <c r="H86" s="388"/>
      <c r="I86" s="478"/>
      <c r="J86" s="191"/>
      <c r="K86" s="485"/>
      <c r="L86" s="2411"/>
      <c r="M86" s="2418"/>
      <c r="O86" s="478"/>
      <c r="P86" s="481"/>
      <c r="Q86" s="482"/>
      <c r="R86" s="480"/>
      <c r="S86" s="480"/>
      <c r="T86" s="480"/>
      <c r="U86" s="493"/>
      <c r="V86" s="493"/>
      <c r="W86" s="493"/>
      <c r="X86" s="484"/>
      <c r="Y86" s="480"/>
      <c r="Z86" s="388"/>
      <c r="AA86" s="388"/>
      <c r="AB86" s="388"/>
      <c r="AC86" s="388"/>
      <c r="AD86" s="388"/>
      <c r="AE86" s="388"/>
      <c r="AF86" s="388"/>
      <c r="AG86" s="388"/>
      <c r="AH86" s="388"/>
      <c r="AI86" s="388"/>
      <c r="AJ86" s="388"/>
      <c r="AK86" s="388"/>
      <c r="AL86" s="388"/>
      <c r="AM86" s="388"/>
      <c r="AN86" s="388"/>
      <c r="AO86" s="388"/>
      <c r="AP86" s="388"/>
      <c r="AQ86" s="388"/>
      <c r="AR86" s="388"/>
      <c r="AS86" s="388"/>
      <c r="AT86" s="388"/>
      <c r="AU86" s="388"/>
      <c r="AV86" s="388"/>
      <c r="AW86" s="388"/>
      <c r="AX86" s="388"/>
      <c r="AY86" s="388"/>
      <c r="AZ86" s="388"/>
      <c r="BA86" s="388"/>
      <c r="BB86" s="388"/>
      <c r="BC86" s="388"/>
      <c r="BD86" s="388"/>
      <c r="BE86" s="388"/>
      <c r="BF86" s="388"/>
      <c r="BG86" s="388"/>
      <c r="BH86" s="388"/>
      <c r="BI86" s="2414"/>
      <c r="BJ86" s="388"/>
      <c r="BK86" s="2415"/>
      <c r="BL86" s="388"/>
      <c r="BM86" s="388"/>
      <c r="BN86" s="388"/>
      <c r="BO86" s="388"/>
      <c r="BP86" s="388"/>
    </row>
    <row r="87" spans="1:68" s="479" customFormat="1" x14ac:dyDescent="0.2">
      <c r="A87" s="477"/>
      <c r="B87" s="388"/>
      <c r="C87" s="388"/>
      <c r="D87" s="388"/>
      <c r="E87" s="388"/>
      <c r="F87" s="388"/>
      <c r="G87" s="388"/>
      <c r="H87" s="388"/>
      <c r="I87" s="478"/>
      <c r="J87" s="191"/>
      <c r="K87" s="485"/>
      <c r="L87" s="2411"/>
      <c r="M87" s="2418"/>
      <c r="O87" s="478"/>
      <c r="P87" s="481"/>
      <c r="Q87" s="482"/>
      <c r="R87" s="480"/>
      <c r="S87" s="480"/>
      <c r="T87" s="480"/>
      <c r="U87" s="493"/>
      <c r="V87" s="493"/>
      <c r="W87" s="493"/>
      <c r="X87" s="484"/>
      <c r="Y87" s="480"/>
      <c r="Z87" s="388"/>
      <c r="AA87" s="388"/>
      <c r="AB87" s="388"/>
      <c r="AC87" s="388"/>
      <c r="AD87" s="388"/>
      <c r="AE87" s="388"/>
      <c r="AF87" s="388"/>
      <c r="AG87" s="388"/>
      <c r="AH87" s="388"/>
      <c r="AI87" s="388"/>
      <c r="AJ87" s="388"/>
      <c r="AK87" s="388"/>
      <c r="AL87" s="388"/>
      <c r="AM87" s="388"/>
      <c r="AN87" s="388"/>
      <c r="AO87" s="388"/>
      <c r="AP87" s="388"/>
      <c r="AQ87" s="388"/>
      <c r="AR87" s="388"/>
      <c r="AS87" s="388"/>
      <c r="AT87" s="388"/>
      <c r="AU87" s="388"/>
      <c r="AV87" s="388"/>
      <c r="AW87" s="388"/>
      <c r="AX87" s="388"/>
      <c r="AY87" s="388"/>
      <c r="AZ87" s="388"/>
      <c r="BA87" s="388"/>
      <c r="BB87" s="388"/>
      <c r="BC87" s="388"/>
      <c r="BD87" s="388"/>
      <c r="BE87" s="388"/>
      <c r="BF87" s="388"/>
      <c r="BG87" s="388"/>
      <c r="BH87" s="388"/>
      <c r="BI87" s="2414"/>
      <c r="BJ87" s="388"/>
      <c r="BK87" s="2415"/>
      <c r="BL87" s="388"/>
      <c r="BM87" s="388"/>
      <c r="BN87" s="388"/>
      <c r="BO87" s="388"/>
      <c r="BP87" s="388"/>
    </row>
    <row r="88" spans="1:68" s="479" customFormat="1" x14ac:dyDescent="0.2">
      <c r="A88" s="477"/>
      <c r="B88" s="388"/>
      <c r="C88" s="388"/>
      <c r="D88" s="388"/>
      <c r="E88" s="388"/>
      <c r="F88" s="388"/>
      <c r="G88" s="388"/>
      <c r="H88" s="388"/>
      <c r="I88" s="478"/>
      <c r="J88" s="191"/>
      <c r="K88" s="485"/>
      <c r="L88" s="2411"/>
      <c r="M88" s="2418"/>
      <c r="O88" s="478"/>
      <c r="P88" s="481"/>
      <c r="Q88" s="482"/>
      <c r="R88" s="480"/>
      <c r="S88" s="480"/>
      <c r="T88" s="480"/>
      <c r="U88" s="493"/>
      <c r="V88" s="493"/>
      <c r="W88" s="493"/>
      <c r="X88" s="484"/>
      <c r="Y88" s="480"/>
      <c r="Z88" s="388"/>
      <c r="AA88" s="388"/>
      <c r="AB88" s="388"/>
      <c r="AC88" s="388"/>
      <c r="AD88" s="388"/>
      <c r="AE88" s="388"/>
      <c r="AF88" s="388"/>
      <c r="AG88" s="388"/>
      <c r="AH88" s="388"/>
      <c r="AI88" s="388"/>
      <c r="AJ88" s="388"/>
      <c r="AK88" s="388"/>
      <c r="AL88" s="388"/>
      <c r="AM88" s="388"/>
      <c r="AN88" s="388"/>
      <c r="AO88" s="388"/>
      <c r="AP88" s="388"/>
      <c r="AQ88" s="388"/>
      <c r="AR88" s="388"/>
      <c r="AS88" s="388"/>
      <c r="AT88" s="388"/>
      <c r="AU88" s="388"/>
      <c r="AV88" s="388"/>
      <c r="AW88" s="388"/>
      <c r="AX88" s="388"/>
      <c r="AY88" s="388"/>
      <c r="AZ88" s="388"/>
      <c r="BA88" s="388"/>
      <c r="BB88" s="388"/>
      <c r="BC88" s="388"/>
      <c r="BD88" s="388"/>
      <c r="BE88" s="388"/>
      <c r="BF88" s="388"/>
      <c r="BG88" s="388"/>
      <c r="BH88" s="388"/>
      <c r="BI88" s="2414"/>
      <c r="BJ88" s="388"/>
      <c r="BK88" s="2415"/>
      <c r="BL88" s="388"/>
      <c r="BM88" s="388"/>
      <c r="BN88" s="388"/>
      <c r="BO88" s="388"/>
      <c r="BP88" s="388"/>
    </row>
    <row r="89" spans="1:68" s="479" customFormat="1" x14ac:dyDescent="0.2">
      <c r="A89" s="477"/>
      <c r="B89" s="388"/>
      <c r="C89" s="388"/>
      <c r="D89" s="388"/>
      <c r="E89" s="388"/>
      <c r="F89" s="388"/>
      <c r="G89" s="388"/>
      <c r="H89" s="388"/>
      <c r="I89" s="478"/>
      <c r="J89" s="191"/>
      <c r="K89" s="485"/>
      <c r="L89" s="2411"/>
      <c r="M89" s="2418"/>
      <c r="O89" s="478"/>
      <c r="P89" s="481"/>
      <c r="Q89" s="482"/>
      <c r="R89" s="480"/>
      <c r="S89" s="480"/>
      <c r="T89" s="480"/>
      <c r="U89" s="493"/>
      <c r="V89" s="493"/>
      <c r="W89" s="493"/>
      <c r="X89" s="484"/>
      <c r="Y89" s="480"/>
      <c r="Z89" s="388"/>
      <c r="AA89" s="388"/>
      <c r="AB89" s="388"/>
      <c r="AC89" s="388"/>
      <c r="AD89" s="388"/>
      <c r="AE89" s="388"/>
      <c r="AF89" s="388"/>
      <c r="AG89" s="388"/>
      <c r="AH89" s="388"/>
      <c r="AI89" s="388"/>
      <c r="AJ89" s="388"/>
      <c r="AK89" s="388"/>
      <c r="AL89" s="388"/>
      <c r="AM89" s="388"/>
      <c r="AN89" s="388"/>
      <c r="AO89" s="388"/>
      <c r="AP89" s="388"/>
      <c r="AQ89" s="388"/>
      <c r="AR89" s="388"/>
      <c r="AS89" s="388"/>
      <c r="AT89" s="388"/>
      <c r="AU89" s="388"/>
      <c r="AV89" s="388"/>
      <c r="AW89" s="388"/>
      <c r="AX89" s="388"/>
      <c r="AY89" s="388"/>
      <c r="AZ89" s="388"/>
      <c r="BA89" s="388"/>
      <c r="BB89" s="388"/>
      <c r="BC89" s="388"/>
      <c r="BD89" s="388"/>
      <c r="BE89" s="388"/>
      <c r="BF89" s="388"/>
      <c r="BG89" s="388"/>
      <c r="BH89" s="388"/>
      <c r="BI89" s="2414"/>
      <c r="BJ89" s="388"/>
      <c r="BK89" s="2415"/>
      <c r="BL89" s="388"/>
      <c r="BM89" s="388"/>
      <c r="BN89" s="388"/>
      <c r="BO89" s="388"/>
      <c r="BP89" s="388"/>
    </row>
    <row r="90" spans="1:68" s="479" customFormat="1" x14ac:dyDescent="0.2">
      <c r="A90" s="477"/>
      <c r="B90" s="388"/>
      <c r="C90" s="388"/>
      <c r="D90" s="388"/>
      <c r="E90" s="388"/>
      <c r="F90" s="388"/>
      <c r="G90" s="388"/>
      <c r="H90" s="388"/>
      <c r="I90" s="478"/>
      <c r="J90" s="191"/>
      <c r="K90" s="485"/>
      <c r="L90" s="2411"/>
      <c r="M90" s="2418"/>
      <c r="O90" s="478"/>
      <c r="P90" s="481"/>
      <c r="Q90" s="482"/>
      <c r="R90" s="480"/>
      <c r="S90" s="480"/>
      <c r="T90" s="480"/>
      <c r="U90" s="493"/>
      <c r="V90" s="493"/>
      <c r="W90" s="493"/>
      <c r="X90" s="484"/>
      <c r="Y90" s="480"/>
      <c r="Z90" s="388"/>
      <c r="AA90" s="388"/>
      <c r="AB90" s="388"/>
      <c r="AC90" s="388"/>
      <c r="AD90" s="388"/>
      <c r="AE90" s="388"/>
      <c r="AF90" s="388"/>
      <c r="AG90" s="388"/>
      <c r="AH90" s="388"/>
      <c r="AI90" s="388"/>
      <c r="AJ90" s="388"/>
      <c r="AK90" s="388"/>
      <c r="AL90" s="388"/>
      <c r="AM90" s="388"/>
      <c r="AN90" s="388"/>
      <c r="AO90" s="388"/>
      <c r="AP90" s="388"/>
      <c r="AQ90" s="388"/>
      <c r="AR90" s="388"/>
      <c r="AS90" s="388"/>
      <c r="AT90" s="388"/>
      <c r="AU90" s="388"/>
      <c r="AV90" s="388"/>
      <c r="AW90" s="388"/>
      <c r="AX90" s="388"/>
      <c r="AY90" s="388"/>
      <c r="AZ90" s="388"/>
      <c r="BA90" s="388"/>
      <c r="BB90" s="388"/>
      <c r="BC90" s="388"/>
      <c r="BD90" s="388"/>
      <c r="BE90" s="388"/>
      <c r="BF90" s="388"/>
      <c r="BG90" s="388"/>
      <c r="BH90" s="388"/>
      <c r="BI90" s="2414"/>
      <c r="BJ90" s="388"/>
      <c r="BK90" s="2415"/>
      <c r="BL90" s="388"/>
      <c r="BM90" s="388"/>
      <c r="BN90" s="388"/>
      <c r="BO90" s="388"/>
      <c r="BP90" s="388"/>
    </row>
    <row r="91" spans="1:68" s="479" customFormat="1" x14ac:dyDescent="0.2">
      <c r="A91" s="477"/>
      <c r="B91" s="388"/>
      <c r="C91" s="388"/>
      <c r="D91" s="388"/>
      <c r="E91" s="388"/>
      <c r="F91" s="388"/>
      <c r="G91" s="388"/>
      <c r="H91" s="388"/>
      <c r="I91" s="478"/>
      <c r="J91" s="191"/>
      <c r="K91" s="485"/>
      <c r="L91" s="2411"/>
      <c r="M91" s="2418"/>
      <c r="O91" s="478"/>
      <c r="P91" s="481"/>
      <c r="Q91" s="482"/>
      <c r="R91" s="480"/>
      <c r="S91" s="480"/>
      <c r="T91" s="480"/>
      <c r="U91" s="493"/>
      <c r="V91" s="493"/>
      <c r="W91" s="493"/>
      <c r="X91" s="484"/>
      <c r="Y91" s="480"/>
      <c r="Z91" s="388"/>
      <c r="AA91" s="388"/>
      <c r="AB91" s="388"/>
      <c r="AC91" s="388"/>
      <c r="AD91" s="388"/>
      <c r="AE91" s="388"/>
      <c r="AF91" s="388"/>
      <c r="AG91" s="388"/>
      <c r="AH91" s="388"/>
      <c r="AI91" s="388"/>
      <c r="AJ91" s="388"/>
      <c r="AK91" s="388"/>
      <c r="AL91" s="388"/>
      <c r="AM91" s="388"/>
      <c r="AN91" s="388"/>
      <c r="AO91" s="388"/>
      <c r="AP91" s="388"/>
      <c r="AQ91" s="388"/>
      <c r="AR91" s="388"/>
      <c r="AS91" s="388"/>
      <c r="AT91" s="388"/>
      <c r="AU91" s="388"/>
      <c r="AV91" s="388"/>
      <c r="AW91" s="388"/>
      <c r="AX91" s="388"/>
      <c r="AY91" s="388"/>
      <c r="AZ91" s="388"/>
      <c r="BA91" s="388"/>
      <c r="BB91" s="388"/>
      <c r="BC91" s="388"/>
      <c r="BD91" s="388"/>
      <c r="BE91" s="388"/>
      <c r="BF91" s="388"/>
      <c r="BG91" s="388"/>
      <c r="BH91" s="388"/>
      <c r="BI91" s="2414"/>
      <c r="BJ91" s="388"/>
      <c r="BK91" s="2415"/>
      <c r="BL91" s="388"/>
      <c r="BM91" s="388"/>
      <c r="BN91" s="388"/>
      <c r="BO91" s="388"/>
      <c r="BP91" s="388"/>
    </row>
    <row r="92" spans="1:68" s="479" customFormat="1" x14ac:dyDescent="0.2">
      <c r="A92" s="477"/>
      <c r="B92" s="388"/>
      <c r="C92" s="388"/>
      <c r="D92" s="388"/>
      <c r="E92" s="388"/>
      <c r="F92" s="388"/>
      <c r="G92" s="388"/>
      <c r="H92" s="388"/>
      <c r="I92" s="478"/>
      <c r="J92" s="191"/>
      <c r="K92" s="485"/>
      <c r="L92" s="2411"/>
      <c r="M92" s="2418"/>
      <c r="O92" s="478"/>
      <c r="P92" s="481"/>
      <c r="Q92" s="482"/>
      <c r="R92" s="480"/>
      <c r="S92" s="480"/>
      <c r="T92" s="480"/>
      <c r="U92" s="493"/>
      <c r="V92" s="493"/>
      <c r="W92" s="493"/>
      <c r="X92" s="484"/>
      <c r="Y92" s="480"/>
      <c r="Z92" s="388"/>
      <c r="AA92" s="388"/>
      <c r="AB92" s="388"/>
      <c r="AC92" s="388"/>
      <c r="AD92" s="388"/>
      <c r="AE92" s="388"/>
      <c r="AF92" s="388"/>
      <c r="AG92" s="388"/>
      <c r="AH92" s="388"/>
      <c r="AI92" s="388"/>
      <c r="AJ92" s="388"/>
      <c r="AK92" s="388"/>
      <c r="AL92" s="388"/>
      <c r="AM92" s="388"/>
      <c r="AN92" s="388"/>
      <c r="AO92" s="388"/>
      <c r="AP92" s="388"/>
      <c r="AQ92" s="388"/>
      <c r="AR92" s="388"/>
      <c r="AS92" s="388"/>
      <c r="AT92" s="388"/>
      <c r="AU92" s="388"/>
      <c r="AV92" s="388"/>
      <c r="AW92" s="388"/>
      <c r="AX92" s="388"/>
      <c r="AY92" s="388"/>
      <c r="AZ92" s="388"/>
      <c r="BA92" s="388"/>
      <c r="BB92" s="388"/>
      <c r="BC92" s="388"/>
      <c r="BD92" s="388"/>
      <c r="BE92" s="388"/>
      <c r="BF92" s="388"/>
      <c r="BG92" s="388"/>
      <c r="BH92" s="388"/>
      <c r="BI92" s="2414"/>
      <c r="BJ92" s="388"/>
      <c r="BK92" s="2415"/>
      <c r="BL92" s="388"/>
      <c r="BM92" s="388"/>
      <c r="BN92" s="388"/>
      <c r="BO92" s="388"/>
      <c r="BP92" s="388"/>
    </row>
    <row r="93" spans="1:68" s="479" customFormat="1" x14ac:dyDescent="0.2">
      <c r="A93" s="477"/>
      <c r="B93" s="388"/>
      <c r="C93" s="388"/>
      <c r="D93" s="388"/>
      <c r="E93" s="388"/>
      <c r="F93" s="388"/>
      <c r="G93" s="388"/>
      <c r="H93" s="388"/>
      <c r="I93" s="478"/>
      <c r="J93" s="191"/>
      <c r="K93" s="485"/>
      <c r="L93" s="2411"/>
      <c r="M93" s="2418"/>
      <c r="O93" s="478"/>
      <c r="P93" s="481"/>
      <c r="Q93" s="482"/>
      <c r="R93" s="480"/>
      <c r="S93" s="480"/>
      <c r="T93" s="480"/>
      <c r="U93" s="493"/>
      <c r="V93" s="493"/>
      <c r="W93" s="493"/>
      <c r="X93" s="484"/>
      <c r="Y93" s="480"/>
      <c r="Z93" s="388"/>
      <c r="AA93" s="388"/>
      <c r="AB93" s="388"/>
      <c r="AC93" s="388"/>
      <c r="AD93" s="388"/>
      <c r="AE93" s="388"/>
      <c r="AF93" s="388"/>
      <c r="AG93" s="388"/>
      <c r="AH93" s="388"/>
      <c r="AI93" s="388"/>
      <c r="AJ93" s="388"/>
      <c r="AK93" s="388"/>
      <c r="AL93" s="388"/>
      <c r="AM93" s="388"/>
      <c r="AN93" s="388"/>
      <c r="AO93" s="388"/>
      <c r="AP93" s="388"/>
      <c r="AQ93" s="388"/>
      <c r="AR93" s="388"/>
      <c r="AS93" s="388"/>
      <c r="AT93" s="388"/>
      <c r="AU93" s="388"/>
      <c r="AV93" s="388"/>
      <c r="AW93" s="388"/>
      <c r="AX93" s="388"/>
      <c r="AY93" s="388"/>
      <c r="AZ93" s="388"/>
      <c r="BA93" s="388"/>
      <c r="BB93" s="388"/>
      <c r="BC93" s="388"/>
      <c r="BD93" s="388"/>
      <c r="BE93" s="388"/>
      <c r="BF93" s="388"/>
      <c r="BG93" s="388"/>
      <c r="BH93" s="388"/>
      <c r="BI93" s="2414"/>
      <c r="BJ93" s="388"/>
      <c r="BK93" s="2415"/>
      <c r="BL93" s="388"/>
      <c r="BM93" s="388"/>
      <c r="BN93" s="388"/>
      <c r="BO93" s="388"/>
      <c r="BP93" s="388"/>
    </row>
    <row r="94" spans="1:68" s="479" customFormat="1" x14ac:dyDescent="0.2">
      <c r="A94" s="477"/>
      <c r="B94" s="388"/>
      <c r="C94" s="388"/>
      <c r="D94" s="388"/>
      <c r="E94" s="388"/>
      <c r="F94" s="388"/>
      <c r="G94" s="388"/>
      <c r="H94" s="388"/>
      <c r="I94" s="478"/>
      <c r="J94" s="191"/>
      <c r="K94" s="485"/>
      <c r="L94" s="2411"/>
      <c r="M94" s="2418"/>
      <c r="O94" s="478"/>
      <c r="P94" s="481"/>
      <c r="Q94" s="482"/>
      <c r="R94" s="480"/>
      <c r="S94" s="480"/>
      <c r="T94" s="480"/>
      <c r="U94" s="493"/>
      <c r="V94" s="493"/>
      <c r="W94" s="493"/>
      <c r="X94" s="484"/>
      <c r="Y94" s="480"/>
      <c r="Z94" s="388"/>
      <c r="AA94" s="388"/>
      <c r="AB94" s="388"/>
      <c r="AC94" s="388"/>
      <c r="AD94" s="388"/>
      <c r="AE94" s="388"/>
      <c r="AF94" s="388"/>
      <c r="AG94" s="388"/>
      <c r="AH94" s="388"/>
      <c r="AI94" s="388"/>
      <c r="AJ94" s="388"/>
      <c r="AK94" s="388"/>
      <c r="AL94" s="388"/>
      <c r="AM94" s="388"/>
      <c r="AN94" s="388"/>
      <c r="AO94" s="388"/>
      <c r="AP94" s="388"/>
      <c r="AQ94" s="388"/>
      <c r="AR94" s="388"/>
      <c r="AS94" s="388"/>
      <c r="AT94" s="388"/>
      <c r="AU94" s="388"/>
      <c r="AV94" s="388"/>
      <c r="AW94" s="388"/>
      <c r="AX94" s="388"/>
      <c r="AY94" s="388"/>
      <c r="AZ94" s="388"/>
      <c r="BA94" s="388"/>
      <c r="BB94" s="388"/>
      <c r="BC94" s="388"/>
      <c r="BD94" s="388"/>
      <c r="BE94" s="388"/>
      <c r="BF94" s="388"/>
      <c r="BG94" s="388"/>
      <c r="BH94" s="388"/>
      <c r="BI94" s="2414"/>
      <c r="BJ94" s="388"/>
      <c r="BK94" s="2415"/>
      <c r="BL94" s="388"/>
      <c r="BM94" s="388"/>
      <c r="BN94" s="388"/>
      <c r="BO94" s="388"/>
      <c r="BP94" s="388"/>
    </row>
    <row r="95" spans="1:68" s="479" customFormat="1" x14ac:dyDescent="0.2">
      <c r="A95" s="477"/>
      <c r="B95" s="388"/>
      <c r="C95" s="388"/>
      <c r="D95" s="388"/>
      <c r="E95" s="388"/>
      <c r="F95" s="388"/>
      <c r="G95" s="388"/>
      <c r="H95" s="388"/>
      <c r="I95" s="478"/>
      <c r="J95" s="191"/>
      <c r="K95" s="485"/>
      <c r="L95" s="2411"/>
      <c r="M95" s="2418"/>
      <c r="O95" s="478"/>
      <c r="P95" s="481"/>
      <c r="Q95" s="482"/>
      <c r="R95" s="480"/>
      <c r="S95" s="480"/>
      <c r="T95" s="480"/>
      <c r="U95" s="493"/>
      <c r="V95" s="493"/>
      <c r="W95" s="493"/>
      <c r="X95" s="484"/>
      <c r="Y95" s="480"/>
      <c r="Z95" s="388"/>
      <c r="AA95" s="388"/>
      <c r="AB95" s="388"/>
      <c r="AC95" s="388"/>
      <c r="AD95" s="388"/>
      <c r="AE95" s="388"/>
      <c r="AF95" s="388"/>
      <c r="AG95" s="388"/>
      <c r="AH95" s="388"/>
      <c r="AI95" s="388"/>
      <c r="AJ95" s="388"/>
      <c r="AK95" s="388"/>
      <c r="AL95" s="388"/>
      <c r="AM95" s="388"/>
      <c r="AN95" s="388"/>
      <c r="AO95" s="388"/>
      <c r="AP95" s="388"/>
      <c r="AQ95" s="388"/>
      <c r="AR95" s="388"/>
      <c r="AS95" s="388"/>
      <c r="AT95" s="388"/>
      <c r="AU95" s="388"/>
      <c r="AV95" s="388"/>
      <c r="AW95" s="388"/>
      <c r="AX95" s="388"/>
      <c r="AY95" s="388"/>
      <c r="AZ95" s="388"/>
      <c r="BA95" s="388"/>
      <c r="BB95" s="388"/>
      <c r="BC95" s="388"/>
      <c r="BD95" s="388"/>
      <c r="BE95" s="388"/>
      <c r="BF95" s="388"/>
      <c r="BG95" s="388"/>
      <c r="BH95" s="388"/>
      <c r="BI95" s="2414"/>
      <c r="BJ95" s="388"/>
      <c r="BK95" s="2415"/>
      <c r="BL95" s="388"/>
      <c r="BM95" s="388"/>
      <c r="BN95" s="388"/>
      <c r="BO95" s="388"/>
      <c r="BP95" s="388"/>
    </row>
    <row r="96" spans="1:68" s="479" customFormat="1" x14ac:dyDescent="0.2">
      <c r="A96" s="477"/>
      <c r="B96" s="388"/>
      <c r="C96" s="388"/>
      <c r="D96" s="388"/>
      <c r="E96" s="388"/>
      <c r="F96" s="388"/>
      <c r="G96" s="388"/>
      <c r="H96" s="388"/>
      <c r="I96" s="478"/>
      <c r="J96" s="191"/>
      <c r="K96" s="485"/>
      <c r="L96" s="2411"/>
      <c r="M96" s="2418"/>
      <c r="O96" s="478"/>
      <c r="P96" s="481"/>
      <c r="Q96" s="482"/>
      <c r="R96" s="480"/>
      <c r="S96" s="480"/>
      <c r="T96" s="480"/>
      <c r="U96" s="493"/>
      <c r="V96" s="493"/>
      <c r="W96" s="493"/>
      <c r="X96" s="484"/>
      <c r="Y96" s="480"/>
      <c r="Z96" s="388"/>
      <c r="AA96" s="388"/>
      <c r="AB96" s="388"/>
      <c r="AC96" s="388"/>
      <c r="AD96" s="388"/>
      <c r="AE96" s="388"/>
      <c r="AF96" s="388"/>
      <c r="AG96" s="388"/>
      <c r="AH96" s="388"/>
      <c r="AI96" s="388"/>
      <c r="AJ96" s="388"/>
      <c r="AK96" s="388"/>
      <c r="AL96" s="388"/>
      <c r="AM96" s="388"/>
      <c r="AN96" s="388"/>
      <c r="AO96" s="388"/>
      <c r="AP96" s="388"/>
      <c r="AQ96" s="388"/>
      <c r="AR96" s="388"/>
      <c r="AS96" s="388"/>
      <c r="AT96" s="388"/>
      <c r="AU96" s="388"/>
      <c r="AV96" s="388"/>
      <c r="AW96" s="388"/>
      <c r="AX96" s="388"/>
      <c r="AY96" s="388"/>
      <c r="AZ96" s="388"/>
      <c r="BA96" s="388"/>
      <c r="BB96" s="388"/>
      <c r="BC96" s="388"/>
      <c r="BD96" s="388"/>
      <c r="BE96" s="388"/>
      <c r="BF96" s="388"/>
      <c r="BG96" s="388"/>
      <c r="BH96" s="388"/>
      <c r="BI96" s="2414"/>
      <c r="BJ96" s="388"/>
      <c r="BK96" s="2415"/>
      <c r="BL96" s="388"/>
      <c r="BM96" s="388"/>
      <c r="BN96" s="388"/>
      <c r="BO96" s="388"/>
      <c r="BP96" s="388"/>
    </row>
    <row r="97" spans="1:68" s="479" customFormat="1" x14ac:dyDescent="0.2">
      <c r="A97" s="477"/>
      <c r="B97" s="388"/>
      <c r="C97" s="388"/>
      <c r="D97" s="388"/>
      <c r="E97" s="388"/>
      <c r="F97" s="388"/>
      <c r="G97" s="388"/>
      <c r="H97" s="388"/>
      <c r="I97" s="478"/>
      <c r="J97" s="191"/>
      <c r="K97" s="485"/>
      <c r="L97" s="2411"/>
      <c r="M97" s="2418"/>
      <c r="O97" s="478"/>
      <c r="P97" s="481"/>
      <c r="Q97" s="482"/>
      <c r="R97" s="480"/>
      <c r="S97" s="480"/>
      <c r="T97" s="480"/>
      <c r="U97" s="493"/>
      <c r="V97" s="493"/>
      <c r="W97" s="493"/>
      <c r="X97" s="484"/>
      <c r="Y97" s="480"/>
      <c r="Z97" s="388"/>
      <c r="AA97" s="388"/>
      <c r="AB97" s="388"/>
      <c r="AC97" s="388"/>
      <c r="AD97" s="388"/>
      <c r="AE97" s="388"/>
      <c r="AF97" s="388"/>
      <c r="AG97" s="388"/>
      <c r="AH97" s="388"/>
      <c r="AI97" s="388"/>
      <c r="AJ97" s="388"/>
      <c r="AK97" s="388"/>
      <c r="AL97" s="388"/>
      <c r="AM97" s="388"/>
      <c r="AN97" s="388"/>
      <c r="AO97" s="388"/>
      <c r="AP97" s="388"/>
      <c r="AQ97" s="388"/>
      <c r="AR97" s="388"/>
      <c r="AS97" s="388"/>
      <c r="AT97" s="388"/>
      <c r="AU97" s="388"/>
      <c r="AV97" s="388"/>
      <c r="AW97" s="388"/>
      <c r="AX97" s="388"/>
      <c r="AY97" s="388"/>
      <c r="AZ97" s="388"/>
      <c r="BA97" s="388"/>
      <c r="BB97" s="388"/>
      <c r="BC97" s="388"/>
      <c r="BD97" s="388"/>
      <c r="BE97" s="388"/>
      <c r="BF97" s="388"/>
      <c r="BG97" s="388"/>
      <c r="BH97" s="388"/>
      <c r="BI97" s="2414"/>
      <c r="BJ97" s="388"/>
      <c r="BK97" s="2415"/>
      <c r="BL97" s="388"/>
      <c r="BM97" s="388"/>
      <c r="BN97" s="388"/>
      <c r="BO97" s="388"/>
      <c r="BP97" s="388"/>
    </row>
    <row r="98" spans="1:68" s="479" customFormat="1" x14ac:dyDescent="0.2">
      <c r="A98" s="477"/>
      <c r="B98" s="388"/>
      <c r="C98" s="388"/>
      <c r="D98" s="388"/>
      <c r="E98" s="388"/>
      <c r="F98" s="388"/>
      <c r="G98" s="388"/>
      <c r="H98" s="388"/>
      <c r="I98" s="478"/>
      <c r="J98" s="191"/>
      <c r="K98" s="485"/>
      <c r="L98" s="2411"/>
      <c r="M98" s="2418"/>
      <c r="O98" s="478"/>
      <c r="P98" s="481"/>
      <c r="Q98" s="482"/>
      <c r="R98" s="480"/>
      <c r="S98" s="480"/>
      <c r="T98" s="480"/>
      <c r="U98" s="493"/>
      <c r="V98" s="493"/>
      <c r="W98" s="493"/>
      <c r="X98" s="484"/>
      <c r="Y98" s="480"/>
      <c r="Z98" s="388"/>
      <c r="AA98" s="388"/>
      <c r="AB98" s="388"/>
      <c r="AC98" s="388"/>
      <c r="AD98" s="388"/>
      <c r="AE98" s="388"/>
      <c r="AF98" s="388"/>
      <c r="AG98" s="388"/>
      <c r="AH98" s="388"/>
      <c r="AI98" s="388"/>
      <c r="AJ98" s="388"/>
      <c r="AK98" s="388"/>
      <c r="AL98" s="388"/>
      <c r="AM98" s="388"/>
      <c r="AN98" s="388"/>
      <c r="AO98" s="388"/>
      <c r="AP98" s="388"/>
      <c r="AQ98" s="388"/>
      <c r="AR98" s="388"/>
      <c r="AS98" s="388"/>
      <c r="AT98" s="388"/>
      <c r="AU98" s="388"/>
      <c r="AV98" s="388"/>
      <c r="AW98" s="388"/>
      <c r="AX98" s="388"/>
      <c r="AY98" s="388"/>
      <c r="AZ98" s="388"/>
      <c r="BA98" s="388"/>
      <c r="BB98" s="388"/>
      <c r="BC98" s="388"/>
      <c r="BD98" s="388"/>
      <c r="BE98" s="388"/>
      <c r="BF98" s="388"/>
      <c r="BG98" s="388"/>
      <c r="BH98" s="388"/>
      <c r="BI98" s="2414"/>
      <c r="BJ98" s="388"/>
      <c r="BK98" s="2415"/>
      <c r="BL98" s="388"/>
      <c r="BM98" s="388"/>
      <c r="BN98" s="388"/>
      <c r="BO98" s="388"/>
      <c r="BP98" s="388"/>
    </row>
    <row r="99" spans="1:68" s="479" customFormat="1" x14ac:dyDescent="0.2">
      <c r="A99" s="477"/>
      <c r="B99" s="388"/>
      <c r="C99" s="388"/>
      <c r="D99" s="388"/>
      <c r="E99" s="388"/>
      <c r="F99" s="388"/>
      <c r="G99" s="388"/>
      <c r="H99" s="388"/>
      <c r="I99" s="478"/>
      <c r="J99" s="191"/>
      <c r="K99" s="485"/>
      <c r="L99" s="2411"/>
      <c r="M99" s="2418"/>
      <c r="O99" s="478"/>
      <c r="P99" s="481"/>
      <c r="Q99" s="482"/>
      <c r="R99" s="480"/>
      <c r="S99" s="480"/>
      <c r="T99" s="480"/>
      <c r="U99" s="493"/>
      <c r="V99" s="493"/>
      <c r="W99" s="493"/>
      <c r="X99" s="484"/>
      <c r="Y99" s="480"/>
      <c r="Z99" s="388"/>
      <c r="AA99" s="388"/>
      <c r="AB99" s="388"/>
      <c r="AC99" s="388"/>
      <c r="AD99" s="388"/>
      <c r="AE99" s="388"/>
      <c r="AF99" s="388"/>
      <c r="AG99" s="388"/>
      <c r="AH99" s="388"/>
      <c r="AI99" s="388"/>
      <c r="AJ99" s="388"/>
      <c r="AK99" s="388"/>
      <c r="AL99" s="388"/>
      <c r="AM99" s="388"/>
      <c r="AN99" s="388"/>
      <c r="AO99" s="388"/>
      <c r="AP99" s="388"/>
      <c r="AQ99" s="388"/>
      <c r="AR99" s="388"/>
      <c r="AS99" s="388"/>
      <c r="AT99" s="388"/>
      <c r="AU99" s="388"/>
      <c r="AV99" s="388"/>
      <c r="AW99" s="388"/>
      <c r="AX99" s="388"/>
      <c r="AY99" s="388"/>
      <c r="AZ99" s="388"/>
      <c r="BA99" s="388"/>
      <c r="BB99" s="388"/>
      <c r="BC99" s="388"/>
      <c r="BD99" s="388"/>
      <c r="BE99" s="388"/>
      <c r="BF99" s="388"/>
      <c r="BG99" s="388"/>
      <c r="BH99" s="388"/>
      <c r="BI99" s="2414"/>
      <c r="BJ99" s="388"/>
      <c r="BK99" s="2415"/>
      <c r="BL99" s="388"/>
      <c r="BM99" s="388"/>
      <c r="BN99" s="388"/>
      <c r="BO99" s="388"/>
      <c r="BP99" s="388"/>
    </row>
    <row r="100" spans="1:68" s="479" customFormat="1" x14ac:dyDescent="0.2">
      <c r="A100" s="477"/>
      <c r="B100" s="388"/>
      <c r="C100" s="388"/>
      <c r="D100" s="388"/>
      <c r="E100" s="388"/>
      <c r="F100" s="388"/>
      <c r="G100" s="388"/>
      <c r="H100" s="388"/>
      <c r="I100" s="478"/>
      <c r="J100" s="191"/>
      <c r="K100" s="485"/>
      <c r="L100" s="2411"/>
      <c r="M100" s="2418"/>
      <c r="O100" s="478"/>
      <c r="P100" s="481"/>
      <c r="Q100" s="482"/>
      <c r="R100" s="480"/>
      <c r="S100" s="480"/>
      <c r="T100" s="480"/>
      <c r="U100" s="493"/>
      <c r="V100" s="493"/>
      <c r="W100" s="493"/>
      <c r="X100" s="484"/>
      <c r="Y100" s="480"/>
      <c r="Z100" s="388"/>
      <c r="AA100" s="388"/>
      <c r="AB100" s="388"/>
      <c r="AC100" s="388"/>
      <c r="AD100" s="388"/>
      <c r="AE100" s="388"/>
      <c r="AF100" s="388"/>
      <c r="AG100" s="388"/>
      <c r="AH100" s="388"/>
      <c r="AI100" s="388"/>
      <c r="AJ100" s="388"/>
      <c r="AK100" s="388"/>
      <c r="AL100" s="388"/>
      <c r="AM100" s="388"/>
      <c r="AN100" s="388"/>
      <c r="AO100" s="388"/>
      <c r="AP100" s="388"/>
      <c r="AQ100" s="388"/>
      <c r="AR100" s="388"/>
      <c r="AS100" s="388"/>
      <c r="AT100" s="388"/>
      <c r="AU100" s="388"/>
      <c r="AV100" s="388"/>
      <c r="AW100" s="388"/>
      <c r="AX100" s="388"/>
      <c r="AY100" s="388"/>
      <c r="AZ100" s="388"/>
      <c r="BA100" s="388"/>
      <c r="BB100" s="388"/>
      <c r="BC100" s="388"/>
      <c r="BD100" s="388"/>
      <c r="BE100" s="388"/>
      <c r="BF100" s="388"/>
      <c r="BG100" s="388"/>
      <c r="BH100" s="388"/>
      <c r="BI100" s="2414"/>
      <c r="BJ100" s="388"/>
      <c r="BK100" s="2415"/>
      <c r="BL100" s="388"/>
      <c r="BM100" s="388"/>
      <c r="BN100" s="388"/>
      <c r="BO100" s="388"/>
      <c r="BP100" s="388"/>
    </row>
    <row r="101" spans="1:68" s="479" customFormat="1" x14ac:dyDescent="0.2">
      <c r="A101" s="477"/>
      <c r="B101" s="388"/>
      <c r="C101" s="388"/>
      <c r="D101" s="388"/>
      <c r="E101" s="388"/>
      <c r="F101" s="388"/>
      <c r="G101" s="388"/>
      <c r="H101" s="388"/>
      <c r="I101" s="478"/>
      <c r="J101" s="191"/>
      <c r="K101" s="485"/>
      <c r="L101" s="2411"/>
      <c r="M101" s="2418"/>
      <c r="O101" s="478"/>
      <c r="P101" s="481"/>
      <c r="Q101" s="482"/>
      <c r="R101" s="480"/>
      <c r="S101" s="480"/>
      <c r="T101" s="480"/>
      <c r="U101" s="493"/>
      <c r="V101" s="493"/>
      <c r="W101" s="493"/>
      <c r="X101" s="484"/>
      <c r="Y101" s="480"/>
      <c r="Z101" s="388"/>
      <c r="AA101" s="388"/>
      <c r="AB101" s="388"/>
      <c r="AC101" s="388"/>
      <c r="AD101" s="388"/>
      <c r="AE101" s="388"/>
      <c r="AF101" s="388"/>
      <c r="AG101" s="388"/>
      <c r="AH101" s="388"/>
      <c r="AI101" s="388"/>
      <c r="AJ101" s="388"/>
      <c r="AK101" s="388"/>
      <c r="AL101" s="388"/>
      <c r="AM101" s="388"/>
      <c r="AN101" s="388"/>
      <c r="AO101" s="388"/>
      <c r="AP101" s="388"/>
      <c r="AQ101" s="388"/>
      <c r="AR101" s="388"/>
      <c r="AS101" s="388"/>
      <c r="AT101" s="388"/>
      <c r="AU101" s="388"/>
      <c r="AV101" s="388"/>
      <c r="AW101" s="388"/>
      <c r="AX101" s="388"/>
      <c r="AY101" s="388"/>
      <c r="AZ101" s="388"/>
      <c r="BA101" s="388"/>
      <c r="BB101" s="388"/>
      <c r="BC101" s="388"/>
      <c r="BD101" s="388"/>
      <c r="BE101" s="388"/>
      <c r="BF101" s="388"/>
      <c r="BG101" s="388"/>
      <c r="BH101" s="388"/>
      <c r="BI101" s="2414"/>
      <c r="BJ101" s="388"/>
      <c r="BK101" s="2415"/>
      <c r="BL101" s="388"/>
      <c r="BM101" s="388"/>
      <c r="BN101" s="388"/>
      <c r="BO101" s="388"/>
      <c r="BP101" s="388"/>
    </row>
    <row r="102" spans="1:68" s="479" customFormat="1" x14ac:dyDescent="0.2">
      <c r="A102" s="477"/>
      <c r="B102" s="388"/>
      <c r="C102" s="388"/>
      <c r="D102" s="388"/>
      <c r="E102" s="388"/>
      <c r="F102" s="388"/>
      <c r="G102" s="388"/>
      <c r="H102" s="388"/>
      <c r="I102" s="478"/>
      <c r="J102" s="191"/>
      <c r="K102" s="485"/>
      <c r="L102" s="2411"/>
      <c r="M102" s="2418"/>
      <c r="O102" s="478"/>
      <c r="P102" s="481"/>
      <c r="Q102" s="482"/>
      <c r="R102" s="480"/>
      <c r="S102" s="480"/>
      <c r="T102" s="480"/>
      <c r="U102" s="493"/>
      <c r="V102" s="493"/>
      <c r="W102" s="493"/>
      <c r="X102" s="484"/>
      <c r="Y102" s="480"/>
      <c r="Z102" s="388"/>
      <c r="AA102" s="388"/>
      <c r="AB102" s="388"/>
      <c r="AC102" s="388"/>
      <c r="AD102" s="388"/>
      <c r="AE102" s="388"/>
      <c r="AF102" s="388"/>
      <c r="AG102" s="388"/>
      <c r="AH102" s="388"/>
      <c r="AI102" s="388"/>
      <c r="AJ102" s="388"/>
      <c r="AK102" s="388"/>
      <c r="AL102" s="388"/>
      <c r="AM102" s="388"/>
      <c r="AN102" s="388"/>
      <c r="AO102" s="388"/>
      <c r="AP102" s="388"/>
      <c r="AQ102" s="388"/>
      <c r="AR102" s="388"/>
      <c r="AS102" s="388"/>
      <c r="AT102" s="388"/>
      <c r="AU102" s="388"/>
      <c r="AV102" s="388"/>
      <c r="AW102" s="388"/>
      <c r="AX102" s="388"/>
      <c r="AY102" s="388"/>
      <c r="AZ102" s="388"/>
      <c r="BA102" s="388"/>
      <c r="BB102" s="388"/>
      <c r="BC102" s="388"/>
      <c r="BD102" s="388"/>
      <c r="BE102" s="388"/>
      <c r="BF102" s="388"/>
      <c r="BG102" s="388"/>
      <c r="BH102" s="388"/>
      <c r="BI102" s="2414"/>
      <c r="BJ102" s="388"/>
      <c r="BK102" s="2415"/>
      <c r="BL102" s="388"/>
      <c r="BM102" s="388"/>
      <c r="BN102" s="388"/>
      <c r="BO102" s="388"/>
      <c r="BP102" s="388"/>
    </row>
    <row r="103" spans="1:68" s="479" customFormat="1" x14ac:dyDescent="0.2">
      <c r="A103" s="477"/>
      <c r="B103" s="388"/>
      <c r="C103" s="388"/>
      <c r="D103" s="388"/>
      <c r="E103" s="388"/>
      <c r="F103" s="388"/>
      <c r="G103" s="388"/>
      <c r="H103" s="388"/>
      <c r="I103" s="478"/>
      <c r="J103" s="191"/>
      <c r="K103" s="485"/>
      <c r="L103" s="2411"/>
      <c r="M103" s="2418"/>
      <c r="O103" s="478"/>
      <c r="P103" s="481"/>
      <c r="Q103" s="482"/>
      <c r="R103" s="480"/>
      <c r="S103" s="480"/>
      <c r="T103" s="480"/>
      <c r="U103" s="493"/>
      <c r="V103" s="493"/>
      <c r="W103" s="493"/>
      <c r="X103" s="484"/>
      <c r="Y103" s="480"/>
      <c r="Z103" s="388"/>
      <c r="AA103" s="388"/>
      <c r="AB103" s="388"/>
      <c r="AC103" s="388"/>
      <c r="AD103" s="388"/>
      <c r="AE103" s="388"/>
      <c r="AF103" s="388"/>
      <c r="AG103" s="388"/>
      <c r="AH103" s="388"/>
      <c r="AI103" s="388"/>
      <c r="AJ103" s="388"/>
      <c r="AK103" s="388"/>
      <c r="AL103" s="388"/>
      <c r="AM103" s="388"/>
      <c r="AN103" s="388"/>
      <c r="AO103" s="388"/>
      <c r="AP103" s="388"/>
      <c r="AQ103" s="388"/>
      <c r="AR103" s="388"/>
      <c r="AS103" s="388"/>
      <c r="AT103" s="388"/>
      <c r="AU103" s="388"/>
      <c r="AV103" s="388"/>
      <c r="AW103" s="388"/>
      <c r="AX103" s="388"/>
      <c r="AY103" s="388"/>
      <c r="AZ103" s="388"/>
      <c r="BA103" s="388"/>
      <c r="BB103" s="388"/>
      <c r="BC103" s="388"/>
      <c r="BD103" s="388"/>
      <c r="BE103" s="388"/>
      <c r="BF103" s="388"/>
      <c r="BG103" s="388"/>
      <c r="BH103" s="388"/>
      <c r="BI103" s="2414"/>
      <c r="BJ103" s="388"/>
      <c r="BK103" s="2415"/>
      <c r="BL103" s="388"/>
      <c r="BM103" s="388"/>
      <c r="BN103" s="388"/>
      <c r="BO103" s="388"/>
      <c r="BP103" s="388"/>
    </row>
    <row r="104" spans="1:68" s="479" customFormat="1" x14ac:dyDescent="0.2">
      <c r="A104" s="477"/>
      <c r="B104" s="388"/>
      <c r="C104" s="388"/>
      <c r="D104" s="388"/>
      <c r="E104" s="388"/>
      <c r="F104" s="388"/>
      <c r="G104" s="388"/>
      <c r="H104" s="388"/>
      <c r="I104" s="478"/>
      <c r="J104" s="191"/>
      <c r="K104" s="485"/>
      <c r="L104" s="2411"/>
      <c r="M104" s="2418"/>
      <c r="O104" s="478"/>
      <c r="P104" s="481"/>
      <c r="Q104" s="482"/>
      <c r="R104" s="480"/>
      <c r="S104" s="480"/>
      <c r="T104" s="480"/>
      <c r="U104" s="493"/>
      <c r="V104" s="493"/>
      <c r="W104" s="493"/>
      <c r="X104" s="484"/>
      <c r="Y104" s="480"/>
      <c r="Z104" s="388"/>
      <c r="AA104" s="388"/>
      <c r="AB104" s="388"/>
      <c r="AC104" s="388"/>
      <c r="AD104" s="388"/>
      <c r="AE104" s="388"/>
      <c r="AF104" s="388"/>
      <c r="AG104" s="388"/>
      <c r="AH104" s="388"/>
      <c r="AI104" s="388"/>
      <c r="AJ104" s="388"/>
      <c r="AK104" s="388"/>
      <c r="AL104" s="388"/>
      <c r="AM104" s="388"/>
      <c r="AN104" s="388"/>
      <c r="AO104" s="388"/>
      <c r="AP104" s="388"/>
      <c r="AQ104" s="388"/>
      <c r="AR104" s="388"/>
      <c r="AS104" s="388"/>
      <c r="AT104" s="388"/>
      <c r="AU104" s="388"/>
      <c r="AV104" s="388"/>
      <c r="AW104" s="388"/>
      <c r="AX104" s="388"/>
      <c r="AY104" s="388"/>
      <c r="AZ104" s="388"/>
      <c r="BA104" s="388"/>
      <c r="BB104" s="388"/>
      <c r="BC104" s="388"/>
      <c r="BD104" s="388"/>
      <c r="BE104" s="388"/>
      <c r="BF104" s="388"/>
      <c r="BG104" s="388"/>
      <c r="BH104" s="388"/>
      <c r="BI104" s="2414"/>
      <c r="BJ104" s="388"/>
      <c r="BK104" s="2415"/>
      <c r="BL104" s="388"/>
      <c r="BM104" s="388"/>
      <c r="BN104" s="388"/>
      <c r="BO104" s="388"/>
      <c r="BP104" s="388"/>
    </row>
    <row r="105" spans="1:68" s="479" customFormat="1" x14ac:dyDescent="0.2">
      <c r="A105" s="477"/>
      <c r="B105" s="388"/>
      <c r="C105" s="388"/>
      <c r="D105" s="388"/>
      <c r="E105" s="388"/>
      <c r="F105" s="388"/>
      <c r="G105" s="388"/>
      <c r="H105" s="388"/>
      <c r="I105" s="478"/>
      <c r="J105" s="191"/>
      <c r="K105" s="485"/>
      <c r="L105" s="2411"/>
      <c r="M105" s="2418"/>
      <c r="O105" s="478"/>
      <c r="P105" s="481"/>
      <c r="Q105" s="482"/>
      <c r="R105" s="480"/>
      <c r="S105" s="480"/>
      <c r="T105" s="480"/>
      <c r="U105" s="493"/>
      <c r="V105" s="493"/>
      <c r="W105" s="493"/>
      <c r="X105" s="484"/>
      <c r="Y105" s="480"/>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2414"/>
      <c r="BJ105" s="388"/>
      <c r="BK105" s="2415"/>
      <c r="BL105" s="388"/>
      <c r="BM105" s="388"/>
      <c r="BN105" s="388"/>
      <c r="BO105" s="388"/>
      <c r="BP105" s="388"/>
    </row>
    <row r="106" spans="1:68" s="479" customFormat="1" x14ac:dyDescent="0.2">
      <c r="A106" s="477"/>
      <c r="B106" s="388"/>
      <c r="C106" s="388"/>
      <c r="D106" s="388"/>
      <c r="E106" s="388"/>
      <c r="F106" s="388"/>
      <c r="G106" s="388"/>
      <c r="H106" s="388"/>
      <c r="I106" s="478"/>
      <c r="J106" s="191"/>
      <c r="K106" s="485"/>
      <c r="L106" s="2411"/>
      <c r="M106" s="2418"/>
      <c r="O106" s="478"/>
      <c r="P106" s="481"/>
      <c r="Q106" s="482"/>
      <c r="R106" s="480"/>
      <c r="S106" s="480"/>
      <c r="T106" s="480"/>
      <c r="U106" s="493"/>
      <c r="V106" s="493"/>
      <c r="W106" s="493"/>
      <c r="X106" s="484"/>
      <c r="Y106" s="480"/>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2414"/>
      <c r="BJ106" s="388"/>
      <c r="BK106" s="2415"/>
      <c r="BL106" s="388"/>
      <c r="BM106" s="388"/>
      <c r="BN106" s="388"/>
      <c r="BO106" s="388"/>
      <c r="BP106" s="388"/>
    </row>
    <row r="107" spans="1:68" s="479" customFormat="1" x14ac:dyDescent="0.2">
      <c r="A107" s="477"/>
      <c r="B107" s="388"/>
      <c r="C107" s="388"/>
      <c r="D107" s="388"/>
      <c r="E107" s="388"/>
      <c r="F107" s="388"/>
      <c r="G107" s="388"/>
      <c r="H107" s="388"/>
      <c r="I107" s="478"/>
      <c r="J107" s="191"/>
      <c r="K107" s="485"/>
      <c r="L107" s="2411"/>
      <c r="M107" s="2418"/>
      <c r="O107" s="478"/>
      <c r="P107" s="481"/>
      <c r="Q107" s="482"/>
      <c r="R107" s="480"/>
      <c r="S107" s="480"/>
      <c r="T107" s="480"/>
      <c r="U107" s="493"/>
      <c r="V107" s="493"/>
      <c r="W107" s="493"/>
      <c r="X107" s="484"/>
      <c r="Y107" s="480"/>
      <c r="Z107" s="388"/>
      <c r="AA107" s="388"/>
      <c r="AB107" s="388"/>
      <c r="AC107" s="388"/>
      <c r="AD107" s="388"/>
      <c r="AE107" s="388"/>
      <c r="AF107" s="388"/>
      <c r="AG107" s="388"/>
      <c r="AH107" s="388"/>
      <c r="AI107" s="388"/>
      <c r="AJ107" s="388"/>
      <c r="AK107" s="388"/>
      <c r="AL107" s="388"/>
      <c r="AM107" s="388"/>
      <c r="AN107" s="388"/>
      <c r="AO107" s="388"/>
      <c r="AP107" s="388"/>
      <c r="AQ107" s="388"/>
      <c r="AR107" s="388"/>
      <c r="AS107" s="388"/>
      <c r="AT107" s="388"/>
      <c r="AU107" s="388"/>
      <c r="AV107" s="388"/>
      <c r="AW107" s="388"/>
      <c r="AX107" s="388"/>
      <c r="AY107" s="388"/>
      <c r="AZ107" s="388"/>
      <c r="BA107" s="388"/>
      <c r="BB107" s="388"/>
      <c r="BC107" s="388"/>
      <c r="BD107" s="388"/>
      <c r="BE107" s="388"/>
      <c r="BF107" s="388"/>
      <c r="BG107" s="388"/>
      <c r="BH107" s="388"/>
      <c r="BI107" s="2414"/>
      <c r="BJ107" s="388"/>
      <c r="BK107" s="2415"/>
      <c r="BL107" s="388"/>
      <c r="BM107" s="388"/>
      <c r="BN107" s="388"/>
      <c r="BO107" s="388"/>
      <c r="BP107" s="388"/>
    </row>
    <row r="108" spans="1:68" s="479" customFormat="1" x14ac:dyDescent="0.2">
      <c r="A108" s="477"/>
      <c r="B108" s="388"/>
      <c r="C108" s="388"/>
      <c r="D108" s="388"/>
      <c r="E108" s="388"/>
      <c r="F108" s="388"/>
      <c r="G108" s="388"/>
      <c r="H108" s="388"/>
      <c r="I108" s="478"/>
      <c r="J108" s="191"/>
      <c r="K108" s="485"/>
      <c r="L108" s="2411"/>
      <c r="M108" s="2418"/>
      <c r="O108" s="478"/>
      <c r="P108" s="481"/>
      <c r="Q108" s="482"/>
      <c r="R108" s="480"/>
      <c r="S108" s="480"/>
      <c r="T108" s="480"/>
      <c r="U108" s="493"/>
      <c r="V108" s="493"/>
      <c r="W108" s="493"/>
      <c r="X108" s="484"/>
      <c r="Y108" s="480"/>
      <c r="Z108" s="388"/>
      <c r="AA108" s="388"/>
      <c r="AB108" s="388"/>
      <c r="AC108" s="388"/>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88"/>
      <c r="AY108" s="388"/>
      <c r="AZ108" s="388"/>
      <c r="BA108" s="388"/>
      <c r="BB108" s="388"/>
      <c r="BC108" s="388"/>
      <c r="BD108" s="388"/>
      <c r="BE108" s="388"/>
      <c r="BF108" s="388"/>
      <c r="BG108" s="388"/>
      <c r="BH108" s="388"/>
      <c r="BI108" s="2414"/>
      <c r="BJ108" s="388"/>
      <c r="BK108" s="2415"/>
      <c r="BL108" s="388"/>
      <c r="BM108" s="388"/>
      <c r="BN108" s="388"/>
      <c r="BO108" s="388"/>
      <c r="BP108" s="388"/>
    </row>
    <row r="109" spans="1:68" s="479" customFormat="1" x14ac:dyDescent="0.2">
      <c r="A109" s="477"/>
      <c r="B109" s="388"/>
      <c r="C109" s="388"/>
      <c r="D109" s="388"/>
      <c r="E109" s="388"/>
      <c r="F109" s="388"/>
      <c r="G109" s="388"/>
      <c r="H109" s="388"/>
      <c r="I109" s="478"/>
      <c r="J109" s="191"/>
      <c r="K109" s="485"/>
      <c r="L109" s="2411"/>
      <c r="M109" s="2418"/>
      <c r="O109" s="478"/>
      <c r="P109" s="481"/>
      <c r="Q109" s="482"/>
      <c r="R109" s="480"/>
      <c r="S109" s="480"/>
      <c r="T109" s="480"/>
      <c r="U109" s="493"/>
      <c r="V109" s="493"/>
      <c r="W109" s="493"/>
      <c r="X109" s="484"/>
      <c r="Y109" s="480"/>
      <c r="Z109" s="388"/>
      <c r="AA109" s="388"/>
      <c r="AB109" s="388"/>
      <c r="AC109" s="388"/>
      <c r="AD109" s="388"/>
      <c r="AE109" s="388"/>
      <c r="AF109" s="388"/>
      <c r="AG109" s="388"/>
      <c r="AH109" s="388"/>
      <c r="AI109" s="388"/>
      <c r="AJ109" s="388"/>
      <c r="AK109" s="388"/>
      <c r="AL109" s="388"/>
      <c r="AM109" s="388"/>
      <c r="AN109" s="388"/>
      <c r="AO109" s="388"/>
      <c r="AP109" s="388"/>
      <c r="AQ109" s="388"/>
      <c r="AR109" s="388"/>
      <c r="AS109" s="388"/>
      <c r="AT109" s="388"/>
      <c r="AU109" s="388"/>
      <c r="AV109" s="388"/>
      <c r="AW109" s="388"/>
      <c r="AX109" s="388"/>
      <c r="AY109" s="388"/>
      <c r="AZ109" s="388"/>
      <c r="BA109" s="388"/>
      <c r="BB109" s="388"/>
      <c r="BC109" s="388"/>
      <c r="BD109" s="388"/>
      <c r="BE109" s="388"/>
      <c r="BF109" s="388"/>
      <c r="BG109" s="388"/>
      <c r="BH109" s="388"/>
      <c r="BI109" s="2414"/>
      <c r="BJ109" s="388"/>
      <c r="BK109" s="2415"/>
      <c r="BL109" s="388"/>
      <c r="BM109" s="388"/>
      <c r="BN109" s="388"/>
      <c r="BO109" s="388"/>
      <c r="BP109" s="388"/>
    </row>
    <row r="110" spans="1:68" s="479" customFormat="1" x14ac:dyDescent="0.2">
      <c r="A110" s="477"/>
      <c r="B110" s="388"/>
      <c r="C110" s="388"/>
      <c r="D110" s="388"/>
      <c r="E110" s="388"/>
      <c r="F110" s="388"/>
      <c r="G110" s="388"/>
      <c r="H110" s="388"/>
      <c r="I110" s="478"/>
      <c r="J110" s="191"/>
      <c r="K110" s="485"/>
      <c r="L110" s="2411"/>
      <c r="M110" s="2418"/>
      <c r="O110" s="478"/>
      <c r="P110" s="481"/>
      <c r="Q110" s="482"/>
      <c r="R110" s="480"/>
      <c r="S110" s="480"/>
      <c r="T110" s="480"/>
      <c r="U110" s="493"/>
      <c r="V110" s="493"/>
      <c r="W110" s="493"/>
      <c r="X110" s="484"/>
      <c r="Y110" s="480"/>
      <c r="Z110" s="388"/>
      <c r="AA110" s="388"/>
      <c r="AB110" s="388"/>
      <c r="AC110" s="388"/>
      <c r="AD110" s="388"/>
      <c r="AE110" s="388"/>
      <c r="AF110" s="388"/>
      <c r="AG110" s="388"/>
      <c r="AH110" s="388"/>
      <c r="AI110" s="388"/>
      <c r="AJ110" s="388"/>
      <c r="AK110" s="388"/>
      <c r="AL110" s="388"/>
      <c r="AM110" s="388"/>
      <c r="AN110" s="388"/>
      <c r="AO110" s="388"/>
      <c r="AP110" s="388"/>
      <c r="AQ110" s="388"/>
      <c r="AR110" s="388"/>
      <c r="AS110" s="388"/>
      <c r="AT110" s="388"/>
      <c r="AU110" s="388"/>
      <c r="AV110" s="388"/>
      <c r="AW110" s="388"/>
      <c r="AX110" s="388"/>
      <c r="AY110" s="388"/>
      <c r="AZ110" s="388"/>
      <c r="BA110" s="388"/>
      <c r="BB110" s="388"/>
      <c r="BC110" s="388"/>
      <c r="BD110" s="388"/>
      <c r="BE110" s="388"/>
      <c r="BF110" s="388"/>
      <c r="BG110" s="388"/>
      <c r="BH110" s="388"/>
      <c r="BI110" s="2414"/>
      <c r="BJ110" s="388"/>
      <c r="BK110" s="2415"/>
      <c r="BL110" s="388"/>
      <c r="BM110" s="388"/>
      <c r="BN110" s="388"/>
      <c r="BO110" s="388"/>
      <c r="BP110" s="388"/>
    </row>
    <row r="111" spans="1:68" s="479" customFormat="1" x14ac:dyDescent="0.2">
      <c r="A111" s="477"/>
      <c r="B111" s="388"/>
      <c r="C111" s="388"/>
      <c r="D111" s="388"/>
      <c r="E111" s="388"/>
      <c r="F111" s="388"/>
      <c r="G111" s="388"/>
      <c r="H111" s="388"/>
      <c r="I111" s="478"/>
      <c r="J111" s="191"/>
      <c r="K111" s="485"/>
      <c r="L111" s="2411"/>
      <c r="M111" s="2418"/>
      <c r="O111" s="478"/>
      <c r="P111" s="481"/>
      <c r="Q111" s="482"/>
      <c r="R111" s="480"/>
      <c r="S111" s="480"/>
      <c r="T111" s="480"/>
      <c r="U111" s="493"/>
      <c r="V111" s="493"/>
      <c r="W111" s="493"/>
      <c r="X111" s="484"/>
      <c r="Y111" s="480"/>
      <c r="Z111" s="388"/>
      <c r="AA111" s="388"/>
      <c r="AB111" s="388"/>
      <c r="AC111" s="388"/>
      <c r="AD111" s="388"/>
      <c r="AE111" s="388"/>
      <c r="AF111" s="388"/>
      <c r="AG111" s="388"/>
      <c r="AH111" s="388"/>
      <c r="AI111" s="388"/>
      <c r="AJ111" s="388"/>
      <c r="AK111" s="388"/>
      <c r="AL111" s="388"/>
      <c r="AM111" s="388"/>
      <c r="AN111" s="388"/>
      <c r="AO111" s="388"/>
      <c r="AP111" s="388"/>
      <c r="AQ111" s="388"/>
      <c r="AR111" s="388"/>
      <c r="AS111" s="388"/>
      <c r="AT111" s="388"/>
      <c r="AU111" s="388"/>
      <c r="AV111" s="388"/>
      <c r="AW111" s="388"/>
      <c r="AX111" s="388"/>
      <c r="AY111" s="388"/>
      <c r="AZ111" s="388"/>
      <c r="BA111" s="388"/>
      <c r="BB111" s="388"/>
      <c r="BC111" s="388"/>
      <c r="BD111" s="388"/>
      <c r="BE111" s="388"/>
      <c r="BF111" s="388"/>
      <c r="BG111" s="388"/>
      <c r="BH111" s="388"/>
      <c r="BI111" s="2414"/>
      <c r="BJ111" s="388"/>
      <c r="BK111" s="2415"/>
      <c r="BL111" s="388"/>
      <c r="BM111" s="388"/>
      <c r="BN111" s="388"/>
      <c r="BO111" s="388"/>
      <c r="BP111" s="388"/>
    </row>
    <row r="112" spans="1:68" s="479" customFormat="1" x14ac:dyDescent="0.2">
      <c r="A112" s="477"/>
      <c r="B112" s="388"/>
      <c r="C112" s="388"/>
      <c r="D112" s="388"/>
      <c r="E112" s="388"/>
      <c r="F112" s="388"/>
      <c r="G112" s="388"/>
      <c r="H112" s="388"/>
      <c r="I112" s="478"/>
      <c r="J112" s="191"/>
      <c r="K112" s="485"/>
      <c r="L112" s="2411"/>
      <c r="M112" s="2418"/>
      <c r="O112" s="478"/>
      <c r="P112" s="481"/>
      <c r="Q112" s="482"/>
      <c r="R112" s="480"/>
      <c r="S112" s="480"/>
      <c r="T112" s="480"/>
      <c r="U112" s="493"/>
      <c r="V112" s="493"/>
      <c r="W112" s="493"/>
      <c r="X112" s="484"/>
      <c r="Y112" s="480"/>
      <c r="Z112" s="388"/>
      <c r="AA112" s="388"/>
      <c r="AB112" s="388"/>
      <c r="AC112" s="388"/>
      <c r="AD112" s="388"/>
      <c r="AE112" s="388"/>
      <c r="AF112" s="388"/>
      <c r="AG112" s="388"/>
      <c r="AH112" s="388"/>
      <c r="AI112" s="388"/>
      <c r="AJ112" s="388"/>
      <c r="AK112" s="388"/>
      <c r="AL112" s="388"/>
      <c r="AM112" s="388"/>
      <c r="AN112" s="388"/>
      <c r="AO112" s="388"/>
      <c r="AP112" s="388"/>
      <c r="AQ112" s="388"/>
      <c r="AR112" s="388"/>
      <c r="AS112" s="388"/>
      <c r="AT112" s="388"/>
      <c r="AU112" s="388"/>
      <c r="AV112" s="388"/>
      <c r="AW112" s="388"/>
      <c r="AX112" s="388"/>
      <c r="AY112" s="388"/>
      <c r="AZ112" s="388"/>
      <c r="BA112" s="388"/>
      <c r="BB112" s="388"/>
      <c r="BC112" s="388"/>
      <c r="BD112" s="388"/>
      <c r="BE112" s="388"/>
      <c r="BF112" s="388"/>
      <c r="BG112" s="388"/>
      <c r="BH112" s="388"/>
      <c r="BI112" s="2414"/>
      <c r="BJ112" s="388"/>
      <c r="BK112" s="2415"/>
      <c r="BL112" s="388"/>
      <c r="BM112" s="388"/>
      <c r="BN112" s="388"/>
      <c r="BO112" s="388"/>
      <c r="BP112" s="388"/>
    </row>
    <row r="113" spans="1:68" s="479" customFormat="1" x14ac:dyDescent="0.2">
      <c r="A113" s="477"/>
      <c r="B113" s="388"/>
      <c r="C113" s="388"/>
      <c r="D113" s="388"/>
      <c r="E113" s="388"/>
      <c r="F113" s="388"/>
      <c r="G113" s="388"/>
      <c r="H113" s="388"/>
      <c r="I113" s="478"/>
      <c r="J113" s="191"/>
      <c r="K113" s="485"/>
      <c r="L113" s="2411"/>
      <c r="M113" s="2418"/>
      <c r="O113" s="478"/>
      <c r="P113" s="481"/>
      <c r="Q113" s="482"/>
      <c r="R113" s="480"/>
      <c r="S113" s="480"/>
      <c r="T113" s="480"/>
      <c r="U113" s="493"/>
      <c r="V113" s="493"/>
      <c r="W113" s="493"/>
      <c r="X113" s="484"/>
      <c r="Y113" s="480"/>
      <c r="Z113" s="388"/>
      <c r="AA113" s="388"/>
      <c r="AB113" s="388"/>
      <c r="AC113" s="388"/>
      <c r="AD113" s="388"/>
      <c r="AE113" s="388"/>
      <c r="AF113" s="388"/>
      <c r="AG113" s="388"/>
      <c r="AH113" s="388"/>
      <c r="AI113" s="388"/>
      <c r="AJ113" s="388"/>
      <c r="AK113" s="388"/>
      <c r="AL113" s="388"/>
      <c r="AM113" s="388"/>
      <c r="AN113" s="388"/>
      <c r="AO113" s="388"/>
      <c r="AP113" s="388"/>
      <c r="AQ113" s="388"/>
      <c r="AR113" s="388"/>
      <c r="AS113" s="388"/>
      <c r="AT113" s="388"/>
      <c r="AU113" s="388"/>
      <c r="AV113" s="388"/>
      <c r="AW113" s="388"/>
      <c r="AX113" s="388"/>
      <c r="AY113" s="388"/>
      <c r="AZ113" s="388"/>
      <c r="BA113" s="388"/>
      <c r="BB113" s="388"/>
      <c r="BC113" s="388"/>
      <c r="BD113" s="388"/>
      <c r="BE113" s="388"/>
      <c r="BF113" s="388"/>
      <c r="BG113" s="388"/>
      <c r="BH113" s="388"/>
      <c r="BI113" s="2414"/>
      <c r="BJ113" s="388"/>
      <c r="BK113" s="2415"/>
      <c r="BL113" s="388"/>
      <c r="BM113" s="388"/>
      <c r="BN113" s="388"/>
      <c r="BO113" s="388"/>
      <c r="BP113" s="388"/>
    </row>
    <row r="114" spans="1:68" s="479" customFormat="1" x14ac:dyDescent="0.2">
      <c r="A114" s="477"/>
      <c r="B114" s="388"/>
      <c r="C114" s="388"/>
      <c r="D114" s="388"/>
      <c r="E114" s="388"/>
      <c r="F114" s="388"/>
      <c r="G114" s="388"/>
      <c r="H114" s="388"/>
      <c r="I114" s="478"/>
      <c r="J114" s="191"/>
      <c r="K114" s="485"/>
      <c r="L114" s="2411"/>
      <c r="M114" s="2418"/>
      <c r="O114" s="478"/>
      <c r="P114" s="481"/>
      <c r="Q114" s="482"/>
      <c r="R114" s="480"/>
      <c r="S114" s="480"/>
      <c r="T114" s="480"/>
      <c r="U114" s="493"/>
      <c r="V114" s="493"/>
      <c r="W114" s="493"/>
      <c r="X114" s="484"/>
      <c r="Y114" s="480"/>
      <c r="Z114" s="388"/>
      <c r="AA114" s="388"/>
      <c r="AB114" s="388"/>
      <c r="AC114" s="388"/>
      <c r="AD114" s="388"/>
      <c r="AE114" s="388"/>
      <c r="AF114" s="388"/>
      <c r="AG114" s="388"/>
      <c r="AH114" s="388"/>
      <c r="AI114" s="388"/>
      <c r="AJ114" s="388"/>
      <c r="AK114" s="388"/>
      <c r="AL114" s="388"/>
      <c r="AM114" s="388"/>
      <c r="AN114" s="388"/>
      <c r="AO114" s="388"/>
      <c r="AP114" s="388"/>
      <c r="AQ114" s="388"/>
      <c r="AR114" s="388"/>
      <c r="AS114" s="388"/>
      <c r="AT114" s="388"/>
      <c r="AU114" s="388"/>
      <c r="AV114" s="388"/>
      <c r="AW114" s="388"/>
      <c r="AX114" s="388"/>
      <c r="AY114" s="388"/>
      <c r="AZ114" s="388"/>
      <c r="BA114" s="388"/>
      <c r="BB114" s="388"/>
      <c r="BC114" s="388"/>
      <c r="BD114" s="388"/>
      <c r="BE114" s="388"/>
      <c r="BF114" s="388"/>
      <c r="BG114" s="388"/>
      <c r="BH114" s="388"/>
      <c r="BI114" s="2414"/>
      <c r="BJ114" s="388"/>
      <c r="BK114" s="2415"/>
      <c r="BL114" s="388"/>
      <c r="BM114" s="388"/>
      <c r="BN114" s="388"/>
      <c r="BO114" s="388"/>
      <c r="BP114" s="388"/>
    </row>
    <row r="115" spans="1:68" s="479" customFormat="1" x14ac:dyDescent="0.2">
      <c r="A115" s="477"/>
      <c r="B115" s="388"/>
      <c r="C115" s="388"/>
      <c r="D115" s="388"/>
      <c r="E115" s="388"/>
      <c r="F115" s="388"/>
      <c r="G115" s="388"/>
      <c r="H115" s="388"/>
      <c r="I115" s="478"/>
      <c r="J115" s="191"/>
      <c r="K115" s="485"/>
      <c r="L115" s="2411"/>
      <c r="M115" s="2418"/>
      <c r="O115" s="478"/>
      <c r="P115" s="481"/>
      <c r="Q115" s="482"/>
      <c r="R115" s="480"/>
      <c r="S115" s="480"/>
      <c r="T115" s="480"/>
      <c r="U115" s="493"/>
      <c r="V115" s="493"/>
      <c r="W115" s="493"/>
      <c r="X115" s="484"/>
      <c r="Y115" s="480"/>
      <c r="Z115" s="388"/>
      <c r="AA115" s="388"/>
      <c r="AB115" s="388"/>
      <c r="AC115" s="388"/>
      <c r="AD115" s="388"/>
      <c r="AE115" s="388"/>
      <c r="AF115" s="388"/>
      <c r="AG115" s="388"/>
      <c r="AH115" s="388"/>
      <c r="AI115" s="388"/>
      <c r="AJ115" s="388"/>
      <c r="AK115" s="388"/>
      <c r="AL115" s="388"/>
      <c r="AM115" s="388"/>
      <c r="AN115" s="388"/>
      <c r="AO115" s="388"/>
      <c r="AP115" s="388"/>
      <c r="AQ115" s="388"/>
      <c r="AR115" s="388"/>
      <c r="AS115" s="388"/>
      <c r="AT115" s="388"/>
      <c r="AU115" s="388"/>
      <c r="AV115" s="388"/>
      <c r="AW115" s="388"/>
      <c r="AX115" s="388"/>
      <c r="AY115" s="388"/>
      <c r="AZ115" s="388"/>
      <c r="BA115" s="388"/>
      <c r="BB115" s="388"/>
      <c r="BC115" s="388"/>
      <c r="BD115" s="388"/>
      <c r="BE115" s="388"/>
      <c r="BF115" s="388"/>
      <c r="BG115" s="388"/>
      <c r="BH115" s="388"/>
      <c r="BI115" s="2414"/>
      <c r="BJ115" s="388"/>
      <c r="BK115" s="2415"/>
      <c r="BL115" s="388"/>
      <c r="BM115" s="388"/>
      <c r="BN115" s="388"/>
      <c r="BO115" s="388"/>
      <c r="BP115" s="388"/>
    </row>
    <row r="116" spans="1:68" s="479" customFormat="1" x14ac:dyDescent="0.2">
      <c r="A116" s="477"/>
      <c r="B116" s="388"/>
      <c r="C116" s="388"/>
      <c r="D116" s="388"/>
      <c r="E116" s="388"/>
      <c r="F116" s="388"/>
      <c r="G116" s="388"/>
      <c r="H116" s="388"/>
      <c r="I116" s="478"/>
      <c r="J116" s="191"/>
      <c r="K116" s="485"/>
      <c r="L116" s="2411"/>
      <c r="M116" s="2418"/>
      <c r="O116" s="478"/>
      <c r="P116" s="481"/>
      <c r="Q116" s="482"/>
      <c r="R116" s="480"/>
      <c r="S116" s="480"/>
      <c r="T116" s="480"/>
      <c r="U116" s="493"/>
      <c r="V116" s="493"/>
      <c r="W116" s="493"/>
      <c r="X116" s="484"/>
      <c r="Y116" s="480"/>
      <c r="Z116" s="388"/>
      <c r="AA116" s="388"/>
      <c r="AB116" s="388"/>
      <c r="AC116" s="388"/>
      <c r="AD116" s="388"/>
      <c r="AE116" s="388"/>
      <c r="AF116" s="388"/>
      <c r="AG116" s="388"/>
      <c r="AH116" s="388"/>
      <c r="AI116" s="388"/>
      <c r="AJ116" s="388"/>
      <c r="AK116" s="388"/>
      <c r="AL116" s="388"/>
      <c r="AM116" s="388"/>
      <c r="AN116" s="388"/>
      <c r="AO116" s="388"/>
      <c r="AP116" s="388"/>
      <c r="AQ116" s="388"/>
      <c r="AR116" s="388"/>
      <c r="AS116" s="388"/>
      <c r="AT116" s="388"/>
      <c r="AU116" s="388"/>
      <c r="AV116" s="388"/>
      <c r="AW116" s="388"/>
      <c r="AX116" s="388"/>
      <c r="AY116" s="388"/>
      <c r="AZ116" s="388"/>
      <c r="BA116" s="388"/>
      <c r="BB116" s="388"/>
      <c r="BC116" s="388"/>
      <c r="BD116" s="388"/>
      <c r="BE116" s="388"/>
      <c r="BF116" s="388"/>
      <c r="BG116" s="388"/>
      <c r="BH116" s="388"/>
      <c r="BI116" s="2414"/>
      <c r="BJ116" s="388"/>
      <c r="BK116" s="2415"/>
      <c r="BL116" s="388"/>
      <c r="BM116" s="388"/>
      <c r="BN116" s="388"/>
      <c r="BO116" s="388"/>
      <c r="BP116" s="388"/>
    </row>
    <row r="117" spans="1:68" s="479" customFormat="1" x14ac:dyDescent="0.2">
      <c r="A117" s="477"/>
      <c r="B117" s="388"/>
      <c r="C117" s="388"/>
      <c r="D117" s="388"/>
      <c r="E117" s="388"/>
      <c r="F117" s="388"/>
      <c r="G117" s="388"/>
      <c r="H117" s="388"/>
      <c r="I117" s="478"/>
      <c r="J117" s="191"/>
      <c r="K117" s="485"/>
      <c r="L117" s="2411"/>
      <c r="M117" s="2418"/>
      <c r="O117" s="478"/>
      <c r="P117" s="481"/>
      <c r="Q117" s="482"/>
      <c r="R117" s="480"/>
      <c r="S117" s="480"/>
      <c r="T117" s="480"/>
      <c r="U117" s="493"/>
      <c r="V117" s="493"/>
      <c r="W117" s="493"/>
      <c r="X117" s="484"/>
      <c r="Y117" s="480"/>
      <c r="Z117" s="388"/>
      <c r="AA117" s="388"/>
      <c r="AB117" s="388"/>
      <c r="AC117" s="388"/>
      <c r="AD117" s="388"/>
      <c r="AE117" s="388"/>
      <c r="AF117" s="388"/>
      <c r="AG117" s="388"/>
      <c r="AH117" s="388"/>
      <c r="AI117" s="388"/>
      <c r="AJ117" s="388"/>
      <c r="AK117" s="388"/>
      <c r="AL117" s="388"/>
      <c r="AM117" s="388"/>
      <c r="AN117" s="388"/>
      <c r="AO117" s="388"/>
      <c r="AP117" s="388"/>
      <c r="AQ117" s="388"/>
      <c r="AR117" s="388"/>
      <c r="AS117" s="388"/>
      <c r="AT117" s="388"/>
      <c r="AU117" s="388"/>
      <c r="AV117" s="388"/>
      <c r="AW117" s="388"/>
      <c r="AX117" s="388"/>
      <c r="AY117" s="388"/>
      <c r="AZ117" s="388"/>
      <c r="BA117" s="388"/>
      <c r="BB117" s="388"/>
      <c r="BC117" s="388"/>
      <c r="BD117" s="388"/>
      <c r="BE117" s="388"/>
      <c r="BF117" s="388"/>
      <c r="BG117" s="388"/>
      <c r="BH117" s="388"/>
      <c r="BI117" s="2414"/>
      <c r="BJ117" s="388"/>
      <c r="BK117" s="2415"/>
      <c r="BL117" s="388"/>
      <c r="BM117" s="388"/>
      <c r="BN117" s="388"/>
      <c r="BO117" s="388"/>
      <c r="BP117" s="388"/>
    </row>
    <row r="118" spans="1:68" s="479" customFormat="1" x14ac:dyDescent="0.2">
      <c r="A118" s="477"/>
      <c r="B118" s="388"/>
      <c r="C118" s="388"/>
      <c r="D118" s="388"/>
      <c r="E118" s="388"/>
      <c r="F118" s="388"/>
      <c r="G118" s="388"/>
      <c r="H118" s="388"/>
      <c r="I118" s="478"/>
      <c r="J118" s="191"/>
      <c r="K118" s="485"/>
      <c r="L118" s="2411"/>
      <c r="M118" s="2418"/>
      <c r="O118" s="478"/>
      <c r="P118" s="481"/>
      <c r="Q118" s="482"/>
      <c r="R118" s="480"/>
      <c r="S118" s="480"/>
      <c r="T118" s="480"/>
      <c r="U118" s="493"/>
      <c r="V118" s="493"/>
      <c r="W118" s="493"/>
      <c r="X118" s="484"/>
      <c r="Y118" s="480"/>
      <c r="Z118" s="388"/>
      <c r="AA118" s="388"/>
      <c r="AB118" s="388"/>
      <c r="AC118" s="388"/>
      <c r="AD118" s="388"/>
      <c r="AE118" s="388"/>
      <c r="AF118" s="388"/>
      <c r="AG118" s="388"/>
      <c r="AH118" s="388"/>
      <c r="AI118" s="388"/>
      <c r="AJ118" s="388"/>
      <c r="AK118" s="388"/>
      <c r="AL118" s="388"/>
      <c r="AM118" s="388"/>
      <c r="AN118" s="388"/>
      <c r="AO118" s="388"/>
      <c r="AP118" s="388"/>
      <c r="AQ118" s="388"/>
      <c r="AR118" s="388"/>
      <c r="AS118" s="388"/>
      <c r="AT118" s="388"/>
      <c r="AU118" s="388"/>
      <c r="AV118" s="388"/>
      <c r="AW118" s="388"/>
      <c r="AX118" s="388"/>
      <c r="AY118" s="388"/>
      <c r="AZ118" s="388"/>
      <c r="BA118" s="388"/>
      <c r="BB118" s="388"/>
      <c r="BC118" s="388"/>
      <c r="BD118" s="388"/>
      <c r="BE118" s="388"/>
      <c r="BF118" s="388"/>
      <c r="BG118" s="388"/>
      <c r="BH118" s="388"/>
      <c r="BI118" s="2414"/>
      <c r="BJ118" s="388"/>
      <c r="BK118" s="2415"/>
      <c r="BL118" s="388"/>
      <c r="BM118" s="388"/>
      <c r="BN118" s="388"/>
      <c r="BO118" s="388"/>
      <c r="BP118" s="388"/>
    </row>
    <row r="119" spans="1:68" s="479" customFormat="1" x14ac:dyDescent="0.2">
      <c r="A119" s="477"/>
      <c r="B119" s="388"/>
      <c r="C119" s="388"/>
      <c r="D119" s="388"/>
      <c r="E119" s="388"/>
      <c r="F119" s="388"/>
      <c r="G119" s="388"/>
      <c r="H119" s="388"/>
      <c r="I119" s="478"/>
      <c r="J119" s="191"/>
      <c r="K119" s="485"/>
      <c r="L119" s="2411"/>
      <c r="M119" s="2418"/>
      <c r="O119" s="478"/>
      <c r="P119" s="481"/>
      <c r="Q119" s="482"/>
      <c r="R119" s="480"/>
      <c r="S119" s="480"/>
      <c r="T119" s="480"/>
      <c r="U119" s="493"/>
      <c r="V119" s="493"/>
      <c r="W119" s="493"/>
      <c r="X119" s="484"/>
      <c r="Y119" s="480"/>
      <c r="Z119" s="388"/>
      <c r="AA119" s="388"/>
      <c r="AB119" s="388"/>
      <c r="AC119" s="388"/>
      <c r="AD119" s="388"/>
      <c r="AE119" s="388"/>
      <c r="AF119" s="388"/>
      <c r="AG119" s="388"/>
      <c r="AH119" s="388"/>
      <c r="AI119" s="388"/>
      <c r="AJ119" s="388"/>
      <c r="AK119" s="388"/>
      <c r="AL119" s="388"/>
      <c r="AM119" s="388"/>
      <c r="AN119" s="388"/>
      <c r="AO119" s="388"/>
      <c r="AP119" s="388"/>
      <c r="AQ119" s="388"/>
      <c r="AR119" s="388"/>
      <c r="AS119" s="388"/>
      <c r="AT119" s="388"/>
      <c r="AU119" s="388"/>
      <c r="AV119" s="388"/>
      <c r="AW119" s="388"/>
      <c r="AX119" s="388"/>
      <c r="AY119" s="388"/>
      <c r="AZ119" s="388"/>
      <c r="BA119" s="388"/>
      <c r="BB119" s="388"/>
      <c r="BC119" s="388"/>
      <c r="BD119" s="388"/>
      <c r="BE119" s="388"/>
      <c r="BF119" s="388"/>
      <c r="BG119" s="388"/>
      <c r="BH119" s="388"/>
      <c r="BI119" s="2414"/>
      <c r="BJ119" s="388"/>
      <c r="BK119" s="2415"/>
      <c r="BL119" s="388"/>
      <c r="BM119" s="388"/>
      <c r="BN119" s="388"/>
      <c r="BO119" s="388"/>
      <c r="BP119" s="388"/>
    </row>
    <row r="120" spans="1:68" s="479" customFormat="1" x14ac:dyDescent="0.2">
      <c r="A120" s="477"/>
      <c r="B120" s="388"/>
      <c r="C120" s="388"/>
      <c r="D120" s="388"/>
      <c r="E120" s="388"/>
      <c r="F120" s="388"/>
      <c r="G120" s="388"/>
      <c r="H120" s="388"/>
      <c r="I120" s="478"/>
      <c r="J120" s="191"/>
      <c r="K120" s="485"/>
      <c r="L120" s="2411"/>
      <c r="M120" s="2418"/>
      <c r="O120" s="478"/>
      <c r="P120" s="481"/>
      <c r="Q120" s="482"/>
      <c r="R120" s="480"/>
      <c r="S120" s="480"/>
      <c r="T120" s="480"/>
      <c r="U120" s="493"/>
      <c r="V120" s="493"/>
      <c r="W120" s="493"/>
      <c r="X120" s="484"/>
      <c r="Y120" s="480"/>
      <c r="Z120" s="388"/>
      <c r="AA120" s="388"/>
      <c r="AB120" s="388"/>
      <c r="AC120" s="388"/>
      <c r="AD120" s="388"/>
      <c r="AE120" s="388"/>
      <c r="AF120" s="388"/>
      <c r="AG120" s="388"/>
      <c r="AH120" s="388"/>
      <c r="AI120" s="388"/>
      <c r="AJ120" s="388"/>
      <c r="AK120" s="388"/>
      <c r="AL120" s="388"/>
      <c r="AM120" s="388"/>
      <c r="AN120" s="388"/>
      <c r="AO120" s="388"/>
      <c r="AP120" s="388"/>
      <c r="AQ120" s="388"/>
      <c r="AR120" s="388"/>
      <c r="AS120" s="388"/>
      <c r="AT120" s="388"/>
      <c r="AU120" s="388"/>
      <c r="AV120" s="388"/>
      <c r="AW120" s="388"/>
      <c r="AX120" s="388"/>
      <c r="AY120" s="388"/>
      <c r="AZ120" s="388"/>
      <c r="BA120" s="388"/>
      <c r="BB120" s="388"/>
      <c r="BC120" s="388"/>
      <c r="BD120" s="388"/>
      <c r="BE120" s="388"/>
      <c r="BF120" s="388"/>
      <c r="BG120" s="388"/>
      <c r="BH120" s="388"/>
      <c r="BI120" s="2414"/>
      <c r="BJ120" s="388"/>
      <c r="BK120" s="2415"/>
      <c r="BL120" s="388"/>
      <c r="BM120" s="388"/>
      <c r="BN120" s="388"/>
      <c r="BO120" s="388"/>
      <c r="BP120" s="388"/>
    </row>
    <row r="121" spans="1:68" s="479" customFormat="1" x14ac:dyDescent="0.2">
      <c r="A121" s="477"/>
      <c r="B121" s="388"/>
      <c r="C121" s="388"/>
      <c r="D121" s="388"/>
      <c r="E121" s="388"/>
      <c r="F121" s="388"/>
      <c r="G121" s="388"/>
      <c r="H121" s="388"/>
      <c r="I121" s="478"/>
      <c r="J121" s="191"/>
      <c r="K121" s="485"/>
      <c r="L121" s="2411"/>
      <c r="M121" s="2418"/>
      <c r="O121" s="478"/>
      <c r="P121" s="481"/>
      <c r="Q121" s="482"/>
      <c r="R121" s="480"/>
      <c r="S121" s="480"/>
      <c r="T121" s="480"/>
      <c r="U121" s="493"/>
      <c r="V121" s="493"/>
      <c r="W121" s="493"/>
      <c r="X121" s="484"/>
      <c r="Y121" s="480"/>
      <c r="Z121" s="388"/>
      <c r="AA121" s="388"/>
      <c r="AB121" s="388"/>
      <c r="AC121" s="388"/>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88"/>
      <c r="AY121" s="388"/>
      <c r="AZ121" s="388"/>
      <c r="BA121" s="388"/>
      <c r="BB121" s="388"/>
      <c r="BC121" s="388"/>
      <c r="BD121" s="388"/>
      <c r="BE121" s="388"/>
      <c r="BF121" s="388"/>
      <c r="BG121" s="388"/>
      <c r="BH121" s="388"/>
      <c r="BI121" s="2414"/>
      <c r="BJ121" s="388"/>
      <c r="BK121" s="2415"/>
      <c r="BL121" s="388"/>
      <c r="BM121" s="388"/>
      <c r="BN121" s="388"/>
      <c r="BO121" s="388"/>
      <c r="BP121" s="388"/>
    </row>
    <row r="122" spans="1:68" s="479" customFormat="1" x14ac:dyDescent="0.2">
      <c r="A122" s="477"/>
      <c r="B122" s="388"/>
      <c r="C122" s="388"/>
      <c r="D122" s="388"/>
      <c r="E122" s="388"/>
      <c r="F122" s="388"/>
      <c r="G122" s="388"/>
      <c r="H122" s="388"/>
      <c r="I122" s="478"/>
      <c r="J122" s="191"/>
      <c r="K122" s="485"/>
      <c r="L122" s="2411"/>
      <c r="M122" s="2418"/>
      <c r="O122" s="478"/>
      <c r="P122" s="481"/>
      <c r="Q122" s="482"/>
      <c r="R122" s="480"/>
      <c r="S122" s="480"/>
      <c r="T122" s="480"/>
      <c r="U122" s="493"/>
      <c r="V122" s="493"/>
      <c r="W122" s="493"/>
      <c r="X122" s="484"/>
      <c r="Y122" s="480"/>
      <c r="Z122" s="388"/>
      <c r="AA122" s="388"/>
      <c r="AB122" s="388"/>
      <c r="AC122" s="388"/>
      <c r="AD122" s="388"/>
      <c r="AE122" s="388"/>
      <c r="AF122" s="388"/>
      <c r="AG122" s="388"/>
      <c r="AH122" s="388"/>
      <c r="AI122" s="388"/>
      <c r="AJ122" s="388"/>
      <c r="AK122" s="388"/>
      <c r="AL122" s="388"/>
      <c r="AM122" s="388"/>
      <c r="AN122" s="388"/>
      <c r="AO122" s="388"/>
      <c r="AP122" s="388"/>
      <c r="AQ122" s="388"/>
      <c r="AR122" s="388"/>
      <c r="AS122" s="388"/>
      <c r="AT122" s="388"/>
      <c r="AU122" s="388"/>
      <c r="AV122" s="388"/>
      <c r="AW122" s="388"/>
      <c r="AX122" s="388"/>
      <c r="AY122" s="388"/>
      <c r="AZ122" s="388"/>
      <c r="BA122" s="388"/>
      <c r="BB122" s="388"/>
      <c r="BC122" s="388"/>
      <c r="BD122" s="388"/>
      <c r="BE122" s="388"/>
      <c r="BF122" s="388"/>
      <c r="BG122" s="388"/>
      <c r="BH122" s="388"/>
      <c r="BI122" s="2414"/>
      <c r="BJ122" s="388"/>
      <c r="BK122" s="2415"/>
      <c r="BL122" s="388"/>
      <c r="BM122" s="388"/>
      <c r="BN122" s="388"/>
      <c r="BO122" s="388"/>
      <c r="BP122" s="388"/>
    </row>
    <row r="123" spans="1:68" s="479" customFormat="1" x14ac:dyDescent="0.2">
      <c r="A123" s="477"/>
      <c r="B123" s="388"/>
      <c r="C123" s="388"/>
      <c r="D123" s="388"/>
      <c r="E123" s="388"/>
      <c r="F123" s="388"/>
      <c r="G123" s="388"/>
      <c r="H123" s="388"/>
      <c r="I123" s="478"/>
      <c r="J123" s="191"/>
      <c r="K123" s="485"/>
      <c r="L123" s="2411"/>
      <c r="M123" s="2418"/>
      <c r="O123" s="478"/>
      <c r="P123" s="481"/>
      <c r="Q123" s="482"/>
      <c r="R123" s="480"/>
      <c r="S123" s="480"/>
      <c r="T123" s="480"/>
      <c r="U123" s="493"/>
      <c r="V123" s="493"/>
      <c r="W123" s="493"/>
      <c r="X123" s="484"/>
      <c r="Y123" s="480"/>
      <c r="Z123" s="388"/>
      <c r="AA123" s="388"/>
      <c r="AB123" s="388"/>
      <c r="AC123" s="388"/>
      <c r="AD123" s="388"/>
      <c r="AE123" s="388"/>
      <c r="AF123" s="388"/>
      <c r="AG123" s="388"/>
      <c r="AH123" s="388"/>
      <c r="AI123" s="388"/>
      <c r="AJ123" s="388"/>
      <c r="AK123" s="388"/>
      <c r="AL123" s="388"/>
      <c r="AM123" s="388"/>
      <c r="AN123" s="388"/>
      <c r="AO123" s="388"/>
      <c r="AP123" s="388"/>
      <c r="AQ123" s="388"/>
      <c r="AR123" s="388"/>
      <c r="AS123" s="388"/>
      <c r="AT123" s="388"/>
      <c r="AU123" s="388"/>
      <c r="AV123" s="388"/>
      <c r="AW123" s="388"/>
      <c r="AX123" s="388"/>
      <c r="AY123" s="388"/>
      <c r="AZ123" s="388"/>
      <c r="BA123" s="388"/>
      <c r="BB123" s="388"/>
      <c r="BC123" s="388"/>
      <c r="BD123" s="388"/>
      <c r="BE123" s="388"/>
      <c r="BF123" s="388"/>
      <c r="BG123" s="388"/>
      <c r="BH123" s="388"/>
      <c r="BI123" s="2414"/>
      <c r="BJ123" s="388"/>
      <c r="BK123" s="2415"/>
      <c r="BL123" s="388"/>
      <c r="BM123" s="388"/>
      <c r="BN123" s="388"/>
      <c r="BO123" s="388"/>
      <c r="BP123" s="388"/>
    </row>
    <row r="124" spans="1:68" s="479" customFormat="1" x14ac:dyDescent="0.2">
      <c r="A124" s="477"/>
      <c r="B124" s="388"/>
      <c r="C124" s="388"/>
      <c r="D124" s="388"/>
      <c r="E124" s="388"/>
      <c r="F124" s="388"/>
      <c r="G124" s="388"/>
      <c r="H124" s="388"/>
      <c r="I124" s="478"/>
      <c r="J124" s="191"/>
      <c r="K124" s="485"/>
      <c r="L124" s="2411"/>
      <c r="M124" s="2418"/>
      <c r="O124" s="478"/>
      <c r="P124" s="481"/>
      <c r="Q124" s="482"/>
      <c r="R124" s="480"/>
      <c r="S124" s="480"/>
      <c r="T124" s="480"/>
      <c r="U124" s="493"/>
      <c r="V124" s="493"/>
      <c r="W124" s="493"/>
      <c r="X124" s="484"/>
      <c r="Y124" s="480"/>
      <c r="Z124" s="388"/>
      <c r="AA124" s="388"/>
      <c r="AB124" s="388"/>
      <c r="AC124" s="388"/>
      <c r="AD124" s="388"/>
      <c r="AE124" s="388"/>
      <c r="AF124" s="388"/>
      <c r="AG124" s="388"/>
      <c r="AH124" s="388"/>
      <c r="AI124" s="388"/>
      <c r="AJ124" s="388"/>
      <c r="AK124" s="388"/>
      <c r="AL124" s="388"/>
      <c r="AM124" s="388"/>
      <c r="AN124" s="388"/>
      <c r="AO124" s="388"/>
      <c r="AP124" s="388"/>
      <c r="AQ124" s="388"/>
      <c r="AR124" s="388"/>
      <c r="AS124" s="388"/>
      <c r="AT124" s="388"/>
      <c r="AU124" s="388"/>
      <c r="AV124" s="388"/>
      <c r="AW124" s="388"/>
      <c r="AX124" s="388"/>
      <c r="AY124" s="388"/>
      <c r="AZ124" s="388"/>
      <c r="BA124" s="388"/>
      <c r="BB124" s="388"/>
      <c r="BC124" s="388"/>
      <c r="BD124" s="388"/>
      <c r="BE124" s="388"/>
      <c r="BF124" s="388"/>
      <c r="BG124" s="388"/>
      <c r="BH124" s="388"/>
      <c r="BI124" s="2414"/>
      <c r="BJ124" s="388"/>
      <c r="BK124" s="2415"/>
      <c r="BL124" s="388"/>
      <c r="BM124" s="388"/>
      <c r="BN124" s="388"/>
      <c r="BO124" s="388"/>
      <c r="BP124" s="388"/>
    </row>
    <row r="125" spans="1:68" s="479" customFormat="1" x14ac:dyDescent="0.2">
      <c r="A125" s="477"/>
      <c r="B125" s="388"/>
      <c r="C125" s="388"/>
      <c r="D125" s="388"/>
      <c r="E125" s="388"/>
      <c r="F125" s="388"/>
      <c r="G125" s="388"/>
      <c r="H125" s="388"/>
      <c r="I125" s="478"/>
      <c r="J125" s="191"/>
      <c r="K125" s="485"/>
      <c r="L125" s="2411"/>
      <c r="M125" s="2418"/>
      <c r="O125" s="478"/>
      <c r="P125" s="481"/>
      <c r="Q125" s="482"/>
      <c r="R125" s="480"/>
      <c r="S125" s="480"/>
      <c r="T125" s="480"/>
      <c r="U125" s="493"/>
      <c r="V125" s="493"/>
      <c r="W125" s="493"/>
      <c r="X125" s="484"/>
      <c r="Y125" s="480"/>
      <c r="Z125" s="388"/>
      <c r="AA125" s="388"/>
      <c r="AB125" s="388"/>
      <c r="AC125" s="388"/>
      <c r="AD125" s="388"/>
      <c r="AE125" s="388"/>
      <c r="AF125" s="388"/>
      <c r="AG125" s="388"/>
      <c r="AH125" s="388"/>
      <c r="AI125" s="388"/>
      <c r="AJ125" s="388"/>
      <c r="AK125" s="388"/>
      <c r="AL125" s="388"/>
      <c r="AM125" s="388"/>
      <c r="AN125" s="388"/>
      <c r="AO125" s="388"/>
      <c r="AP125" s="388"/>
      <c r="AQ125" s="388"/>
      <c r="AR125" s="388"/>
      <c r="AS125" s="388"/>
      <c r="AT125" s="388"/>
      <c r="AU125" s="388"/>
      <c r="AV125" s="388"/>
      <c r="AW125" s="388"/>
      <c r="AX125" s="388"/>
      <c r="AY125" s="388"/>
      <c r="AZ125" s="388"/>
      <c r="BA125" s="388"/>
      <c r="BB125" s="388"/>
      <c r="BC125" s="388"/>
      <c r="BD125" s="388"/>
      <c r="BE125" s="388"/>
      <c r="BF125" s="388"/>
      <c r="BG125" s="388"/>
      <c r="BH125" s="388"/>
      <c r="BI125" s="2414"/>
      <c r="BJ125" s="388"/>
      <c r="BK125" s="2415"/>
      <c r="BL125" s="388"/>
      <c r="BM125" s="388"/>
      <c r="BN125" s="388"/>
      <c r="BO125" s="388"/>
      <c r="BP125" s="388"/>
    </row>
    <row r="126" spans="1:68" s="479" customFormat="1" x14ac:dyDescent="0.2">
      <c r="A126" s="477"/>
      <c r="B126" s="388"/>
      <c r="C126" s="388"/>
      <c r="D126" s="388"/>
      <c r="E126" s="388"/>
      <c r="F126" s="388"/>
      <c r="G126" s="388"/>
      <c r="H126" s="388"/>
      <c r="I126" s="478"/>
      <c r="J126" s="191"/>
      <c r="K126" s="485"/>
      <c r="L126" s="2411"/>
      <c r="M126" s="2418"/>
      <c r="O126" s="478"/>
      <c r="P126" s="481"/>
      <c r="Q126" s="482"/>
      <c r="R126" s="480"/>
      <c r="S126" s="480"/>
      <c r="T126" s="480"/>
      <c r="U126" s="493"/>
      <c r="V126" s="493"/>
      <c r="W126" s="493"/>
      <c r="X126" s="484"/>
      <c r="Y126" s="480"/>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8"/>
      <c r="AY126" s="388"/>
      <c r="AZ126" s="388"/>
      <c r="BA126" s="388"/>
      <c r="BB126" s="388"/>
      <c r="BC126" s="388"/>
      <c r="BD126" s="388"/>
      <c r="BE126" s="388"/>
      <c r="BF126" s="388"/>
      <c r="BG126" s="388"/>
      <c r="BH126" s="388"/>
      <c r="BI126" s="2414"/>
      <c r="BJ126" s="388"/>
      <c r="BK126" s="2415"/>
      <c r="BL126" s="388"/>
      <c r="BM126" s="388"/>
      <c r="BN126" s="388"/>
      <c r="BO126" s="388"/>
      <c r="BP126" s="388"/>
    </row>
    <row r="127" spans="1:68" s="479" customFormat="1" x14ac:dyDescent="0.2">
      <c r="A127" s="477"/>
      <c r="B127" s="388"/>
      <c r="C127" s="388"/>
      <c r="D127" s="388"/>
      <c r="E127" s="388"/>
      <c r="F127" s="388"/>
      <c r="G127" s="388"/>
      <c r="H127" s="388"/>
      <c r="I127" s="478"/>
      <c r="J127" s="191"/>
      <c r="K127" s="485"/>
      <c r="L127" s="2411"/>
      <c r="M127" s="2418"/>
      <c r="O127" s="478"/>
      <c r="P127" s="481"/>
      <c r="Q127" s="482"/>
      <c r="R127" s="480"/>
      <c r="S127" s="480"/>
      <c r="T127" s="480"/>
      <c r="U127" s="493"/>
      <c r="V127" s="493"/>
      <c r="W127" s="493"/>
      <c r="X127" s="484"/>
      <c r="Y127" s="480"/>
      <c r="Z127" s="388"/>
      <c r="AA127" s="388"/>
      <c r="AB127" s="388"/>
      <c r="AC127" s="388"/>
      <c r="AD127" s="388"/>
      <c r="AE127" s="388"/>
      <c r="AF127" s="388"/>
      <c r="AG127" s="388"/>
      <c r="AH127" s="388"/>
      <c r="AI127" s="388"/>
      <c r="AJ127" s="388"/>
      <c r="AK127" s="388"/>
      <c r="AL127" s="388"/>
      <c r="AM127" s="388"/>
      <c r="AN127" s="388"/>
      <c r="AO127" s="388"/>
      <c r="AP127" s="388"/>
      <c r="AQ127" s="388"/>
      <c r="AR127" s="388"/>
      <c r="AS127" s="388"/>
      <c r="AT127" s="388"/>
      <c r="AU127" s="388"/>
      <c r="AV127" s="388"/>
      <c r="AW127" s="388"/>
      <c r="AX127" s="388"/>
      <c r="AY127" s="388"/>
      <c r="AZ127" s="388"/>
      <c r="BA127" s="388"/>
      <c r="BB127" s="388"/>
      <c r="BC127" s="388"/>
      <c r="BD127" s="388"/>
      <c r="BE127" s="388"/>
      <c r="BF127" s="388"/>
      <c r="BG127" s="388"/>
      <c r="BH127" s="388"/>
      <c r="BI127" s="2414"/>
      <c r="BJ127" s="388"/>
      <c r="BK127" s="2415"/>
      <c r="BL127" s="388"/>
      <c r="BM127" s="388"/>
      <c r="BN127" s="388"/>
      <c r="BO127" s="388"/>
      <c r="BP127" s="388"/>
    </row>
    <row r="128" spans="1:68" s="479" customFormat="1" x14ac:dyDescent="0.2">
      <c r="A128" s="477"/>
      <c r="B128" s="388"/>
      <c r="C128" s="388"/>
      <c r="D128" s="388"/>
      <c r="E128" s="388"/>
      <c r="F128" s="388"/>
      <c r="G128" s="388"/>
      <c r="H128" s="388"/>
      <c r="I128" s="478"/>
      <c r="J128" s="191"/>
      <c r="K128" s="485"/>
      <c r="L128" s="2411"/>
      <c r="M128" s="2418"/>
      <c r="O128" s="478"/>
      <c r="P128" s="481"/>
      <c r="Q128" s="482"/>
      <c r="R128" s="480"/>
      <c r="S128" s="480"/>
      <c r="T128" s="480"/>
      <c r="U128" s="493"/>
      <c r="V128" s="493"/>
      <c r="W128" s="493"/>
      <c r="X128" s="484"/>
      <c r="Y128" s="480"/>
      <c r="Z128" s="388"/>
      <c r="AA128" s="388"/>
      <c r="AB128" s="388"/>
      <c r="AC128" s="388"/>
      <c r="AD128" s="388"/>
      <c r="AE128" s="388"/>
      <c r="AF128" s="388"/>
      <c r="AG128" s="388"/>
      <c r="AH128" s="388"/>
      <c r="AI128" s="388"/>
      <c r="AJ128" s="388"/>
      <c r="AK128" s="388"/>
      <c r="AL128" s="388"/>
      <c r="AM128" s="388"/>
      <c r="AN128" s="388"/>
      <c r="AO128" s="388"/>
      <c r="AP128" s="388"/>
      <c r="AQ128" s="388"/>
      <c r="AR128" s="388"/>
      <c r="AS128" s="388"/>
      <c r="AT128" s="388"/>
      <c r="AU128" s="388"/>
      <c r="AV128" s="388"/>
      <c r="AW128" s="388"/>
      <c r="AX128" s="388"/>
      <c r="AY128" s="388"/>
      <c r="AZ128" s="388"/>
      <c r="BA128" s="388"/>
      <c r="BB128" s="388"/>
      <c r="BC128" s="388"/>
      <c r="BD128" s="388"/>
      <c r="BE128" s="388"/>
      <c r="BF128" s="388"/>
      <c r="BG128" s="388"/>
      <c r="BH128" s="388"/>
      <c r="BI128" s="2414"/>
      <c r="BJ128" s="388"/>
      <c r="BK128" s="2415"/>
      <c r="BL128" s="388"/>
      <c r="BM128" s="388"/>
      <c r="BN128" s="388"/>
      <c r="BO128" s="388"/>
      <c r="BP128" s="388"/>
    </row>
    <row r="129" spans="1:68" s="479" customFormat="1" x14ac:dyDescent="0.2">
      <c r="A129" s="477"/>
      <c r="B129" s="388"/>
      <c r="C129" s="388"/>
      <c r="D129" s="388"/>
      <c r="E129" s="388"/>
      <c r="F129" s="388"/>
      <c r="G129" s="388"/>
      <c r="H129" s="388"/>
      <c r="I129" s="478"/>
      <c r="J129" s="191"/>
      <c r="K129" s="485"/>
      <c r="L129" s="2411"/>
      <c r="M129" s="2418"/>
      <c r="O129" s="478"/>
      <c r="P129" s="481"/>
      <c r="Q129" s="482"/>
      <c r="R129" s="480"/>
      <c r="S129" s="480"/>
      <c r="T129" s="480"/>
      <c r="U129" s="493"/>
      <c r="V129" s="493"/>
      <c r="W129" s="493"/>
      <c r="X129" s="484"/>
      <c r="Y129" s="480"/>
      <c r="Z129" s="388"/>
      <c r="AA129" s="388"/>
      <c r="AB129" s="388"/>
      <c r="AC129" s="388"/>
      <c r="AD129" s="388"/>
      <c r="AE129" s="388"/>
      <c r="AF129" s="388"/>
      <c r="AG129" s="388"/>
      <c r="AH129" s="388"/>
      <c r="AI129" s="388"/>
      <c r="AJ129" s="388"/>
      <c r="AK129" s="388"/>
      <c r="AL129" s="388"/>
      <c r="AM129" s="388"/>
      <c r="AN129" s="388"/>
      <c r="AO129" s="388"/>
      <c r="AP129" s="388"/>
      <c r="AQ129" s="388"/>
      <c r="AR129" s="388"/>
      <c r="AS129" s="388"/>
      <c r="AT129" s="388"/>
      <c r="AU129" s="388"/>
      <c r="AV129" s="388"/>
      <c r="AW129" s="388"/>
      <c r="AX129" s="388"/>
      <c r="AY129" s="388"/>
      <c r="AZ129" s="388"/>
      <c r="BA129" s="388"/>
      <c r="BB129" s="388"/>
      <c r="BC129" s="388"/>
      <c r="BD129" s="388"/>
      <c r="BE129" s="388"/>
      <c r="BF129" s="388"/>
      <c r="BG129" s="388"/>
      <c r="BH129" s="388"/>
      <c r="BI129" s="2414"/>
      <c r="BJ129" s="388"/>
      <c r="BK129" s="2415"/>
      <c r="BL129" s="388"/>
      <c r="BM129" s="388"/>
      <c r="BN129" s="388"/>
      <c r="BO129" s="388"/>
      <c r="BP129" s="388"/>
    </row>
    <row r="130" spans="1:68" s="479" customFormat="1" x14ac:dyDescent="0.2">
      <c r="A130" s="477"/>
      <c r="B130" s="388"/>
      <c r="C130" s="388"/>
      <c r="D130" s="388"/>
      <c r="E130" s="388"/>
      <c r="F130" s="388"/>
      <c r="G130" s="388"/>
      <c r="H130" s="388"/>
      <c r="I130" s="478"/>
      <c r="J130" s="191"/>
      <c r="K130" s="485"/>
      <c r="L130" s="2411"/>
      <c r="M130" s="2418"/>
      <c r="O130" s="478"/>
      <c r="P130" s="481"/>
      <c r="Q130" s="482"/>
      <c r="R130" s="480"/>
      <c r="S130" s="480"/>
      <c r="T130" s="480"/>
      <c r="U130" s="493"/>
      <c r="V130" s="493"/>
      <c r="W130" s="493"/>
      <c r="X130" s="484"/>
      <c r="Y130" s="480"/>
      <c r="Z130" s="388"/>
      <c r="AA130" s="388"/>
      <c r="AB130" s="388"/>
      <c r="AC130" s="388"/>
      <c r="AD130" s="388"/>
      <c r="AE130" s="388"/>
      <c r="AF130" s="388"/>
      <c r="AG130" s="388"/>
      <c r="AH130" s="388"/>
      <c r="AI130" s="388"/>
      <c r="AJ130" s="388"/>
      <c r="AK130" s="388"/>
      <c r="AL130" s="388"/>
      <c r="AM130" s="388"/>
      <c r="AN130" s="388"/>
      <c r="AO130" s="388"/>
      <c r="AP130" s="388"/>
      <c r="AQ130" s="388"/>
      <c r="AR130" s="388"/>
      <c r="AS130" s="388"/>
      <c r="AT130" s="388"/>
      <c r="AU130" s="388"/>
      <c r="AV130" s="388"/>
      <c r="AW130" s="388"/>
      <c r="AX130" s="388"/>
      <c r="AY130" s="388"/>
      <c r="AZ130" s="388"/>
      <c r="BA130" s="388"/>
      <c r="BB130" s="388"/>
      <c r="BC130" s="388"/>
      <c r="BD130" s="388"/>
      <c r="BE130" s="388"/>
      <c r="BF130" s="388"/>
      <c r="BG130" s="388"/>
      <c r="BH130" s="388"/>
      <c r="BI130" s="2414"/>
      <c r="BJ130" s="388"/>
      <c r="BK130" s="2415"/>
      <c r="BL130" s="388"/>
      <c r="BM130" s="388"/>
      <c r="BN130" s="388"/>
      <c r="BO130" s="388"/>
      <c r="BP130" s="388"/>
    </row>
    <row r="131" spans="1:68" s="479" customFormat="1" x14ac:dyDescent="0.2">
      <c r="A131" s="477"/>
      <c r="B131" s="388"/>
      <c r="C131" s="388"/>
      <c r="D131" s="388"/>
      <c r="E131" s="388"/>
      <c r="F131" s="388"/>
      <c r="G131" s="388"/>
      <c r="H131" s="388"/>
      <c r="I131" s="478"/>
      <c r="J131" s="191"/>
      <c r="K131" s="485"/>
      <c r="L131" s="2411"/>
      <c r="M131" s="2418"/>
      <c r="O131" s="478"/>
      <c r="P131" s="481"/>
      <c r="Q131" s="482"/>
      <c r="R131" s="480"/>
      <c r="S131" s="480"/>
      <c r="T131" s="480"/>
      <c r="U131" s="493"/>
      <c r="V131" s="493"/>
      <c r="W131" s="493"/>
      <c r="X131" s="484"/>
      <c r="Y131" s="480"/>
      <c r="Z131" s="388"/>
      <c r="AA131" s="388"/>
      <c r="AB131" s="388"/>
      <c r="AC131" s="388"/>
      <c r="AD131" s="388"/>
      <c r="AE131" s="388"/>
      <c r="AF131" s="388"/>
      <c r="AG131" s="388"/>
      <c r="AH131" s="388"/>
      <c r="AI131" s="388"/>
      <c r="AJ131" s="388"/>
      <c r="AK131" s="388"/>
      <c r="AL131" s="388"/>
      <c r="AM131" s="388"/>
      <c r="AN131" s="388"/>
      <c r="AO131" s="388"/>
      <c r="AP131" s="388"/>
      <c r="AQ131" s="388"/>
      <c r="AR131" s="388"/>
      <c r="AS131" s="388"/>
      <c r="AT131" s="388"/>
      <c r="AU131" s="388"/>
      <c r="AV131" s="388"/>
      <c r="AW131" s="388"/>
      <c r="AX131" s="388"/>
      <c r="AY131" s="388"/>
      <c r="AZ131" s="388"/>
      <c r="BA131" s="388"/>
      <c r="BB131" s="388"/>
      <c r="BC131" s="388"/>
      <c r="BD131" s="388"/>
      <c r="BE131" s="388"/>
      <c r="BF131" s="388"/>
      <c r="BG131" s="388"/>
      <c r="BH131" s="388"/>
      <c r="BI131" s="2414"/>
      <c r="BJ131" s="388"/>
      <c r="BK131" s="2415"/>
      <c r="BL131" s="388"/>
      <c r="BM131" s="388"/>
      <c r="BN131" s="388"/>
      <c r="BO131" s="388"/>
      <c r="BP131" s="388"/>
    </row>
    <row r="132" spans="1:68" s="479" customFormat="1" x14ac:dyDescent="0.2">
      <c r="A132" s="477"/>
      <c r="B132" s="388"/>
      <c r="C132" s="388"/>
      <c r="D132" s="388"/>
      <c r="E132" s="388"/>
      <c r="F132" s="388"/>
      <c r="G132" s="388"/>
      <c r="H132" s="388"/>
      <c r="I132" s="478"/>
      <c r="J132" s="191"/>
      <c r="K132" s="485"/>
      <c r="L132" s="2411"/>
      <c r="M132" s="2418"/>
      <c r="O132" s="478"/>
      <c r="P132" s="481"/>
      <c r="Q132" s="482"/>
      <c r="R132" s="480"/>
      <c r="S132" s="480"/>
      <c r="T132" s="480"/>
      <c r="U132" s="493"/>
      <c r="V132" s="493"/>
      <c r="W132" s="493"/>
      <c r="X132" s="484"/>
      <c r="Y132" s="480"/>
      <c r="Z132" s="388"/>
      <c r="AA132" s="388"/>
      <c r="AB132" s="388"/>
      <c r="AC132" s="388"/>
      <c r="AD132" s="388"/>
      <c r="AE132" s="388"/>
      <c r="AF132" s="388"/>
      <c r="AG132" s="388"/>
      <c r="AH132" s="388"/>
      <c r="AI132" s="388"/>
      <c r="AJ132" s="388"/>
      <c r="AK132" s="388"/>
      <c r="AL132" s="388"/>
      <c r="AM132" s="388"/>
      <c r="AN132" s="388"/>
      <c r="AO132" s="388"/>
      <c r="AP132" s="388"/>
      <c r="AQ132" s="388"/>
      <c r="AR132" s="388"/>
      <c r="AS132" s="388"/>
      <c r="AT132" s="388"/>
      <c r="AU132" s="388"/>
      <c r="AV132" s="388"/>
      <c r="AW132" s="388"/>
      <c r="AX132" s="388"/>
      <c r="AY132" s="388"/>
      <c r="AZ132" s="388"/>
      <c r="BA132" s="388"/>
      <c r="BB132" s="388"/>
      <c r="BC132" s="388"/>
      <c r="BD132" s="388"/>
      <c r="BE132" s="388"/>
      <c r="BF132" s="388"/>
      <c r="BG132" s="388"/>
      <c r="BH132" s="388"/>
      <c r="BI132" s="2414"/>
      <c r="BJ132" s="388"/>
      <c r="BK132" s="2415"/>
      <c r="BL132" s="388"/>
      <c r="BM132" s="388"/>
      <c r="BN132" s="388"/>
      <c r="BO132" s="388"/>
      <c r="BP132" s="388"/>
    </row>
    <row r="133" spans="1:68" s="479" customFormat="1" x14ac:dyDescent="0.2">
      <c r="A133" s="477"/>
      <c r="B133" s="388"/>
      <c r="C133" s="388"/>
      <c r="D133" s="388"/>
      <c r="E133" s="388"/>
      <c r="F133" s="388"/>
      <c r="G133" s="388"/>
      <c r="H133" s="388"/>
      <c r="I133" s="478"/>
      <c r="J133" s="191"/>
      <c r="K133" s="485"/>
      <c r="L133" s="2411"/>
      <c r="M133" s="2418"/>
      <c r="O133" s="478"/>
      <c r="P133" s="481"/>
      <c r="Q133" s="482"/>
      <c r="R133" s="480"/>
      <c r="S133" s="480"/>
      <c r="T133" s="480"/>
      <c r="U133" s="493"/>
      <c r="V133" s="493"/>
      <c r="W133" s="493"/>
      <c r="X133" s="484"/>
      <c r="Y133" s="480"/>
      <c r="Z133" s="388"/>
      <c r="AA133" s="388"/>
      <c r="AB133" s="388"/>
      <c r="AC133" s="388"/>
      <c r="AD133" s="388"/>
      <c r="AE133" s="388"/>
      <c r="AF133" s="388"/>
      <c r="AG133" s="388"/>
      <c r="AH133" s="388"/>
      <c r="AI133" s="388"/>
      <c r="AJ133" s="388"/>
      <c r="AK133" s="388"/>
      <c r="AL133" s="388"/>
      <c r="AM133" s="388"/>
      <c r="AN133" s="388"/>
      <c r="AO133" s="388"/>
      <c r="AP133" s="388"/>
      <c r="AQ133" s="388"/>
      <c r="AR133" s="388"/>
      <c r="AS133" s="388"/>
      <c r="AT133" s="388"/>
      <c r="AU133" s="388"/>
      <c r="AV133" s="388"/>
      <c r="AW133" s="388"/>
      <c r="AX133" s="388"/>
      <c r="AY133" s="388"/>
      <c r="AZ133" s="388"/>
      <c r="BA133" s="388"/>
      <c r="BB133" s="388"/>
      <c r="BC133" s="388"/>
      <c r="BD133" s="388"/>
      <c r="BE133" s="388"/>
      <c r="BF133" s="388"/>
      <c r="BG133" s="388"/>
      <c r="BH133" s="388"/>
      <c r="BI133" s="2414"/>
      <c r="BJ133" s="388"/>
      <c r="BK133" s="2415"/>
      <c r="BL133" s="388"/>
      <c r="BM133" s="388"/>
      <c r="BN133" s="388"/>
      <c r="BO133" s="388"/>
      <c r="BP133" s="388"/>
    </row>
    <row r="134" spans="1:68" s="479" customFormat="1" x14ac:dyDescent="0.2">
      <c r="A134" s="477"/>
      <c r="B134" s="388"/>
      <c r="C134" s="388"/>
      <c r="D134" s="388"/>
      <c r="E134" s="388"/>
      <c r="F134" s="388"/>
      <c r="G134" s="388"/>
      <c r="H134" s="388"/>
      <c r="I134" s="478"/>
      <c r="J134" s="191"/>
      <c r="K134" s="485"/>
      <c r="L134" s="2411"/>
      <c r="M134" s="2418"/>
      <c r="O134" s="478"/>
      <c r="P134" s="481"/>
      <c r="Q134" s="482"/>
      <c r="R134" s="480"/>
      <c r="S134" s="480"/>
      <c r="T134" s="480"/>
      <c r="U134" s="493"/>
      <c r="V134" s="493"/>
      <c r="W134" s="493"/>
      <c r="X134" s="484"/>
      <c r="Y134" s="480"/>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8"/>
      <c r="AY134" s="388"/>
      <c r="AZ134" s="388"/>
      <c r="BA134" s="388"/>
      <c r="BB134" s="388"/>
      <c r="BC134" s="388"/>
      <c r="BD134" s="388"/>
      <c r="BE134" s="388"/>
      <c r="BF134" s="388"/>
      <c r="BG134" s="388"/>
      <c r="BH134" s="388"/>
      <c r="BI134" s="2414"/>
      <c r="BJ134" s="388"/>
      <c r="BK134" s="2415"/>
      <c r="BL134" s="388"/>
      <c r="BM134" s="388"/>
      <c r="BN134" s="388"/>
      <c r="BO134" s="388"/>
      <c r="BP134" s="388"/>
    </row>
    <row r="135" spans="1:68" s="479" customFormat="1" x14ac:dyDescent="0.2">
      <c r="A135" s="477"/>
      <c r="B135" s="388"/>
      <c r="C135" s="388"/>
      <c r="D135" s="388"/>
      <c r="E135" s="388"/>
      <c r="F135" s="388"/>
      <c r="G135" s="388"/>
      <c r="H135" s="388"/>
      <c r="I135" s="478"/>
      <c r="J135" s="191"/>
      <c r="K135" s="485"/>
      <c r="L135" s="2411"/>
      <c r="M135" s="2418"/>
      <c r="O135" s="478"/>
      <c r="P135" s="481"/>
      <c r="Q135" s="482"/>
      <c r="R135" s="480"/>
      <c r="S135" s="480"/>
      <c r="T135" s="480"/>
      <c r="U135" s="493"/>
      <c r="V135" s="493"/>
      <c r="W135" s="493"/>
      <c r="X135" s="484"/>
      <c r="Y135" s="480"/>
      <c r="Z135" s="388"/>
      <c r="AA135" s="388"/>
      <c r="AB135" s="388"/>
      <c r="AC135" s="388"/>
      <c r="AD135" s="388"/>
      <c r="AE135" s="388"/>
      <c r="AF135" s="388"/>
      <c r="AG135" s="388"/>
      <c r="AH135" s="388"/>
      <c r="AI135" s="388"/>
      <c r="AJ135" s="388"/>
      <c r="AK135" s="388"/>
      <c r="AL135" s="388"/>
      <c r="AM135" s="388"/>
      <c r="AN135" s="388"/>
      <c r="AO135" s="388"/>
      <c r="AP135" s="388"/>
      <c r="AQ135" s="388"/>
      <c r="AR135" s="388"/>
      <c r="AS135" s="388"/>
      <c r="AT135" s="388"/>
      <c r="AU135" s="388"/>
      <c r="AV135" s="388"/>
      <c r="AW135" s="388"/>
      <c r="AX135" s="388"/>
      <c r="AY135" s="388"/>
      <c r="AZ135" s="388"/>
      <c r="BA135" s="388"/>
      <c r="BB135" s="388"/>
      <c r="BC135" s="388"/>
      <c r="BD135" s="388"/>
      <c r="BE135" s="388"/>
      <c r="BF135" s="388"/>
      <c r="BG135" s="388"/>
      <c r="BH135" s="388"/>
      <c r="BI135" s="2414"/>
      <c r="BJ135" s="388"/>
      <c r="BK135" s="2415"/>
      <c r="BL135" s="388"/>
      <c r="BM135" s="388"/>
      <c r="BN135" s="388"/>
      <c r="BO135" s="388"/>
      <c r="BP135" s="388"/>
    </row>
    <row r="136" spans="1:68" s="479" customFormat="1" x14ac:dyDescent="0.2">
      <c r="A136" s="477"/>
      <c r="B136" s="388"/>
      <c r="C136" s="388"/>
      <c r="D136" s="388"/>
      <c r="E136" s="388"/>
      <c r="F136" s="388"/>
      <c r="G136" s="388"/>
      <c r="H136" s="388"/>
      <c r="I136" s="478"/>
      <c r="J136" s="191"/>
      <c r="K136" s="485"/>
      <c r="L136" s="2411"/>
      <c r="M136" s="2418"/>
      <c r="O136" s="478"/>
      <c r="P136" s="481"/>
      <c r="Q136" s="482"/>
      <c r="R136" s="480"/>
      <c r="S136" s="480"/>
      <c r="T136" s="480"/>
      <c r="U136" s="493"/>
      <c r="V136" s="493"/>
      <c r="W136" s="493"/>
      <c r="X136" s="484"/>
      <c r="Y136" s="480"/>
      <c r="Z136" s="388"/>
      <c r="AA136" s="388"/>
      <c r="AB136" s="388"/>
      <c r="AC136" s="388"/>
      <c r="AD136" s="388"/>
      <c r="AE136" s="388"/>
      <c r="AF136" s="388"/>
      <c r="AG136" s="388"/>
      <c r="AH136" s="388"/>
      <c r="AI136" s="388"/>
      <c r="AJ136" s="388"/>
      <c r="AK136" s="388"/>
      <c r="AL136" s="388"/>
      <c r="AM136" s="388"/>
      <c r="AN136" s="388"/>
      <c r="AO136" s="388"/>
      <c r="AP136" s="388"/>
      <c r="AQ136" s="388"/>
      <c r="AR136" s="388"/>
      <c r="AS136" s="388"/>
      <c r="AT136" s="388"/>
      <c r="AU136" s="388"/>
      <c r="AV136" s="388"/>
      <c r="AW136" s="388"/>
      <c r="AX136" s="388"/>
      <c r="AY136" s="388"/>
      <c r="AZ136" s="388"/>
      <c r="BA136" s="388"/>
      <c r="BB136" s="388"/>
      <c r="BC136" s="388"/>
      <c r="BD136" s="388"/>
      <c r="BE136" s="388"/>
      <c r="BF136" s="388"/>
      <c r="BG136" s="388"/>
      <c r="BH136" s="388"/>
      <c r="BI136" s="2414"/>
      <c r="BJ136" s="388"/>
      <c r="BK136" s="2415"/>
      <c r="BL136" s="388"/>
      <c r="BM136" s="388"/>
      <c r="BN136" s="388"/>
      <c r="BO136" s="388"/>
      <c r="BP136" s="388"/>
    </row>
    <row r="137" spans="1:68" s="479" customFormat="1" x14ac:dyDescent="0.2">
      <c r="A137" s="477"/>
      <c r="B137" s="388"/>
      <c r="C137" s="388"/>
      <c r="D137" s="388"/>
      <c r="E137" s="388"/>
      <c r="F137" s="388"/>
      <c r="G137" s="388"/>
      <c r="H137" s="388"/>
      <c r="I137" s="478"/>
      <c r="J137" s="191"/>
      <c r="K137" s="485"/>
      <c r="L137" s="2411"/>
      <c r="M137" s="2418"/>
      <c r="O137" s="478"/>
      <c r="P137" s="481"/>
      <c r="Q137" s="482"/>
      <c r="R137" s="480"/>
      <c r="S137" s="480"/>
      <c r="T137" s="480"/>
      <c r="U137" s="493"/>
      <c r="V137" s="493"/>
      <c r="W137" s="493"/>
      <c r="X137" s="484"/>
      <c r="Y137" s="480"/>
      <c r="Z137" s="388"/>
      <c r="AA137" s="388"/>
      <c r="AB137" s="388"/>
      <c r="AC137" s="388"/>
      <c r="AD137" s="388"/>
      <c r="AE137" s="388"/>
      <c r="AF137" s="388"/>
      <c r="AG137" s="388"/>
      <c r="AH137" s="388"/>
      <c r="AI137" s="388"/>
      <c r="AJ137" s="388"/>
      <c r="AK137" s="388"/>
      <c r="AL137" s="388"/>
      <c r="AM137" s="388"/>
      <c r="AN137" s="388"/>
      <c r="AO137" s="388"/>
      <c r="AP137" s="388"/>
      <c r="AQ137" s="388"/>
      <c r="AR137" s="388"/>
      <c r="AS137" s="388"/>
      <c r="AT137" s="388"/>
      <c r="AU137" s="388"/>
      <c r="AV137" s="388"/>
      <c r="AW137" s="388"/>
      <c r="AX137" s="388"/>
      <c r="AY137" s="388"/>
      <c r="AZ137" s="388"/>
      <c r="BA137" s="388"/>
      <c r="BB137" s="388"/>
      <c r="BC137" s="388"/>
      <c r="BD137" s="388"/>
      <c r="BE137" s="388"/>
      <c r="BF137" s="388"/>
      <c r="BG137" s="388"/>
      <c r="BH137" s="388"/>
      <c r="BI137" s="2414"/>
      <c r="BJ137" s="388"/>
      <c r="BK137" s="2415"/>
      <c r="BL137" s="388"/>
      <c r="BM137" s="388"/>
      <c r="BN137" s="388"/>
      <c r="BO137" s="388"/>
      <c r="BP137" s="388"/>
    </row>
    <row r="138" spans="1:68" s="479" customFormat="1" x14ac:dyDescent="0.2">
      <c r="A138" s="477"/>
      <c r="B138" s="388"/>
      <c r="C138" s="388"/>
      <c r="D138" s="388"/>
      <c r="E138" s="388"/>
      <c r="F138" s="388"/>
      <c r="G138" s="388"/>
      <c r="H138" s="388"/>
      <c r="I138" s="478"/>
      <c r="J138" s="191"/>
      <c r="K138" s="485"/>
      <c r="L138" s="2411"/>
      <c r="M138" s="2418"/>
      <c r="O138" s="478"/>
      <c r="P138" s="481"/>
      <c r="Q138" s="482"/>
      <c r="R138" s="480"/>
      <c r="S138" s="480"/>
      <c r="T138" s="480"/>
      <c r="U138" s="493"/>
      <c r="V138" s="493"/>
      <c r="W138" s="493"/>
      <c r="X138" s="484"/>
      <c r="Y138" s="480"/>
      <c r="Z138" s="388"/>
      <c r="AA138" s="388"/>
      <c r="AB138" s="388"/>
      <c r="AC138" s="388"/>
      <c r="AD138" s="388"/>
      <c r="AE138" s="388"/>
      <c r="AF138" s="388"/>
      <c r="AG138" s="388"/>
      <c r="AH138" s="388"/>
      <c r="AI138" s="388"/>
      <c r="AJ138" s="388"/>
      <c r="AK138" s="388"/>
      <c r="AL138" s="388"/>
      <c r="AM138" s="388"/>
      <c r="AN138" s="388"/>
      <c r="AO138" s="388"/>
      <c r="AP138" s="388"/>
      <c r="AQ138" s="388"/>
      <c r="AR138" s="388"/>
      <c r="AS138" s="388"/>
      <c r="AT138" s="388"/>
      <c r="AU138" s="388"/>
      <c r="AV138" s="388"/>
      <c r="AW138" s="388"/>
      <c r="AX138" s="388"/>
      <c r="AY138" s="388"/>
      <c r="AZ138" s="388"/>
      <c r="BA138" s="388"/>
      <c r="BB138" s="388"/>
      <c r="BC138" s="388"/>
      <c r="BD138" s="388"/>
      <c r="BE138" s="388"/>
      <c r="BF138" s="388"/>
      <c r="BG138" s="388"/>
      <c r="BH138" s="388"/>
      <c r="BI138" s="2414"/>
      <c r="BJ138" s="388"/>
      <c r="BK138" s="2415"/>
      <c r="BL138" s="388"/>
      <c r="BM138" s="388"/>
      <c r="BN138" s="388"/>
      <c r="BO138" s="388"/>
      <c r="BP138" s="388"/>
    </row>
    <row r="139" spans="1:68" s="479" customFormat="1" x14ac:dyDescent="0.2">
      <c r="A139" s="477"/>
      <c r="B139" s="388"/>
      <c r="C139" s="388"/>
      <c r="D139" s="388"/>
      <c r="E139" s="388"/>
      <c r="F139" s="388"/>
      <c r="G139" s="388"/>
      <c r="H139" s="388"/>
      <c r="I139" s="478"/>
      <c r="J139" s="191"/>
      <c r="K139" s="485"/>
      <c r="L139" s="2411"/>
      <c r="M139" s="2418"/>
      <c r="O139" s="478"/>
      <c r="P139" s="481"/>
      <c r="Q139" s="482"/>
      <c r="R139" s="480"/>
      <c r="S139" s="480"/>
      <c r="T139" s="480"/>
      <c r="U139" s="493"/>
      <c r="V139" s="493"/>
      <c r="W139" s="493"/>
      <c r="X139" s="484"/>
      <c r="Y139" s="480"/>
      <c r="Z139" s="388"/>
      <c r="AA139" s="388"/>
      <c r="AB139" s="388"/>
      <c r="AC139" s="388"/>
      <c r="AD139" s="388"/>
      <c r="AE139" s="388"/>
      <c r="AF139" s="388"/>
      <c r="AG139" s="388"/>
      <c r="AH139" s="388"/>
      <c r="AI139" s="388"/>
      <c r="AJ139" s="388"/>
      <c r="AK139" s="388"/>
      <c r="AL139" s="388"/>
      <c r="AM139" s="388"/>
      <c r="AN139" s="388"/>
      <c r="AO139" s="388"/>
      <c r="AP139" s="388"/>
      <c r="AQ139" s="388"/>
      <c r="AR139" s="388"/>
      <c r="AS139" s="388"/>
      <c r="AT139" s="388"/>
      <c r="AU139" s="388"/>
      <c r="AV139" s="388"/>
      <c r="AW139" s="388"/>
      <c r="AX139" s="388"/>
      <c r="AY139" s="388"/>
      <c r="AZ139" s="388"/>
      <c r="BA139" s="388"/>
      <c r="BB139" s="388"/>
      <c r="BC139" s="388"/>
      <c r="BD139" s="388"/>
      <c r="BE139" s="388"/>
      <c r="BF139" s="388"/>
      <c r="BG139" s="388"/>
      <c r="BH139" s="388"/>
      <c r="BI139" s="2414"/>
      <c r="BJ139" s="388"/>
      <c r="BK139" s="2415"/>
      <c r="BL139" s="388"/>
      <c r="BM139" s="388"/>
      <c r="BN139" s="388"/>
      <c r="BO139" s="388"/>
      <c r="BP139" s="388"/>
    </row>
    <row r="140" spans="1:68" s="479" customFormat="1" x14ac:dyDescent="0.2">
      <c r="A140" s="477"/>
      <c r="B140" s="388"/>
      <c r="C140" s="388"/>
      <c r="D140" s="388"/>
      <c r="E140" s="388"/>
      <c r="F140" s="388"/>
      <c r="G140" s="388"/>
      <c r="H140" s="388"/>
      <c r="I140" s="478"/>
      <c r="J140" s="191"/>
      <c r="K140" s="485"/>
      <c r="L140" s="2411"/>
      <c r="M140" s="2418"/>
      <c r="O140" s="478"/>
      <c r="P140" s="481"/>
      <c r="Q140" s="482"/>
      <c r="R140" s="480"/>
      <c r="S140" s="480"/>
      <c r="T140" s="480"/>
      <c r="U140" s="493"/>
      <c r="V140" s="493"/>
      <c r="W140" s="493"/>
      <c r="X140" s="484"/>
      <c r="Y140" s="480"/>
      <c r="Z140" s="388"/>
      <c r="AA140" s="388"/>
      <c r="AB140" s="388"/>
      <c r="AC140" s="388"/>
      <c r="AD140" s="388"/>
      <c r="AE140" s="388"/>
      <c r="AF140" s="388"/>
      <c r="AG140" s="388"/>
      <c r="AH140" s="388"/>
      <c r="AI140" s="388"/>
      <c r="AJ140" s="388"/>
      <c r="AK140" s="388"/>
      <c r="AL140" s="388"/>
      <c r="AM140" s="388"/>
      <c r="AN140" s="388"/>
      <c r="AO140" s="388"/>
      <c r="AP140" s="388"/>
      <c r="AQ140" s="388"/>
      <c r="AR140" s="388"/>
      <c r="AS140" s="388"/>
      <c r="AT140" s="388"/>
      <c r="AU140" s="388"/>
      <c r="AV140" s="388"/>
      <c r="AW140" s="388"/>
      <c r="AX140" s="388"/>
      <c r="AY140" s="388"/>
      <c r="AZ140" s="388"/>
      <c r="BA140" s="388"/>
      <c r="BB140" s="388"/>
      <c r="BC140" s="388"/>
      <c r="BD140" s="388"/>
      <c r="BE140" s="388"/>
      <c r="BF140" s="388"/>
      <c r="BG140" s="388"/>
      <c r="BH140" s="388"/>
      <c r="BI140" s="2414"/>
      <c r="BJ140" s="388"/>
      <c r="BK140" s="2415"/>
      <c r="BL140" s="388"/>
      <c r="BM140" s="388"/>
      <c r="BN140" s="388"/>
      <c r="BO140" s="388"/>
      <c r="BP140" s="388"/>
    </row>
    <row r="141" spans="1:68" s="479" customFormat="1" x14ac:dyDescent="0.2">
      <c r="A141" s="477"/>
      <c r="B141" s="388"/>
      <c r="C141" s="388"/>
      <c r="D141" s="388"/>
      <c r="E141" s="388"/>
      <c r="F141" s="388"/>
      <c r="G141" s="388"/>
      <c r="H141" s="388"/>
      <c r="I141" s="478"/>
      <c r="J141" s="191"/>
      <c r="K141" s="485"/>
      <c r="L141" s="2411"/>
      <c r="M141" s="2418"/>
      <c r="O141" s="478"/>
      <c r="P141" s="481"/>
      <c r="Q141" s="482"/>
      <c r="R141" s="480"/>
      <c r="S141" s="480"/>
      <c r="T141" s="480"/>
      <c r="U141" s="493"/>
      <c r="V141" s="493"/>
      <c r="W141" s="493"/>
      <c r="X141" s="484"/>
      <c r="Y141" s="480"/>
      <c r="Z141" s="388"/>
      <c r="AA141" s="388"/>
      <c r="AB141" s="388"/>
      <c r="AC141" s="388"/>
      <c r="AD141" s="388"/>
      <c r="AE141" s="388"/>
      <c r="AF141" s="388"/>
      <c r="AG141" s="388"/>
      <c r="AH141" s="388"/>
      <c r="AI141" s="388"/>
      <c r="AJ141" s="388"/>
      <c r="AK141" s="388"/>
      <c r="AL141" s="388"/>
      <c r="AM141" s="388"/>
      <c r="AN141" s="388"/>
      <c r="AO141" s="388"/>
      <c r="AP141" s="388"/>
      <c r="AQ141" s="388"/>
      <c r="AR141" s="388"/>
      <c r="AS141" s="388"/>
      <c r="AT141" s="388"/>
      <c r="AU141" s="388"/>
      <c r="AV141" s="388"/>
      <c r="AW141" s="388"/>
      <c r="AX141" s="388"/>
      <c r="AY141" s="388"/>
      <c r="AZ141" s="388"/>
      <c r="BA141" s="388"/>
      <c r="BB141" s="388"/>
      <c r="BC141" s="388"/>
      <c r="BD141" s="388"/>
      <c r="BE141" s="388"/>
      <c r="BF141" s="388"/>
      <c r="BG141" s="388"/>
      <c r="BH141" s="388"/>
      <c r="BI141" s="2414"/>
      <c r="BJ141" s="388"/>
      <c r="BK141" s="2415"/>
      <c r="BL141" s="388"/>
      <c r="BM141" s="388"/>
      <c r="BN141" s="388"/>
      <c r="BO141" s="388"/>
      <c r="BP141" s="388"/>
    </row>
    <row r="142" spans="1:68" s="479" customFormat="1" x14ac:dyDescent="0.2">
      <c r="A142" s="477"/>
      <c r="B142" s="388"/>
      <c r="C142" s="388"/>
      <c r="D142" s="388"/>
      <c r="E142" s="388"/>
      <c r="F142" s="388"/>
      <c r="G142" s="388"/>
      <c r="H142" s="388"/>
      <c r="I142" s="478"/>
      <c r="J142" s="191"/>
      <c r="K142" s="485"/>
      <c r="L142" s="2411"/>
      <c r="M142" s="2418"/>
      <c r="O142" s="478"/>
      <c r="P142" s="481"/>
      <c r="Q142" s="482"/>
      <c r="R142" s="480"/>
      <c r="S142" s="480"/>
      <c r="T142" s="480"/>
      <c r="U142" s="493"/>
      <c r="V142" s="493"/>
      <c r="W142" s="493"/>
      <c r="X142" s="484"/>
      <c r="Y142" s="480"/>
      <c r="Z142" s="388"/>
      <c r="AA142" s="388"/>
      <c r="AB142" s="388"/>
      <c r="AC142" s="388"/>
      <c r="AD142" s="388"/>
      <c r="AE142" s="388"/>
      <c r="AF142" s="388"/>
      <c r="AG142" s="388"/>
      <c r="AH142" s="388"/>
      <c r="AI142" s="388"/>
      <c r="AJ142" s="388"/>
      <c r="AK142" s="388"/>
      <c r="AL142" s="388"/>
      <c r="AM142" s="388"/>
      <c r="AN142" s="388"/>
      <c r="AO142" s="388"/>
      <c r="AP142" s="388"/>
      <c r="AQ142" s="388"/>
      <c r="AR142" s="388"/>
      <c r="AS142" s="388"/>
      <c r="AT142" s="388"/>
      <c r="AU142" s="388"/>
      <c r="AV142" s="388"/>
      <c r="AW142" s="388"/>
      <c r="AX142" s="388"/>
      <c r="AY142" s="388"/>
      <c r="AZ142" s="388"/>
      <c r="BA142" s="388"/>
      <c r="BB142" s="388"/>
      <c r="BC142" s="388"/>
      <c r="BD142" s="388"/>
      <c r="BE142" s="388"/>
      <c r="BF142" s="388"/>
      <c r="BG142" s="388"/>
      <c r="BH142" s="388"/>
      <c r="BI142" s="2414"/>
      <c r="BJ142" s="388"/>
      <c r="BK142" s="2415"/>
      <c r="BL142" s="388"/>
      <c r="BM142" s="388"/>
      <c r="BN142" s="388"/>
      <c r="BO142" s="388"/>
      <c r="BP142" s="388"/>
    </row>
    <row r="143" spans="1:68" s="479" customFormat="1" x14ac:dyDescent="0.2">
      <c r="A143" s="477"/>
      <c r="B143" s="388"/>
      <c r="C143" s="388"/>
      <c r="D143" s="388"/>
      <c r="E143" s="388"/>
      <c r="F143" s="388"/>
      <c r="G143" s="388"/>
      <c r="H143" s="388"/>
      <c r="I143" s="478"/>
      <c r="J143" s="191"/>
      <c r="K143" s="485"/>
      <c r="L143" s="2411"/>
      <c r="M143" s="2418"/>
      <c r="O143" s="478"/>
      <c r="P143" s="481"/>
      <c r="Q143" s="482"/>
      <c r="R143" s="480"/>
      <c r="S143" s="480"/>
      <c r="T143" s="480"/>
      <c r="U143" s="493"/>
      <c r="V143" s="493"/>
      <c r="W143" s="493"/>
      <c r="X143" s="484"/>
      <c r="Y143" s="480"/>
      <c r="Z143" s="388"/>
      <c r="AA143" s="388"/>
      <c r="AB143" s="388"/>
      <c r="AC143" s="388"/>
      <c r="AD143" s="388"/>
      <c r="AE143" s="388"/>
      <c r="AF143" s="388"/>
      <c r="AG143" s="388"/>
      <c r="AH143" s="388"/>
      <c r="AI143" s="388"/>
      <c r="AJ143" s="388"/>
      <c r="AK143" s="388"/>
      <c r="AL143" s="388"/>
      <c r="AM143" s="388"/>
      <c r="AN143" s="388"/>
      <c r="AO143" s="388"/>
      <c r="AP143" s="388"/>
      <c r="AQ143" s="388"/>
      <c r="AR143" s="388"/>
      <c r="AS143" s="388"/>
      <c r="AT143" s="388"/>
      <c r="AU143" s="388"/>
      <c r="AV143" s="388"/>
      <c r="AW143" s="388"/>
      <c r="AX143" s="388"/>
      <c r="AY143" s="388"/>
      <c r="AZ143" s="388"/>
      <c r="BA143" s="388"/>
      <c r="BB143" s="388"/>
      <c r="BC143" s="388"/>
      <c r="BD143" s="388"/>
      <c r="BE143" s="388"/>
      <c r="BF143" s="388"/>
      <c r="BG143" s="388"/>
      <c r="BH143" s="388"/>
      <c r="BI143" s="2414"/>
      <c r="BJ143" s="388"/>
      <c r="BK143" s="2415"/>
      <c r="BL143" s="388"/>
      <c r="BM143" s="388"/>
      <c r="BN143" s="388"/>
      <c r="BO143" s="388"/>
      <c r="BP143" s="388"/>
    </row>
    <row r="144" spans="1:68" s="479" customFormat="1" x14ac:dyDescent="0.2">
      <c r="A144" s="477"/>
      <c r="B144" s="388"/>
      <c r="C144" s="388"/>
      <c r="D144" s="388"/>
      <c r="E144" s="388"/>
      <c r="F144" s="388"/>
      <c r="G144" s="388"/>
      <c r="H144" s="388"/>
      <c r="I144" s="478"/>
      <c r="J144" s="191"/>
      <c r="K144" s="485"/>
      <c r="L144" s="2411"/>
      <c r="M144" s="2418"/>
      <c r="O144" s="478"/>
      <c r="P144" s="481"/>
      <c r="Q144" s="482"/>
      <c r="R144" s="480"/>
      <c r="S144" s="480"/>
      <c r="T144" s="480"/>
      <c r="U144" s="493"/>
      <c r="V144" s="493"/>
      <c r="W144" s="493"/>
      <c r="X144" s="484"/>
      <c r="Y144" s="480"/>
      <c r="Z144" s="388"/>
      <c r="AA144" s="388"/>
      <c r="AB144" s="388"/>
      <c r="AC144" s="388"/>
      <c r="AD144" s="388"/>
      <c r="AE144" s="388"/>
      <c r="AF144" s="388"/>
      <c r="AG144" s="388"/>
      <c r="AH144" s="388"/>
      <c r="AI144" s="388"/>
      <c r="AJ144" s="388"/>
      <c r="AK144" s="388"/>
      <c r="AL144" s="388"/>
      <c r="AM144" s="388"/>
      <c r="AN144" s="388"/>
      <c r="AO144" s="388"/>
      <c r="AP144" s="388"/>
      <c r="AQ144" s="388"/>
      <c r="AR144" s="388"/>
      <c r="AS144" s="388"/>
      <c r="AT144" s="388"/>
      <c r="AU144" s="388"/>
      <c r="AV144" s="388"/>
      <c r="AW144" s="388"/>
      <c r="AX144" s="388"/>
      <c r="AY144" s="388"/>
      <c r="AZ144" s="388"/>
      <c r="BA144" s="388"/>
      <c r="BB144" s="388"/>
      <c r="BC144" s="388"/>
      <c r="BD144" s="388"/>
      <c r="BE144" s="388"/>
      <c r="BF144" s="388"/>
      <c r="BG144" s="388"/>
      <c r="BH144" s="388"/>
      <c r="BI144" s="2414"/>
      <c r="BJ144" s="388"/>
      <c r="BK144" s="2415"/>
      <c r="BL144" s="388"/>
      <c r="BM144" s="388"/>
      <c r="BN144" s="388"/>
      <c r="BO144" s="388"/>
      <c r="BP144" s="388"/>
    </row>
    <row r="145" spans="1:68" s="479" customFormat="1" x14ac:dyDescent="0.2">
      <c r="A145" s="477"/>
      <c r="B145" s="388"/>
      <c r="C145" s="388"/>
      <c r="D145" s="388"/>
      <c r="E145" s="388"/>
      <c r="F145" s="388"/>
      <c r="G145" s="388"/>
      <c r="H145" s="388"/>
      <c r="I145" s="478"/>
      <c r="J145" s="191"/>
      <c r="K145" s="485"/>
      <c r="L145" s="2411"/>
      <c r="M145" s="2418"/>
      <c r="O145" s="478"/>
      <c r="P145" s="481"/>
      <c r="Q145" s="482"/>
      <c r="R145" s="480"/>
      <c r="S145" s="480"/>
      <c r="T145" s="480"/>
      <c r="U145" s="493"/>
      <c r="V145" s="493"/>
      <c r="W145" s="493"/>
      <c r="X145" s="484"/>
      <c r="Y145" s="480"/>
      <c r="Z145" s="388"/>
      <c r="AA145" s="388"/>
      <c r="AB145" s="388"/>
      <c r="AC145" s="388"/>
      <c r="AD145" s="388"/>
      <c r="AE145" s="388"/>
      <c r="AF145" s="388"/>
      <c r="AG145" s="388"/>
      <c r="AH145" s="388"/>
      <c r="AI145" s="388"/>
      <c r="AJ145" s="388"/>
      <c r="AK145" s="388"/>
      <c r="AL145" s="388"/>
      <c r="AM145" s="388"/>
      <c r="AN145" s="388"/>
      <c r="AO145" s="388"/>
      <c r="AP145" s="388"/>
      <c r="AQ145" s="388"/>
      <c r="AR145" s="388"/>
      <c r="AS145" s="388"/>
      <c r="AT145" s="388"/>
      <c r="AU145" s="388"/>
      <c r="AV145" s="388"/>
      <c r="AW145" s="388"/>
      <c r="AX145" s="388"/>
      <c r="AY145" s="388"/>
      <c r="AZ145" s="388"/>
      <c r="BA145" s="388"/>
      <c r="BB145" s="388"/>
      <c r="BC145" s="388"/>
      <c r="BD145" s="388"/>
      <c r="BE145" s="388"/>
      <c r="BF145" s="388"/>
      <c r="BG145" s="388"/>
      <c r="BH145" s="388"/>
      <c r="BI145" s="2414"/>
      <c r="BJ145" s="388"/>
      <c r="BK145" s="2415"/>
      <c r="BL145" s="388"/>
      <c r="BM145" s="388"/>
      <c r="BN145" s="388"/>
      <c r="BO145" s="388"/>
      <c r="BP145" s="388"/>
    </row>
    <row r="146" spans="1:68" s="479" customFormat="1" x14ac:dyDescent="0.2">
      <c r="A146" s="477"/>
      <c r="B146" s="388"/>
      <c r="C146" s="388"/>
      <c r="D146" s="388"/>
      <c r="E146" s="388"/>
      <c r="F146" s="388"/>
      <c r="G146" s="388"/>
      <c r="H146" s="388"/>
      <c r="I146" s="478"/>
      <c r="J146" s="191"/>
      <c r="K146" s="485"/>
      <c r="L146" s="2411"/>
      <c r="M146" s="2418"/>
      <c r="O146" s="478"/>
      <c r="P146" s="481"/>
      <c r="Q146" s="482"/>
      <c r="R146" s="480"/>
      <c r="S146" s="480"/>
      <c r="T146" s="480"/>
      <c r="U146" s="493"/>
      <c r="V146" s="493"/>
      <c r="W146" s="493"/>
      <c r="X146" s="484"/>
      <c r="Y146" s="480"/>
      <c r="Z146" s="388"/>
      <c r="AA146" s="388"/>
      <c r="AB146" s="388"/>
      <c r="AC146" s="388"/>
      <c r="AD146" s="388"/>
      <c r="AE146" s="388"/>
      <c r="AF146" s="388"/>
      <c r="AG146" s="388"/>
      <c r="AH146" s="388"/>
      <c r="AI146" s="388"/>
      <c r="AJ146" s="388"/>
      <c r="AK146" s="388"/>
      <c r="AL146" s="388"/>
      <c r="AM146" s="388"/>
      <c r="AN146" s="388"/>
      <c r="AO146" s="388"/>
      <c r="AP146" s="388"/>
      <c r="AQ146" s="388"/>
      <c r="AR146" s="388"/>
      <c r="AS146" s="388"/>
      <c r="AT146" s="388"/>
      <c r="AU146" s="388"/>
      <c r="AV146" s="388"/>
      <c r="AW146" s="388"/>
      <c r="AX146" s="388"/>
      <c r="AY146" s="388"/>
      <c r="AZ146" s="388"/>
      <c r="BA146" s="388"/>
      <c r="BB146" s="388"/>
      <c r="BC146" s="388"/>
      <c r="BD146" s="388"/>
      <c r="BE146" s="388"/>
      <c r="BF146" s="388"/>
      <c r="BG146" s="388"/>
      <c r="BH146" s="388"/>
      <c r="BI146" s="2414"/>
      <c r="BJ146" s="388"/>
      <c r="BK146" s="2415"/>
      <c r="BL146" s="388"/>
      <c r="BM146" s="388"/>
      <c r="BN146" s="388"/>
      <c r="BO146" s="388"/>
      <c r="BP146" s="388"/>
    </row>
    <row r="147" spans="1:68" s="479" customFormat="1" x14ac:dyDescent="0.2">
      <c r="A147" s="477"/>
      <c r="B147" s="388"/>
      <c r="C147" s="388"/>
      <c r="D147" s="388"/>
      <c r="E147" s="388"/>
      <c r="F147" s="388"/>
      <c r="G147" s="388"/>
      <c r="H147" s="388"/>
      <c r="I147" s="478"/>
      <c r="J147" s="191"/>
      <c r="K147" s="485"/>
      <c r="L147" s="2411"/>
      <c r="M147" s="2418"/>
      <c r="O147" s="478"/>
      <c r="P147" s="481"/>
      <c r="Q147" s="482"/>
      <c r="R147" s="480"/>
      <c r="S147" s="480"/>
      <c r="T147" s="480"/>
      <c r="U147" s="493"/>
      <c r="V147" s="493"/>
      <c r="W147" s="493"/>
      <c r="X147" s="484"/>
      <c r="Y147" s="480"/>
      <c r="Z147" s="388"/>
      <c r="AA147" s="388"/>
      <c r="AB147" s="388"/>
      <c r="AC147" s="388"/>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88"/>
      <c r="AY147" s="388"/>
      <c r="AZ147" s="388"/>
      <c r="BA147" s="388"/>
      <c r="BB147" s="388"/>
      <c r="BC147" s="388"/>
      <c r="BD147" s="388"/>
      <c r="BE147" s="388"/>
      <c r="BF147" s="388"/>
      <c r="BG147" s="388"/>
      <c r="BH147" s="388"/>
      <c r="BI147" s="2414"/>
      <c r="BJ147" s="388"/>
      <c r="BK147" s="2415"/>
      <c r="BL147" s="388"/>
      <c r="BM147" s="388"/>
      <c r="BN147" s="388"/>
      <c r="BO147" s="388"/>
      <c r="BP147" s="388"/>
    </row>
    <row r="148" spans="1:68" s="479" customFormat="1" x14ac:dyDescent="0.2">
      <c r="A148" s="477"/>
      <c r="B148" s="388"/>
      <c r="C148" s="388"/>
      <c r="D148" s="388"/>
      <c r="E148" s="388"/>
      <c r="F148" s="388"/>
      <c r="G148" s="388"/>
      <c r="H148" s="388"/>
      <c r="I148" s="478"/>
      <c r="J148" s="191"/>
      <c r="K148" s="485"/>
      <c r="L148" s="2411"/>
      <c r="M148" s="2418"/>
      <c r="O148" s="478"/>
      <c r="P148" s="481"/>
      <c r="Q148" s="482"/>
      <c r="R148" s="480"/>
      <c r="S148" s="480"/>
      <c r="T148" s="480"/>
      <c r="U148" s="493"/>
      <c r="V148" s="493"/>
      <c r="W148" s="493"/>
      <c r="X148" s="484"/>
      <c r="Y148" s="480"/>
      <c r="Z148" s="388"/>
      <c r="AA148" s="388"/>
      <c r="AB148" s="388"/>
      <c r="AC148" s="388"/>
      <c r="AD148" s="388"/>
      <c r="AE148" s="388"/>
      <c r="AF148" s="388"/>
      <c r="AG148" s="388"/>
      <c r="AH148" s="388"/>
      <c r="AI148" s="388"/>
      <c r="AJ148" s="388"/>
      <c r="AK148" s="388"/>
      <c r="AL148" s="388"/>
      <c r="AM148" s="388"/>
      <c r="AN148" s="388"/>
      <c r="AO148" s="388"/>
      <c r="AP148" s="388"/>
      <c r="AQ148" s="388"/>
      <c r="AR148" s="388"/>
      <c r="AS148" s="388"/>
      <c r="AT148" s="388"/>
      <c r="AU148" s="388"/>
      <c r="AV148" s="388"/>
      <c r="AW148" s="388"/>
      <c r="AX148" s="388"/>
      <c r="AY148" s="388"/>
      <c r="AZ148" s="388"/>
      <c r="BA148" s="388"/>
      <c r="BB148" s="388"/>
      <c r="BC148" s="388"/>
      <c r="BD148" s="388"/>
      <c r="BE148" s="388"/>
      <c r="BF148" s="388"/>
      <c r="BG148" s="388"/>
      <c r="BH148" s="388"/>
      <c r="BI148" s="2414"/>
      <c r="BJ148" s="388"/>
      <c r="BK148" s="2415"/>
      <c r="BL148" s="388"/>
      <c r="BM148" s="388"/>
      <c r="BN148" s="388"/>
      <c r="BO148" s="388"/>
      <c r="BP148" s="388"/>
    </row>
    <row r="149" spans="1:68" s="479" customFormat="1" x14ac:dyDescent="0.2">
      <c r="A149" s="477"/>
      <c r="B149" s="388"/>
      <c r="C149" s="388"/>
      <c r="D149" s="388"/>
      <c r="E149" s="388"/>
      <c r="F149" s="388"/>
      <c r="G149" s="388"/>
      <c r="H149" s="388"/>
      <c r="I149" s="478"/>
      <c r="J149" s="191"/>
      <c r="K149" s="485"/>
      <c r="L149" s="2411"/>
      <c r="M149" s="2418"/>
      <c r="O149" s="478"/>
      <c r="P149" s="481"/>
      <c r="Q149" s="482"/>
      <c r="R149" s="480"/>
      <c r="S149" s="480"/>
      <c r="T149" s="480"/>
      <c r="U149" s="493"/>
      <c r="V149" s="493"/>
      <c r="W149" s="493"/>
      <c r="X149" s="484"/>
      <c r="Y149" s="480"/>
      <c r="Z149" s="388"/>
      <c r="AA149" s="388"/>
      <c r="AB149" s="388"/>
      <c r="AC149" s="388"/>
      <c r="AD149" s="388"/>
      <c r="AE149" s="388"/>
      <c r="AF149" s="388"/>
      <c r="AG149" s="388"/>
      <c r="AH149" s="388"/>
      <c r="AI149" s="388"/>
      <c r="AJ149" s="388"/>
      <c r="AK149" s="388"/>
      <c r="AL149" s="388"/>
      <c r="AM149" s="388"/>
      <c r="AN149" s="388"/>
      <c r="AO149" s="388"/>
      <c r="AP149" s="388"/>
      <c r="AQ149" s="388"/>
      <c r="AR149" s="388"/>
      <c r="AS149" s="388"/>
      <c r="AT149" s="388"/>
      <c r="AU149" s="388"/>
      <c r="AV149" s="388"/>
      <c r="AW149" s="388"/>
      <c r="AX149" s="388"/>
      <c r="AY149" s="388"/>
      <c r="AZ149" s="388"/>
      <c r="BA149" s="388"/>
      <c r="BB149" s="388"/>
      <c r="BC149" s="388"/>
      <c r="BD149" s="388"/>
      <c r="BE149" s="388"/>
      <c r="BF149" s="388"/>
      <c r="BG149" s="388"/>
      <c r="BH149" s="388"/>
      <c r="BI149" s="2414"/>
      <c r="BJ149" s="388"/>
      <c r="BK149" s="2415"/>
      <c r="BL149" s="388"/>
      <c r="BM149" s="388"/>
      <c r="BN149" s="388"/>
      <c r="BO149" s="388"/>
      <c r="BP149" s="388"/>
    </row>
    <row r="150" spans="1:68" s="479" customFormat="1" x14ac:dyDescent="0.2">
      <c r="A150" s="477"/>
      <c r="B150" s="388"/>
      <c r="C150" s="388"/>
      <c r="D150" s="388"/>
      <c r="E150" s="388"/>
      <c r="F150" s="388"/>
      <c r="G150" s="388"/>
      <c r="H150" s="388"/>
      <c r="I150" s="478"/>
      <c r="J150" s="191"/>
      <c r="K150" s="485"/>
      <c r="L150" s="2411"/>
      <c r="M150" s="2418"/>
      <c r="O150" s="478"/>
      <c r="P150" s="481"/>
      <c r="Q150" s="482"/>
      <c r="R150" s="480"/>
      <c r="S150" s="480"/>
      <c r="T150" s="480"/>
      <c r="U150" s="493"/>
      <c r="V150" s="493"/>
      <c r="W150" s="493"/>
      <c r="X150" s="484"/>
      <c r="Y150" s="480"/>
      <c r="Z150" s="388"/>
      <c r="AA150" s="388"/>
      <c r="AB150" s="388"/>
      <c r="AC150" s="388"/>
      <c r="AD150" s="388"/>
      <c r="AE150" s="388"/>
      <c r="AF150" s="388"/>
      <c r="AG150" s="388"/>
      <c r="AH150" s="388"/>
      <c r="AI150" s="388"/>
      <c r="AJ150" s="388"/>
      <c r="AK150" s="388"/>
      <c r="AL150" s="388"/>
      <c r="AM150" s="388"/>
      <c r="AN150" s="388"/>
      <c r="AO150" s="388"/>
      <c r="AP150" s="388"/>
      <c r="AQ150" s="388"/>
      <c r="AR150" s="388"/>
      <c r="AS150" s="388"/>
      <c r="AT150" s="388"/>
      <c r="AU150" s="388"/>
      <c r="AV150" s="388"/>
      <c r="AW150" s="388"/>
      <c r="AX150" s="388"/>
      <c r="AY150" s="388"/>
      <c r="AZ150" s="388"/>
      <c r="BA150" s="388"/>
      <c r="BB150" s="388"/>
      <c r="BC150" s="388"/>
      <c r="BD150" s="388"/>
      <c r="BE150" s="388"/>
      <c r="BF150" s="388"/>
      <c r="BG150" s="388"/>
      <c r="BH150" s="388"/>
      <c r="BI150" s="2414"/>
      <c r="BJ150" s="388"/>
      <c r="BK150" s="2415"/>
      <c r="BL150" s="388"/>
      <c r="BM150" s="388"/>
      <c r="BN150" s="388"/>
      <c r="BO150" s="388"/>
      <c r="BP150" s="388"/>
    </row>
    <row r="151" spans="1:68" s="479" customFormat="1" x14ac:dyDescent="0.2">
      <c r="A151" s="477"/>
      <c r="B151" s="388"/>
      <c r="C151" s="388"/>
      <c r="D151" s="388"/>
      <c r="E151" s="388"/>
      <c r="F151" s="388"/>
      <c r="G151" s="388"/>
      <c r="H151" s="388"/>
      <c r="I151" s="478"/>
      <c r="J151" s="191"/>
      <c r="K151" s="485"/>
      <c r="L151" s="2411"/>
      <c r="M151" s="2418"/>
      <c r="O151" s="478"/>
      <c r="P151" s="481"/>
      <c r="Q151" s="482"/>
      <c r="R151" s="480"/>
      <c r="S151" s="480"/>
      <c r="T151" s="480"/>
      <c r="U151" s="493"/>
      <c r="V151" s="493"/>
      <c r="W151" s="493"/>
      <c r="X151" s="484"/>
      <c r="Y151" s="480"/>
      <c r="Z151" s="388"/>
      <c r="AA151" s="388"/>
      <c r="AB151" s="388"/>
      <c r="AC151" s="388"/>
      <c r="AD151" s="388"/>
      <c r="AE151" s="388"/>
      <c r="AF151" s="388"/>
      <c r="AG151" s="388"/>
      <c r="AH151" s="388"/>
      <c r="AI151" s="388"/>
      <c r="AJ151" s="388"/>
      <c r="AK151" s="388"/>
      <c r="AL151" s="388"/>
      <c r="AM151" s="388"/>
      <c r="AN151" s="388"/>
      <c r="AO151" s="388"/>
      <c r="AP151" s="388"/>
      <c r="AQ151" s="388"/>
      <c r="AR151" s="388"/>
      <c r="AS151" s="388"/>
      <c r="AT151" s="388"/>
      <c r="AU151" s="388"/>
      <c r="AV151" s="388"/>
      <c r="AW151" s="388"/>
      <c r="AX151" s="388"/>
      <c r="AY151" s="388"/>
      <c r="AZ151" s="388"/>
      <c r="BA151" s="388"/>
      <c r="BB151" s="388"/>
      <c r="BC151" s="388"/>
      <c r="BD151" s="388"/>
      <c r="BE151" s="388"/>
      <c r="BF151" s="388"/>
      <c r="BG151" s="388"/>
      <c r="BH151" s="388"/>
      <c r="BI151" s="2414"/>
      <c r="BJ151" s="388"/>
      <c r="BK151" s="2415"/>
      <c r="BL151" s="388"/>
      <c r="BM151" s="388"/>
      <c r="BN151" s="388"/>
      <c r="BO151" s="388"/>
      <c r="BP151" s="388"/>
    </row>
    <row r="152" spans="1:68" s="479" customFormat="1" x14ac:dyDescent="0.2">
      <c r="A152" s="477"/>
      <c r="B152" s="388"/>
      <c r="C152" s="388"/>
      <c r="D152" s="388"/>
      <c r="E152" s="388"/>
      <c r="F152" s="388"/>
      <c r="G152" s="388"/>
      <c r="H152" s="388"/>
      <c r="I152" s="478"/>
      <c r="J152" s="191"/>
      <c r="K152" s="485"/>
      <c r="L152" s="2411"/>
      <c r="M152" s="2418"/>
      <c r="O152" s="478"/>
      <c r="P152" s="481"/>
      <c r="Q152" s="482"/>
      <c r="R152" s="480"/>
      <c r="S152" s="480"/>
      <c r="T152" s="480"/>
      <c r="U152" s="493"/>
      <c r="V152" s="493"/>
      <c r="W152" s="493"/>
      <c r="X152" s="484"/>
      <c r="Y152" s="480"/>
      <c r="Z152" s="388"/>
      <c r="AA152" s="388"/>
      <c r="AB152" s="388"/>
      <c r="AC152" s="388"/>
      <c r="AD152" s="388"/>
      <c r="AE152" s="388"/>
      <c r="AF152" s="388"/>
      <c r="AG152" s="388"/>
      <c r="AH152" s="388"/>
      <c r="AI152" s="388"/>
      <c r="AJ152" s="388"/>
      <c r="AK152" s="388"/>
      <c r="AL152" s="388"/>
      <c r="AM152" s="388"/>
      <c r="AN152" s="388"/>
      <c r="AO152" s="388"/>
      <c r="AP152" s="388"/>
      <c r="AQ152" s="388"/>
      <c r="AR152" s="388"/>
      <c r="AS152" s="388"/>
      <c r="AT152" s="388"/>
      <c r="AU152" s="388"/>
      <c r="AV152" s="388"/>
      <c r="AW152" s="388"/>
      <c r="AX152" s="388"/>
      <c r="AY152" s="388"/>
      <c r="AZ152" s="388"/>
      <c r="BA152" s="388"/>
      <c r="BB152" s="388"/>
      <c r="BC152" s="388"/>
      <c r="BD152" s="388"/>
      <c r="BE152" s="388"/>
      <c r="BF152" s="388"/>
      <c r="BG152" s="388"/>
      <c r="BH152" s="388"/>
      <c r="BI152" s="2414"/>
      <c r="BJ152" s="388"/>
      <c r="BK152" s="2415"/>
      <c r="BL152" s="388"/>
      <c r="BM152" s="388"/>
      <c r="BN152" s="388"/>
      <c r="BO152" s="388"/>
      <c r="BP152" s="388"/>
    </row>
    <row r="153" spans="1:68" s="479" customFormat="1" x14ac:dyDescent="0.2">
      <c r="A153" s="477"/>
      <c r="B153" s="388"/>
      <c r="C153" s="388"/>
      <c r="D153" s="388"/>
      <c r="E153" s="388"/>
      <c r="F153" s="388"/>
      <c r="G153" s="388"/>
      <c r="H153" s="388"/>
      <c r="I153" s="478"/>
      <c r="J153" s="191"/>
      <c r="K153" s="485"/>
      <c r="L153" s="2411"/>
      <c r="M153" s="2418"/>
      <c r="O153" s="478"/>
      <c r="P153" s="481"/>
      <c r="Q153" s="482"/>
      <c r="R153" s="480"/>
      <c r="S153" s="480"/>
      <c r="T153" s="480"/>
      <c r="U153" s="493"/>
      <c r="V153" s="493"/>
      <c r="W153" s="493"/>
      <c r="X153" s="484"/>
      <c r="Y153" s="480"/>
      <c r="Z153" s="388"/>
      <c r="AA153" s="388"/>
      <c r="AB153" s="388"/>
      <c r="AC153" s="388"/>
      <c r="AD153" s="388"/>
      <c r="AE153" s="388"/>
      <c r="AF153" s="388"/>
      <c r="AG153" s="388"/>
      <c r="AH153" s="388"/>
      <c r="AI153" s="388"/>
      <c r="AJ153" s="388"/>
      <c r="AK153" s="388"/>
      <c r="AL153" s="388"/>
      <c r="AM153" s="388"/>
      <c r="AN153" s="388"/>
      <c r="AO153" s="388"/>
      <c r="AP153" s="388"/>
      <c r="AQ153" s="388"/>
      <c r="AR153" s="388"/>
      <c r="AS153" s="388"/>
      <c r="AT153" s="388"/>
      <c r="AU153" s="388"/>
      <c r="AV153" s="388"/>
      <c r="AW153" s="388"/>
      <c r="AX153" s="388"/>
      <c r="AY153" s="388"/>
      <c r="AZ153" s="388"/>
      <c r="BA153" s="388"/>
      <c r="BB153" s="388"/>
      <c r="BC153" s="388"/>
      <c r="BD153" s="388"/>
      <c r="BE153" s="388"/>
      <c r="BF153" s="388"/>
      <c r="BG153" s="388"/>
      <c r="BH153" s="388"/>
      <c r="BI153" s="2414"/>
      <c r="BJ153" s="388"/>
      <c r="BK153" s="2415"/>
      <c r="BL153" s="388"/>
      <c r="BM153" s="388"/>
      <c r="BN153" s="388"/>
      <c r="BO153" s="388"/>
      <c r="BP153" s="388"/>
    </row>
    <row r="154" spans="1:68" s="479" customFormat="1" x14ac:dyDescent="0.2">
      <c r="A154" s="477"/>
      <c r="B154" s="388"/>
      <c r="C154" s="388"/>
      <c r="D154" s="388"/>
      <c r="E154" s="388"/>
      <c r="F154" s="388"/>
      <c r="G154" s="388"/>
      <c r="H154" s="388"/>
      <c r="I154" s="478"/>
      <c r="J154" s="191"/>
      <c r="K154" s="485"/>
      <c r="L154" s="2411"/>
      <c r="M154" s="2418"/>
      <c r="O154" s="478"/>
      <c r="P154" s="481"/>
      <c r="Q154" s="482"/>
      <c r="R154" s="480"/>
      <c r="S154" s="480"/>
      <c r="T154" s="480"/>
      <c r="U154" s="493"/>
      <c r="V154" s="493"/>
      <c r="W154" s="493"/>
      <c r="X154" s="484"/>
      <c r="Y154" s="480"/>
      <c r="Z154" s="388"/>
      <c r="AA154" s="388"/>
      <c r="AB154" s="388"/>
      <c r="AC154" s="388"/>
      <c r="AD154" s="388"/>
      <c r="AE154" s="388"/>
      <c r="AF154" s="388"/>
      <c r="AG154" s="388"/>
      <c r="AH154" s="388"/>
      <c r="AI154" s="388"/>
      <c r="AJ154" s="388"/>
      <c r="AK154" s="388"/>
      <c r="AL154" s="388"/>
      <c r="AM154" s="388"/>
      <c r="AN154" s="388"/>
      <c r="AO154" s="388"/>
      <c r="AP154" s="388"/>
      <c r="AQ154" s="388"/>
      <c r="AR154" s="388"/>
      <c r="AS154" s="388"/>
      <c r="AT154" s="388"/>
      <c r="AU154" s="388"/>
      <c r="AV154" s="388"/>
      <c r="AW154" s="388"/>
      <c r="AX154" s="388"/>
      <c r="AY154" s="388"/>
      <c r="AZ154" s="388"/>
      <c r="BA154" s="388"/>
      <c r="BB154" s="388"/>
      <c r="BC154" s="388"/>
      <c r="BD154" s="388"/>
      <c r="BE154" s="388"/>
      <c r="BF154" s="388"/>
      <c r="BG154" s="388"/>
      <c r="BH154" s="388"/>
      <c r="BI154" s="2414"/>
      <c r="BJ154" s="388"/>
      <c r="BK154" s="2415"/>
      <c r="BL154" s="388"/>
      <c r="BM154" s="388"/>
      <c r="BN154" s="388"/>
      <c r="BO154" s="388"/>
      <c r="BP154" s="388"/>
    </row>
    <row r="155" spans="1:68" s="479" customFormat="1" x14ac:dyDescent="0.2">
      <c r="A155" s="477"/>
      <c r="B155" s="388"/>
      <c r="C155" s="388"/>
      <c r="D155" s="388"/>
      <c r="E155" s="388"/>
      <c r="F155" s="388"/>
      <c r="G155" s="388"/>
      <c r="H155" s="388"/>
      <c r="I155" s="478"/>
      <c r="J155" s="191"/>
      <c r="K155" s="485"/>
      <c r="L155" s="2411"/>
      <c r="M155" s="2418"/>
      <c r="O155" s="478"/>
      <c r="P155" s="481"/>
      <c r="Q155" s="482"/>
      <c r="R155" s="480"/>
      <c r="S155" s="480"/>
      <c r="T155" s="480"/>
      <c r="U155" s="493"/>
      <c r="V155" s="493"/>
      <c r="W155" s="493"/>
      <c r="X155" s="484"/>
      <c r="Y155" s="480"/>
      <c r="Z155" s="388"/>
      <c r="AA155" s="388"/>
      <c r="AB155" s="388"/>
      <c r="AC155" s="388"/>
      <c r="AD155" s="388"/>
      <c r="AE155" s="388"/>
      <c r="AF155" s="388"/>
      <c r="AG155" s="388"/>
      <c r="AH155" s="388"/>
      <c r="AI155" s="388"/>
      <c r="AJ155" s="388"/>
      <c r="AK155" s="388"/>
      <c r="AL155" s="388"/>
      <c r="AM155" s="388"/>
      <c r="AN155" s="388"/>
      <c r="AO155" s="388"/>
      <c r="AP155" s="388"/>
      <c r="AQ155" s="388"/>
      <c r="AR155" s="388"/>
      <c r="AS155" s="388"/>
      <c r="AT155" s="388"/>
      <c r="AU155" s="388"/>
      <c r="AV155" s="388"/>
      <c r="AW155" s="388"/>
      <c r="AX155" s="388"/>
      <c r="AY155" s="388"/>
      <c r="AZ155" s="388"/>
      <c r="BA155" s="388"/>
      <c r="BB155" s="388"/>
      <c r="BC155" s="388"/>
      <c r="BD155" s="388"/>
      <c r="BE155" s="388"/>
      <c r="BF155" s="388"/>
      <c r="BG155" s="388"/>
      <c r="BH155" s="388"/>
      <c r="BI155" s="2414"/>
      <c r="BJ155" s="388"/>
      <c r="BK155" s="2415"/>
      <c r="BL155" s="388"/>
      <c r="BM155" s="388"/>
      <c r="BN155" s="388"/>
      <c r="BO155" s="388"/>
      <c r="BP155" s="388"/>
    </row>
    <row r="156" spans="1:68" s="479" customFormat="1" x14ac:dyDescent="0.2">
      <c r="A156" s="477"/>
      <c r="B156" s="388"/>
      <c r="C156" s="388"/>
      <c r="D156" s="388"/>
      <c r="E156" s="388"/>
      <c r="F156" s="388"/>
      <c r="G156" s="388"/>
      <c r="H156" s="388"/>
      <c r="I156" s="478"/>
      <c r="J156" s="191"/>
      <c r="K156" s="485"/>
      <c r="L156" s="2411"/>
      <c r="M156" s="2418"/>
      <c r="O156" s="478"/>
      <c r="P156" s="481"/>
      <c r="Q156" s="482"/>
      <c r="R156" s="480"/>
      <c r="S156" s="480"/>
      <c r="T156" s="480"/>
      <c r="U156" s="493"/>
      <c r="V156" s="493"/>
      <c r="W156" s="493"/>
      <c r="X156" s="484"/>
      <c r="Y156" s="480"/>
      <c r="Z156" s="388"/>
      <c r="AA156" s="388"/>
      <c r="AB156" s="388"/>
      <c r="AC156" s="388"/>
      <c r="AD156" s="388"/>
      <c r="AE156" s="388"/>
      <c r="AF156" s="388"/>
      <c r="AG156" s="388"/>
      <c r="AH156" s="388"/>
      <c r="AI156" s="388"/>
      <c r="AJ156" s="388"/>
      <c r="AK156" s="388"/>
      <c r="AL156" s="388"/>
      <c r="AM156" s="388"/>
      <c r="AN156" s="388"/>
      <c r="AO156" s="388"/>
      <c r="AP156" s="388"/>
      <c r="AQ156" s="388"/>
      <c r="AR156" s="388"/>
      <c r="AS156" s="388"/>
      <c r="AT156" s="388"/>
      <c r="AU156" s="388"/>
      <c r="AV156" s="388"/>
      <c r="AW156" s="388"/>
      <c r="AX156" s="388"/>
      <c r="AY156" s="388"/>
      <c r="AZ156" s="388"/>
      <c r="BA156" s="388"/>
      <c r="BB156" s="388"/>
      <c r="BC156" s="388"/>
      <c r="BD156" s="388"/>
      <c r="BE156" s="388"/>
      <c r="BF156" s="388"/>
      <c r="BG156" s="388"/>
      <c r="BH156" s="388"/>
      <c r="BI156" s="2414"/>
      <c r="BJ156" s="388"/>
      <c r="BK156" s="2415"/>
      <c r="BL156" s="388"/>
      <c r="BM156" s="388"/>
      <c r="BN156" s="388"/>
      <c r="BO156" s="388"/>
      <c r="BP156" s="388"/>
    </row>
    <row r="157" spans="1:68" s="479" customFormat="1" x14ac:dyDescent="0.2">
      <c r="A157" s="477"/>
      <c r="B157" s="388"/>
      <c r="C157" s="388"/>
      <c r="D157" s="388"/>
      <c r="E157" s="388"/>
      <c r="F157" s="388"/>
      <c r="G157" s="388"/>
      <c r="H157" s="388"/>
      <c r="I157" s="478"/>
      <c r="J157" s="191"/>
      <c r="K157" s="485"/>
      <c r="L157" s="2411"/>
      <c r="M157" s="2418"/>
      <c r="O157" s="478"/>
      <c r="P157" s="481"/>
      <c r="Q157" s="482"/>
      <c r="R157" s="480"/>
      <c r="S157" s="480"/>
      <c r="T157" s="480"/>
      <c r="U157" s="493"/>
      <c r="V157" s="493"/>
      <c r="W157" s="493"/>
      <c r="X157" s="484"/>
      <c r="Y157" s="480"/>
      <c r="Z157" s="388"/>
      <c r="AA157" s="388"/>
      <c r="AB157" s="388"/>
      <c r="AC157" s="388"/>
      <c r="AD157" s="388"/>
      <c r="AE157" s="388"/>
      <c r="AF157" s="388"/>
      <c r="AG157" s="388"/>
      <c r="AH157" s="388"/>
      <c r="AI157" s="388"/>
      <c r="AJ157" s="388"/>
      <c r="AK157" s="388"/>
      <c r="AL157" s="388"/>
      <c r="AM157" s="388"/>
      <c r="AN157" s="388"/>
      <c r="AO157" s="388"/>
      <c r="AP157" s="388"/>
      <c r="AQ157" s="388"/>
      <c r="AR157" s="388"/>
      <c r="AS157" s="388"/>
      <c r="AT157" s="388"/>
      <c r="AU157" s="388"/>
      <c r="AV157" s="388"/>
      <c r="AW157" s="388"/>
      <c r="AX157" s="388"/>
      <c r="AY157" s="388"/>
      <c r="AZ157" s="388"/>
      <c r="BA157" s="388"/>
      <c r="BB157" s="388"/>
      <c r="BC157" s="388"/>
      <c r="BD157" s="388"/>
      <c r="BE157" s="388"/>
      <c r="BF157" s="388"/>
      <c r="BG157" s="388"/>
      <c r="BH157" s="388"/>
      <c r="BI157" s="2414"/>
      <c r="BJ157" s="388"/>
      <c r="BK157" s="2415"/>
      <c r="BL157" s="388"/>
      <c r="BM157" s="388"/>
      <c r="BN157" s="388"/>
      <c r="BO157" s="388"/>
      <c r="BP157" s="388"/>
    </row>
    <row r="158" spans="1:68" s="479" customFormat="1" x14ac:dyDescent="0.2">
      <c r="A158" s="477"/>
      <c r="B158" s="388"/>
      <c r="C158" s="388"/>
      <c r="D158" s="388"/>
      <c r="E158" s="388"/>
      <c r="F158" s="388"/>
      <c r="G158" s="388"/>
      <c r="H158" s="388"/>
      <c r="I158" s="478"/>
      <c r="J158" s="191"/>
      <c r="K158" s="485"/>
      <c r="L158" s="2411"/>
      <c r="M158" s="2418"/>
      <c r="O158" s="478"/>
      <c r="P158" s="481"/>
      <c r="Q158" s="482"/>
      <c r="R158" s="480"/>
      <c r="S158" s="480"/>
      <c r="T158" s="480"/>
      <c r="U158" s="493"/>
      <c r="V158" s="493"/>
      <c r="W158" s="493"/>
      <c r="X158" s="484"/>
      <c r="Y158" s="480"/>
      <c r="Z158" s="388"/>
      <c r="AA158" s="388"/>
      <c r="AB158" s="388"/>
      <c r="AC158" s="388"/>
      <c r="AD158" s="388"/>
      <c r="AE158" s="388"/>
      <c r="AF158" s="388"/>
      <c r="AG158" s="388"/>
      <c r="AH158" s="388"/>
      <c r="AI158" s="388"/>
      <c r="AJ158" s="388"/>
      <c r="AK158" s="388"/>
      <c r="AL158" s="388"/>
      <c r="AM158" s="388"/>
      <c r="AN158" s="388"/>
      <c r="AO158" s="388"/>
      <c r="AP158" s="388"/>
      <c r="AQ158" s="388"/>
      <c r="AR158" s="388"/>
      <c r="AS158" s="388"/>
      <c r="AT158" s="388"/>
      <c r="AU158" s="388"/>
      <c r="AV158" s="388"/>
      <c r="AW158" s="388"/>
      <c r="AX158" s="388"/>
      <c r="AY158" s="388"/>
      <c r="AZ158" s="388"/>
      <c r="BA158" s="388"/>
      <c r="BB158" s="388"/>
      <c r="BC158" s="388"/>
      <c r="BD158" s="388"/>
      <c r="BE158" s="388"/>
      <c r="BF158" s="388"/>
      <c r="BG158" s="388"/>
      <c r="BH158" s="388"/>
      <c r="BI158" s="2414"/>
      <c r="BJ158" s="388"/>
      <c r="BK158" s="2415"/>
      <c r="BL158" s="388"/>
      <c r="BM158" s="388"/>
      <c r="BN158" s="388"/>
      <c r="BO158" s="388"/>
      <c r="BP158" s="388"/>
    </row>
    <row r="159" spans="1:68" s="479" customFormat="1" x14ac:dyDescent="0.2">
      <c r="A159" s="477"/>
      <c r="B159" s="388"/>
      <c r="C159" s="388"/>
      <c r="D159" s="388"/>
      <c r="E159" s="388"/>
      <c r="F159" s="388"/>
      <c r="G159" s="388"/>
      <c r="H159" s="388"/>
      <c r="I159" s="478"/>
      <c r="J159" s="191"/>
      <c r="K159" s="485"/>
      <c r="L159" s="2411"/>
      <c r="M159" s="2418"/>
      <c r="O159" s="478"/>
      <c r="P159" s="481"/>
      <c r="Q159" s="482"/>
      <c r="R159" s="480"/>
      <c r="S159" s="480"/>
      <c r="T159" s="480"/>
      <c r="U159" s="493"/>
      <c r="V159" s="493"/>
      <c r="W159" s="493"/>
      <c r="X159" s="484"/>
      <c r="Y159" s="480"/>
      <c r="Z159" s="388"/>
      <c r="AA159" s="388"/>
      <c r="AB159" s="388"/>
      <c r="AC159" s="388"/>
      <c r="AD159" s="388"/>
      <c r="AE159" s="388"/>
      <c r="AF159" s="388"/>
      <c r="AG159" s="388"/>
      <c r="AH159" s="388"/>
      <c r="AI159" s="388"/>
      <c r="AJ159" s="388"/>
      <c r="AK159" s="388"/>
      <c r="AL159" s="388"/>
      <c r="AM159" s="388"/>
      <c r="AN159" s="388"/>
      <c r="AO159" s="388"/>
      <c r="AP159" s="388"/>
      <c r="AQ159" s="388"/>
      <c r="AR159" s="388"/>
      <c r="AS159" s="388"/>
      <c r="AT159" s="388"/>
      <c r="AU159" s="388"/>
      <c r="AV159" s="388"/>
      <c r="AW159" s="388"/>
      <c r="AX159" s="388"/>
      <c r="AY159" s="388"/>
      <c r="AZ159" s="388"/>
      <c r="BA159" s="388"/>
      <c r="BB159" s="388"/>
      <c r="BC159" s="388"/>
      <c r="BD159" s="388"/>
      <c r="BE159" s="388"/>
      <c r="BF159" s="388"/>
      <c r="BG159" s="388"/>
      <c r="BH159" s="388"/>
      <c r="BI159" s="2414"/>
      <c r="BJ159" s="388"/>
      <c r="BK159" s="388"/>
      <c r="BL159" s="388"/>
      <c r="BM159" s="388"/>
      <c r="BN159" s="388"/>
      <c r="BO159" s="388"/>
      <c r="BP159" s="388"/>
    </row>
    <row r="160" spans="1:68" s="479" customFormat="1" x14ac:dyDescent="0.2">
      <c r="A160" s="477"/>
      <c r="B160" s="388"/>
      <c r="C160" s="388"/>
      <c r="D160" s="388"/>
      <c r="E160" s="388"/>
      <c r="F160" s="388"/>
      <c r="G160" s="388"/>
      <c r="H160" s="388"/>
      <c r="I160" s="478"/>
      <c r="J160" s="191"/>
      <c r="K160" s="485"/>
      <c r="L160" s="2411"/>
      <c r="M160" s="2418"/>
      <c r="O160" s="478"/>
      <c r="P160" s="481"/>
      <c r="Q160" s="482"/>
      <c r="R160" s="480"/>
      <c r="S160" s="480"/>
      <c r="T160" s="480"/>
      <c r="U160" s="493"/>
      <c r="V160" s="493"/>
      <c r="W160" s="493"/>
      <c r="X160" s="484"/>
      <c r="Y160" s="480"/>
      <c r="Z160" s="388"/>
      <c r="AA160" s="388"/>
      <c r="AB160" s="388"/>
      <c r="AC160" s="388"/>
      <c r="AD160" s="388"/>
      <c r="AE160" s="388"/>
      <c r="AF160" s="388"/>
      <c r="AG160" s="388"/>
      <c r="AH160" s="388"/>
      <c r="AI160" s="388"/>
      <c r="AJ160" s="388"/>
      <c r="AK160" s="388"/>
      <c r="AL160" s="388"/>
      <c r="AM160" s="388"/>
      <c r="AN160" s="388"/>
      <c r="AO160" s="388"/>
      <c r="AP160" s="388"/>
      <c r="AQ160" s="388"/>
      <c r="AR160" s="388"/>
      <c r="AS160" s="388"/>
      <c r="AT160" s="388"/>
      <c r="AU160" s="388"/>
      <c r="AV160" s="388"/>
      <c r="AW160" s="388"/>
      <c r="AX160" s="388"/>
      <c r="AY160" s="388"/>
      <c r="AZ160" s="388"/>
      <c r="BA160" s="388"/>
      <c r="BB160" s="388"/>
      <c r="BC160" s="388"/>
      <c r="BD160" s="388"/>
      <c r="BE160" s="388"/>
      <c r="BF160" s="388"/>
      <c r="BG160" s="388"/>
      <c r="BH160" s="388"/>
      <c r="BI160" s="2414"/>
      <c r="BJ160" s="388"/>
      <c r="BK160" s="388"/>
      <c r="BL160" s="388"/>
      <c r="BM160" s="388"/>
      <c r="BN160" s="388"/>
      <c r="BO160" s="388"/>
      <c r="BP160" s="388"/>
    </row>
    <row r="161" spans="1:68" s="479" customFormat="1" x14ac:dyDescent="0.2">
      <c r="A161" s="477"/>
      <c r="B161" s="388"/>
      <c r="C161" s="388"/>
      <c r="D161" s="388"/>
      <c r="E161" s="388"/>
      <c r="F161" s="388"/>
      <c r="G161" s="388"/>
      <c r="H161" s="388"/>
      <c r="I161" s="478"/>
      <c r="J161" s="191"/>
      <c r="K161" s="485"/>
      <c r="L161" s="2411"/>
      <c r="M161" s="2418"/>
      <c r="O161" s="478"/>
      <c r="P161" s="481"/>
      <c r="Q161" s="482"/>
      <c r="R161" s="480"/>
      <c r="S161" s="480"/>
      <c r="T161" s="480"/>
      <c r="U161" s="493"/>
      <c r="V161" s="493"/>
      <c r="W161" s="493"/>
      <c r="X161" s="484"/>
      <c r="Y161" s="480"/>
      <c r="Z161" s="388"/>
      <c r="AA161" s="388"/>
      <c r="AB161" s="388"/>
      <c r="AC161" s="388"/>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88"/>
      <c r="AY161" s="388"/>
      <c r="AZ161" s="388"/>
      <c r="BA161" s="388"/>
      <c r="BB161" s="388"/>
      <c r="BC161" s="388"/>
      <c r="BD161" s="388"/>
      <c r="BE161" s="388"/>
      <c r="BF161" s="388"/>
      <c r="BG161" s="388"/>
      <c r="BH161" s="388"/>
      <c r="BI161" s="2414"/>
      <c r="BJ161" s="388"/>
      <c r="BK161" s="388"/>
      <c r="BL161" s="388"/>
      <c r="BM161" s="388"/>
      <c r="BN161" s="388"/>
      <c r="BO161" s="388"/>
      <c r="BP161" s="388"/>
    </row>
    <row r="162" spans="1:68" s="479" customFormat="1" x14ac:dyDescent="0.2">
      <c r="A162" s="477"/>
      <c r="B162" s="388"/>
      <c r="C162" s="388"/>
      <c r="D162" s="388"/>
      <c r="E162" s="388"/>
      <c r="F162" s="388"/>
      <c r="G162" s="388"/>
      <c r="H162" s="388"/>
      <c r="I162" s="478"/>
      <c r="J162" s="191"/>
      <c r="K162" s="485"/>
      <c r="L162" s="2411"/>
      <c r="M162" s="2418"/>
      <c r="O162" s="478"/>
      <c r="P162" s="481"/>
      <c r="Q162" s="482"/>
      <c r="R162" s="480"/>
      <c r="S162" s="480"/>
      <c r="T162" s="480"/>
      <c r="U162" s="493"/>
      <c r="V162" s="493"/>
      <c r="W162" s="493"/>
      <c r="X162" s="484"/>
      <c r="Y162" s="480"/>
      <c r="Z162" s="388"/>
      <c r="AA162" s="388"/>
      <c r="AB162" s="388"/>
      <c r="AC162" s="388"/>
      <c r="AD162" s="388"/>
      <c r="AE162" s="388"/>
      <c r="AF162" s="388"/>
      <c r="AG162" s="388"/>
      <c r="AH162" s="388"/>
      <c r="AI162" s="388"/>
      <c r="AJ162" s="388"/>
      <c r="AK162" s="388"/>
      <c r="AL162" s="388"/>
      <c r="AM162" s="388"/>
      <c r="AN162" s="388"/>
      <c r="AO162" s="388"/>
      <c r="AP162" s="388"/>
      <c r="AQ162" s="388"/>
      <c r="AR162" s="388"/>
      <c r="AS162" s="388"/>
      <c r="AT162" s="388"/>
      <c r="AU162" s="388"/>
      <c r="AV162" s="388"/>
      <c r="AW162" s="388"/>
      <c r="AX162" s="388"/>
      <c r="AY162" s="388"/>
      <c r="AZ162" s="388"/>
      <c r="BA162" s="388"/>
      <c r="BB162" s="388"/>
      <c r="BC162" s="388"/>
      <c r="BD162" s="388"/>
      <c r="BE162" s="388"/>
      <c r="BF162" s="388"/>
      <c r="BG162" s="388"/>
      <c r="BH162" s="388"/>
      <c r="BI162" s="2414"/>
      <c r="BJ162" s="388"/>
      <c r="BK162" s="388"/>
      <c r="BL162" s="388"/>
      <c r="BM162" s="388"/>
      <c r="BN162" s="388"/>
      <c r="BO162" s="388"/>
      <c r="BP162" s="388"/>
    </row>
    <row r="163" spans="1:68" s="479" customFormat="1" x14ac:dyDescent="0.2">
      <c r="A163" s="477"/>
      <c r="B163" s="388"/>
      <c r="C163" s="388"/>
      <c r="D163" s="388"/>
      <c r="E163" s="388"/>
      <c r="F163" s="388"/>
      <c r="G163" s="388"/>
      <c r="H163" s="388"/>
      <c r="I163" s="478"/>
      <c r="J163" s="191"/>
      <c r="K163" s="485"/>
      <c r="L163" s="2411"/>
      <c r="M163" s="2418"/>
      <c r="O163" s="478"/>
      <c r="P163" s="481"/>
      <c r="Q163" s="482"/>
      <c r="R163" s="480"/>
      <c r="S163" s="480"/>
      <c r="T163" s="480"/>
      <c r="U163" s="493"/>
      <c r="V163" s="493"/>
      <c r="W163" s="493"/>
      <c r="X163" s="484"/>
      <c r="Y163" s="480"/>
      <c r="Z163" s="388"/>
      <c r="AA163" s="388"/>
      <c r="AB163" s="388"/>
      <c r="AC163" s="388"/>
      <c r="AD163" s="388"/>
      <c r="AE163" s="388"/>
      <c r="AF163" s="388"/>
      <c r="AG163" s="388"/>
      <c r="AH163" s="388"/>
      <c r="AI163" s="388"/>
      <c r="AJ163" s="388"/>
      <c r="AK163" s="388"/>
      <c r="AL163" s="388"/>
      <c r="AM163" s="388"/>
      <c r="AN163" s="388"/>
      <c r="AO163" s="388"/>
      <c r="AP163" s="388"/>
      <c r="AQ163" s="388"/>
      <c r="AR163" s="388"/>
      <c r="AS163" s="388"/>
      <c r="AT163" s="388"/>
      <c r="AU163" s="388"/>
      <c r="AV163" s="388"/>
      <c r="AW163" s="388"/>
      <c r="AX163" s="388"/>
      <c r="AY163" s="388"/>
      <c r="AZ163" s="388"/>
      <c r="BA163" s="388"/>
      <c r="BB163" s="388"/>
      <c r="BC163" s="388"/>
      <c r="BD163" s="388"/>
      <c r="BE163" s="388"/>
      <c r="BF163" s="388"/>
      <c r="BG163" s="388"/>
      <c r="BH163" s="388"/>
      <c r="BI163" s="2414"/>
      <c r="BJ163" s="388"/>
      <c r="BK163" s="388"/>
      <c r="BL163" s="388"/>
      <c r="BM163" s="388"/>
      <c r="BN163" s="388"/>
      <c r="BO163" s="388"/>
      <c r="BP163" s="388"/>
    </row>
    <row r="164" spans="1:68" s="479" customFormat="1" x14ac:dyDescent="0.2">
      <c r="A164" s="477"/>
      <c r="B164" s="388"/>
      <c r="C164" s="388"/>
      <c r="D164" s="388"/>
      <c r="E164" s="388"/>
      <c r="F164" s="388"/>
      <c r="G164" s="388"/>
      <c r="H164" s="388"/>
      <c r="I164" s="478"/>
      <c r="J164" s="191"/>
      <c r="K164" s="485"/>
      <c r="L164" s="2411"/>
      <c r="M164" s="2418"/>
      <c r="O164" s="478"/>
      <c r="P164" s="481"/>
      <c r="Q164" s="482"/>
      <c r="R164" s="480"/>
      <c r="S164" s="480"/>
      <c r="T164" s="480"/>
      <c r="U164" s="493"/>
      <c r="V164" s="493"/>
      <c r="W164" s="493"/>
      <c r="X164" s="484"/>
      <c r="Y164" s="480"/>
      <c r="Z164" s="388"/>
      <c r="AA164" s="388"/>
      <c r="AB164" s="388"/>
      <c r="AC164" s="388"/>
      <c r="AD164" s="388"/>
      <c r="AE164" s="388"/>
      <c r="AF164" s="388"/>
      <c r="AG164" s="388"/>
      <c r="AH164" s="388"/>
      <c r="AI164" s="388"/>
      <c r="AJ164" s="388"/>
      <c r="AK164" s="388"/>
      <c r="AL164" s="388"/>
      <c r="AM164" s="388"/>
      <c r="AN164" s="388"/>
      <c r="AO164" s="388"/>
      <c r="AP164" s="388"/>
      <c r="AQ164" s="388"/>
      <c r="AR164" s="388"/>
      <c r="AS164" s="388"/>
      <c r="AT164" s="388"/>
      <c r="AU164" s="388"/>
      <c r="AV164" s="388"/>
      <c r="AW164" s="388"/>
      <c r="AX164" s="388"/>
      <c r="AY164" s="388"/>
      <c r="AZ164" s="388"/>
      <c r="BA164" s="388"/>
      <c r="BB164" s="388"/>
      <c r="BC164" s="388"/>
      <c r="BD164" s="388"/>
      <c r="BE164" s="388"/>
      <c r="BF164" s="388"/>
      <c r="BG164" s="388"/>
      <c r="BH164" s="388"/>
      <c r="BI164" s="2414"/>
      <c r="BJ164" s="388"/>
      <c r="BK164" s="388"/>
      <c r="BL164" s="388"/>
      <c r="BM164" s="388"/>
      <c r="BN164" s="388"/>
      <c r="BO164" s="388"/>
      <c r="BP164" s="388"/>
    </row>
    <row r="165" spans="1:68" s="479" customFormat="1" x14ac:dyDescent="0.2">
      <c r="A165" s="477"/>
      <c r="B165" s="388"/>
      <c r="C165" s="388"/>
      <c r="D165" s="388"/>
      <c r="E165" s="388"/>
      <c r="F165" s="388"/>
      <c r="G165" s="388"/>
      <c r="H165" s="388"/>
      <c r="I165" s="478"/>
      <c r="J165" s="191"/>
      <c r="K165" s="485"/>
      <c r="L165" s="2411"/>
      <c r="M165" s="2418"/>
      <c r="O165" s="478"/>
      <c r="P165" s="481"/>
      <c r="Q165" s="482"/>
      <c r="R165" s="480"/>
      <c r="S165" s="480"/>
      <c r="T165" s="480"/>
      <c r="U165" s="493"/>
      <c r="V165" s="493"/>
      <c r="W165" s="493"/>
      <c r="X165" s="484"/>
      <c r="Y165" s="480"/>
      <c r="Z165" s="388"/>
      <c r="AA165" s="388"/>
      <c r="AB165" s="388"/>
      <c r="AC165" s="388"/>
      <c r="AD165" s="388"/>
      <c r="AE165" s="388"/>
      <c r="AF165" s="388"/>
      <c r="AG165" s="388"/>
      <c r="AH165" s="388"/>
      <c r="AI165" s="388"/>
      <c r="AJ165" s="388"/>
      <c r="AK165" s="388"/>
      <c r="AL165" s="388"/>
      <c r="AM165" s="388"/>
      <c r="AN165" s="388"/>
      <c r="AO165" s="388"/>
      <c r="AP165" s="388"/>
      <c r="AQ165" s="388"/>
      <c r="AR165" s="388"/>
      <c r="AS165" s="388"/>
      <c r="AT165" s="388"/>
      <c r="AU165" s="388"/>
      <c r="AV165" s="388"/>
      <c r="AW165" s="388"/>
      <c r="AX165" s="388"/>
      <c r="AY165" s="388"/>
      <c r="AZ165" s="388"/>
      <c r="BA165" s="388"/>
      <c r="BB165" s="388"/>
      <c r="BC165" s="388"/>
      <c r="BD165" s="388"/>
      <c r="BE165" s="388"/>
      <c r="BF165" s="388"/>
      <c r="BG165" s="388"/>
      <c r="BH165" s="388"/>
      <c r="BI165" s="2414"/>
      <c r="BJ165" s="388"/>
      <c r="BK165" s="388"/>
      <c r="BL165" s="388"/>
      <c r="BM165" s="388"/>
      <c r="BN165" s="388"/>
      <c r="BO165" s="388"/>
      <c r="BP165" s="388"/>
    </row>
    <row r="166" spans="1:68" s="479" customFormat="1" x14ac:dyDescent="0.2">
      <c r="A166" s="477"/>
      <c r="B166" s="388"/>
      <c r="C166" s="388"/>
      <c r="D166" s="388"/>
      <c r="E166" s="388"/>
      <c r="F166" s="388"/>
      <c r="G166" s="388"/>
      <c r="H166" s="388"/>
      <c r="I166" s="478"/>
      <c r="J166" s="191"/>
      <c r="K166" s="485"/>
      <c r="L166" s="2411"/>
      <c r="M166" s="2418"/>
      <c r="O166" s="478"/>
      <c r="P166" s="481"/>
      <c r="Q166" s="482"/>
      <c r="R166" s="480"/>
      <c r="S166" s="480"/>
      <c r="T166" s="480"/>
      <c r="U166" s="493"/>
      <c r="V166" s="493"/>
      <c r="W166" s="493"/>
      <c r="X166" s="484"/>
      <c r="Y166" s="480"/>
      <c r="Z166" s="388"/>
      <c r="AA166" s="388"/>
      <c r="AB166" s="388"/>
      <c r="AC166" s="388"/>
      <c r="AD166" s="388"/>
      <c r="AE166" s="388"/>
      <c r="AF166" s="388"/>
      <c r="AG166" s="388"/>
      <c r="AH166" s="388"/>
      <c r="AI166" s="388"/>
      <c r="AJ166" s="388"/>
      <c r="AK166" s="388"/>
      <c r="AL166" s="388"/>
      <c r="AM166" s="388"/>
      <c r="AN166" s="388"/>
      <c r="AO166" s="388"/>
      <c r="AP166" s="388"/>
      <c r="AQ166" s="388"/>
      <c r="AR166" s="388"/>
      <c r="AS166" s="388"/>
      <c r="AT166" s="388"/>
      <c r="AU166" s="388"/>
      <c r="AV166" s="388"/>
      <c r="AW166" s="388"/>
      <c r="AX166" s="388"/>
      <c r="AY166" s="388"/>
      <c r="AZ166" s="388"/>
      <c r="BA166" s="388"/>
      <c r="BB166" s="388"/>
      <c r="BC166" s="388"/>
      <c r="BD166" s="388"/>
      <c r="BE166" s="388"/>
      <c r="BF166" s="388"/>
      <c r="BG166" s="388"/>
      <c r="BH166" s="388"/>
      <c r="BI166" s="2414"/>
      <c r="BJ166" s="388"/>
      <c r="BK166" s="388"/>
      <c r="BL166" s="388"/>
      <c r="BM166" s="388"/>
      <c r="BN166" s="388"/>
      <c r="BO166" s="388"/>
      <c r="BP166" s="388"/>
    </row>
    <row r="167" spans="1:68" s="479" customFormat="1" x14ac:dyDescent="0.2">
      <c r="A167" s="477"/>
      <c r="B167" s="388"/>
      <c r="C167" s="388"/>
      <c r="D167" s="388"/>
      <c r="E167" s="388"/>
      <c r="F167" s="388"/>
      <c r="G167" s="388"/>
      <c r="H167" s="388"/>
      <c r="I167" s="478"/>
      <c r="J167" s="191"/>
      <c r="K167" s="485"/>
      <c r="L167" s="2411"/>
      <c r="M167" s="2418"/>
      <c r="O167" s="478"/>
      <c r="P167" s="481"/>
      <c r="Q167" s="482"/>
      <c r="R167" s="480"/>
      <c r="S167" s="480"/>
      <c r="T167" s="480"/>
      <c r="U167" s="493"/>
      <c r="V167" s="493"/>
      <c r="W167" s="493"/>
      <c r="X167" s="484"/>
      <c r="Y167" s="480"/>
      <c r="Z167" s="388"/>
      <c r="AA167" s="388"/>
      <c r="AB167" s="388"/>
      <c r="AC167" s="388"/>
      <c r="AD167" s="388"/>
      <c r="AE167" s="388"/>
      <c r="AF167" s="388"/>
      <c r="AG167" s="388"/>
      <c r="AH167" s="388"/>
      <c r="AI167" s="388"/>
      <c r="AJ167" s="388"/>
      <c r="AK167" s="388"/>
      <c r="AL167" s="388"/>
      <c r="AM167" s="388"/>
      <c r="AN167" s="388"/>
      <c r="AO167" s="388"/>
      <c r="AP167" s="388"/>
      <c r="AQ167" s="388"/>
      <c r="AR167" s="388"/>
      <c r="AS167" s="388"/>
      <c r="AT167" s="388"/>
      <c r="AU167" s="388"/>
      <c r="AV167" s="388"/>
      <c r="AW167" s="388"/>
      <c r="AX167" s="388"/>
      <c r="AY167" s="388"/>
      <c r="AZ167" s="388"/>
      <c r="BA167" s="388"/>
      <c r="BB167" s="388"/>
      <c r="BC167" s="388"/>
      <c r="BD167" s="388"/>
      <c r="BE167" s="388"/>
      <c r="BF167" s="388"/>
      <c r="BG167" s="388"/>
      <c r="BH167" s="388"/>
      <c r="BI167" s="2414"/>
      <c r="BJ167" s="388"/>
      <c r="BK167" s="388"/>
      <c r="BL167" s="388"/>
      <c r="BM167" s="388"/>
      <c r="BN167" s="388"/>
      <c r="BO167" s="388"/>
      <c r="BP167" s="388"/>
    </row>
    <row r="168" spans="1:68" s="479" customFormat="1" x14ac:dyDescent="0.2">
      <c r="A168" s="477"/>
      <c r="B168" s="388"/>
      <c r="C168" s="388"/>
      <c r="D168" s="388"/>
      <c r="E168" s="388"/>
      <c r="F168" s="388"/>
      <c r="G168" s="388"/>
      <c r="H168" s="388"/>
      <c r="I168" s="478"/>
      <c r="J168" s="191"/>
      <c r="K168" s="485"/>
      <c r="L168" s="2411"/>
      <c r="M168" s="2418"/>
      <c r="O168" s="478"/>
      <c r="P168" s="481"/>
      <c r="Q168" s="482"/>
      <c r="R168" s="480"/>
      <c r="S168" s="480"/>
      <c r="T168" s="480"/>
      <c r="U168" s="493"/>
      <c r="V168" s="493"/>
      <c r="W168" s="493"/>
      <c r="X168" s="484"/>
      <c r="Y168" s="480"/>
      <c r="Z168" s="388"/>
      <c r="AA168" s="388"/>
      <c r="AB168" s="388"/>
      <c r="AC168" s="388"/>
      <c r="AD168" s="388"/>
      <c r="AE168" s="388"/>
      <c r="AF168" s="388"/>
      <c r="AG168" s="388"/>
      <c r="AH168" s="388"/>
      <c r="AI168" s="388"/>
      <c r="AJ168" s="388"/>
      <c r="AK168" s="388"/>
      <c r="AL168" s="388"/>
      <c r="AM168" s="388"/>
      <c r="AN168" s="388"/>
      <c r="AO168" s="388"/>
      <c r="AP168" s="388"/>
      <c r="AQ168" s="388"/>
      <c r="AR168" s="388"/>
      <c r="AS168" s="388"/>
      <c r="AT168" s="388"/>
      <c r="AU168" s="388"/>
      <c r="AV168" s="388"/>
      <c r="AW168" s="388"/>
      <c r="AX168" s="388"/>
      <c r="AY168" s="388"/>
      <c r="AZ168" s="388"/>
      <c r="BA168" s="388"/>
      <c r="BB168" s="388"/>
      <c r="BC168" s="388"/>
      <c r="BD168" s="388"/>
      <c r="BE168" s="388"/>
      <c r="BF168" s="388"/>
      <c r="BG168" s="388"/>
      <c r="BH168" s="388"/>
      <c r="BI168" s="2414"/>
      <c r="BJ168" s="388"/>
      <c r="BK168" s="388"/>
      <c r="BL168" s="388"/>
      <c r="BM168" s="388"/>
      <c r="BN168" s="388"/>
      <c r="BO168" s="388"/>
      <c r="BP168" s="388"/>
    </row>
    <row r="169" spans="1:68" s="479" customFormat="1" x14ac:dyDescent="0.2">
      <c r="A169" s="477"/>
      <c r="B169" s="388"/>
      <c r="C169" s="388"/>
      <c r="D169" s="388"/>
      <c r="E169" s="388"/>
      <c r="F169" s="388"/>
      <c r="G169" s="388"/>
      <c r="H169" s="388"/>
      <c r="I169" s="478"/>
      <c r="J169" s="191"/>
      <c r="K169" s="485"/>
      <c r="L169" s="2411"/>
      <c r="M169" s="2418"/>
      <c r="O169" s="478"/>
      <c r="P169" s="481"/>
      <c r="Q169" s="482"/>
      <c r="R169" s="480"/>
      <c r="S169" s="480"/>
      <c r="T169" s="480"/>
      <c r="U169" s="493"/>
      <c r="V169" s="493"/>
      <c r="W169" s="493"/>
      <c r="X169" s="484"/>
      <c r="Y169" s="480"/>
      <c r="Z169" s="388"/>
      <c r="AA169" s="388"/>
      <c r="AB169" s="388"/>
      <c r="AC169" s="388"/>
      <c r="AD169" s="388"/>
      <c r="AE169" s="388"/>
      <c r="AF169" s="388"/>
      <c r="AG169" s="388"/>
      <c r="AH169" s="388"/>
      <c r="AI169" s="388"/>
      <c r="AJ169" s="388"/>
      <c r="AK169" s="388"/>
      <c r="AL169" s="388"/>
      <c r="AM169" s="388"/>
      <c r="AN169" s="388"/>
      <c r="AO169" s="388"/>
      <c r="AP169" s="388"/>
      <c r="AQ169" s="388"/>
      <c r="AR169" s="388"/>
      <c r="AS169" s="388"/>
      <c r="AT169" s="388"/>
      <c r="AU169" s="388"/>
      <c r="AV169" s="388"/>
      <c r="AW169" s="388"/>
      <c r="AX169" s="388"/>
      <c r="AY169" s="388"/>
      <c r="AZ169" s="388"/>
      <c r="BA169" s="388"/>
      <c r="BB169" s="388"/>
      <c r="BC169" s="388"/>
      <c r="BD169" s="388"/>
      <c r="BE169" s="388"/>
      <c r="BF169" s="388"/>
      <c r="BG169" s="388"/>
      <c r="BH169" s="388"/>
      <c r="BI169" s="2414"/>
      <c r="BJ169" s="388"/>
      <c r="BK169" s="388"/>
      <c r="BL169" s="388"/>
      <c r="BM169" s="388"/>
      <c r="BN169" s="388"/>
      <c r="BO169" s="388"/>
      <c r="BP169" s="388"/>
    </row>
    <row r="170" spans="1:68" s="479" customFormat="1" x14ac:dyDescent="0.2">
      <c r="A170" s="477"/>
      <c r="B170" s="388"/>
      <c r="C170" s="388"/>
      <c r="D170" s="388"/>
      <c r="E170" s="388"/>
      <c r="F170" s="388"/>
      <c r="G170" s="388"/>
      <c r="H170" s="388"/>
      <c r="I170" s="478"/>
      <c r="J170" s="191"/>
      <c r="K170" s="485"/>
      <c r="L170" s="2411"/>
      <c r="M170" s="2418"/>
      <c r="O170" s="478"/>
      <c r="P170" s="481"/>
      <c r="Q170" s="482"/>
      <c r="R170" s="480"/>
      <c r="S170" s="480"/>
      <c r="T170" s="480"/>
      <c r="U170" s="493"/>
      <c r="V170" s="493"/>
      <c r="W170" s="493"/>
      <c r="X170" s="484"/>
      <c r="Y170" s="480"/>
      <c r="Z170" s="388"/>
      <c r="AA170" s="388"/>
      <c r="AB170" s="388"/>
      <c r="AC170" s="388"/>
      <c r="AD170" s="388"/>
      <c r="AE170" s="388"/>
      <c r="AF170" s="388"/>
      <c r="AG170" s="388"/>
      <c r="AH170" s="388"/>
      <c r="AI170" s="388"/>
      <c r="AJ170" s="388"/>
      <c r="AK170" s="388"/>
      <c r="AL170" s="388"/>
      <c r="AM170" s="388"/>
      <c r="AN170" s="388"/>
      <c r="AO170" s="388"/>
      <c r="AP170" s="388"/>
      <c r="AQ170" s="388"/>
      <c r="AR170" s="388"/>
      <c r="AS170" s="388"/>
      <c r="AT170" s="388"/>
      <c r="AU170" s="388"/>
      <c r="AV170" s="388"/>
      <c r="AW170" s="388"/>
      <c r="AX170" s="388"/>
      <c r="AY170" s="388"/>
      <c r="AZ170" s="388"/>
      <c r="BA170" s="388"/>
      <c r="BB170" s="388"/>
      <c r="BC170" s="388"/>
      <c r="BD170" s="388"/>
      <c r="BE170" s="388"/>
      <c r="BF170" s="388"/>
      <c r="BG170" s="388"/>
      <c r="BH170" s="388"/>
      <c r="BI170" s="2414"/>
      <c r="BJ170" s="388"/>
      <c r="BK170" s="388"/>
      <c r="BL170" s="388"/>
      <c r="BM170" s="388"/>
      <c r="BN170" s="388"/>
      <c r="BO170" s="388"/>
      <c r="BP170" s="388"/>
    </row>
    <row r="171" spans="1:68" s="479" customFormat="1" x14ac:dyDescent="0.2">
      <c r="A171" s="477"/>
      <c r="B171" s="388"/>
      <c r="C171" s="388"/>
      <c r="D171" s="388"/>
      <c r="E171" s="388"/>
      <c r="F171" s="388"/>
      <c r="G171" s="388"/>
      <c r="H171" s="388"/>
      <c r="I171" s="478"/>
      <c r="J171" s="191"/>
      <c r="K171" s="485"/>
      <c r="L171" s="2411"/>
      <c r="M171" s="2418"/>
      <c r="O171" s="478"/>
      <c r="P171" s="481"/>
      <c r="Q171" s="482"/>
      <c r="R171" s="480"/>
      <c r="S171" s="480"/>
      <c r="T171" s="480"/>
      <c r="U171" s="493"/>
      <c r="V171" s="493"/>
      <c r="W171" s="493"/>
      <c r="X171" s="484"/>
      <c r="Y171" s="480"/>
      <c r="Z171" s="388"/>
      <c r="AA171" s="388"/>
      <c r="AB171" s="388"/>
      <c r="AC171" s="388"/>
      <c r="AD171" s="388"/>
      <c r="AE171" s="388"/>
      <c r="AF171" s="388"/>
      <c r="AG171" s="388"/>
      <c r="AH171" s="388"/>
      <c r="AI171" s="388"/>
      <c r="AJ171" s="388"/>
      <c r="AK171" s="388"/>
      <c r="AL171" s="388"/>
      <c r="AM171" s="388"/>
      <c r="AN171" s="388"/>
      <c r="AO171" s="388"/>
      <c r="AP171" s="388"/>
      <c r="AQ171" s="388"/>
      <c r="AR171" s="388"/>
      <c r="AS171" s="388"/>
      <c r="AT171" s="388"/>
      <c r="AU171" s="388"/>
      <c r="AV171" s="388"/>
      <c r="AW171" s="388"/>
      <c r="AX171" s="388"/>
      <c r="AY171" s="388"/>
      <c r="AZ171" s="388"/>
      <c r="BA171" s="388"/>
      <c r="BB171" s="388"/>
      <c r="BC171" s="388"/>
      <c r="BD171" s="388"/>
      <c r="BE171" s="388"/>
      <c r="BF171" s="388"/>
      <c r="BG171" s="388"/>
      <c r="BH171" s="388"/>
      <c r="BI171" s="2414"/>
      <c r="BJ171" s="388"/>
      <c r="BK171" s="388"/>
      <c r="BL171" s="388"/>
      <c r="BM171" s="388"/>
      <c r="BN171" s="388"/>
      <c r="BO171" s="388"/>
      <c r="BP171" s="388"/>
    </row>
    <row r="172" spans="1:68" s="479" customFormat="1" x14ac:dyDescent="0.2">
      <c r="A172" s="477"/>
      <c r="B172" s="388"/>
      <c r="C172" s="388"/>
      <c r="D172" s="388"/>
      <c r="E172" s="388"/>
      <c r="F172" s="388"/>
      <c r="G172" s="388"/>
      <c r="H172" s="388"/>
      <c r="I172" s="478"/>
      <c r="J172" s="191"/>
      <c r="K172" s="485"/>
      <c r="L172" s="2411"/>
      <c r="M172" s="2418"/>
      <c r="O172" s="478"/>
      <c r="P172" s="481"/>
      <c r="Q172" s="482"/>
      <c r="R172" s="480"/>
      <c r="S172" s="480"/>
      <c r="T172" s="480"/>
      <c r="U172" s="493"/>
      <c r="V172" s="493"/>
      <c r="W172" s="493"/>
      <c r="X172" s="484"/>
      <c r="Y172" s="480"/>
      <c r="Z172" s="388"/>
      <c r="AA172" s="388"/>
      <c r="AB172" s="388"/>
      <c r="AC172" s="388"/>
      <c r="AD172" s="388"/>
      <c r="AE172" s="388"/>
      <c r="AF172" s="388"/>
      <c r="AG172" s="388"/>
      <c r="AH172" s="388"/>
      <c r="AI172" s="388"/>
      <c r="AJ172" s="388"/>
      <c r="AK172" s="388"/>
      <c r="AL172" s="388"/>
      <c r="AM172" s="388"/>
      <c r="AN172" s="388"/>
      <c r="AO172" s="388"/>
      <c r="AP172" s="388"/>
      <c r="AQ172" s="388"/>
      <c r="AR172" s="388"/>
      <c r="AS172" s="388"/>
      <c r="AT172" s="388"/>
      <c r="AU172" s="388"/>
      <c r="AV172" s="388"/>
      <c r="AW172" s="388"/>
      <c r="AX172" s="388"/>
      <c r="AY172" s="388"/>
      <c r="AZ172" s="388"/>
      <c r="BA172" s="388"/>
      <c r="BB172" s="388"/>
      <c r="BC172" s="388"/>
      <c r="BD172" s="388"/>
      <c r="BE172" s="388"/>
      <c r="BF172" s="388"/>
      <c r="BG172" s="388"/>
      <c r="BH172" s="388"/>
      <c r="BI172" s="2414"/>
      <c r="BJ172" s="388"/>
      <c r="BK172" s="388"/>
      <c r="BL172" s="388"/>
      <c r="BM172" s="388"/>
      <c r="BN172" s="388"/>
      <c r="BO172" s="388"/>
      <c r="BP172" s="388"/>
    </row>
    <row r="173" spans="1:68" s="479" customFormat="1" x14ac:dyDescent="0.2">
      <c r="A173" s="477"/>
      <c r="B173" s="388"/>
      <c r="C173" s="388"/>
      <c r="D173" s="388"/>
      <c r="E173" s="388"/>
      <c r="F173" s="388"/>
      <c r="G173" s="388"/>
      <c r="H173" s="388"/>
      <c r="I173" s="478"/>
      <c r="J173" s="191"/>
      <c r="K173" s="485"/>
      <c r="L173" s="2411"/>
      <c r="M173" s="2418"/>
      <c r="O173" s="478"/>
      <c r="P173" s="481"/>
      <c r="Q173" s="482"/>
      <c r="R173" s="480"/>
      <c r="S173" s="480"/>
      <c r="T173" s="480"/>
      <c r="U173" s="493"/>
      <c r="V173" s="493"/>
      <c r="W173" s="493"/>
      <c r="X173" s="484"/>
      <c r="Y173" s="480"/>
      <c r="Z173" s="388"/>
      <c r="AA173" s="388"/>
      <c r="AB173" s="388"/>
      <c r="AC173" s="388"/>
      <c r="AD173" s="388"/>
      <c r="AE173" s="388"/>
      <c r="AF173" s="388"/>
      <c r="AG173" s="388"/>
      <c r="AH173" s="388"/>
      <c r="AI173" s="388"/>
      <c r="AJ173" s="388"/>
      <c r="AK173" s="388"/>
      <c r="AL173" s="388"/>
      <c r="AM173" s="388"/>
      <c r="AN173" s="388"/>
      <c r="AO173" s="388"/>
      <c r="AP173" s="388"/>
      <c r="AQ173" s="388"/>
      <c r="AR173" s="388"/>
      <c r="AS173" s="388"/>
      <c r="AT173" s="388"/>
      <c r="AU173" s="388"/>
      <c r="AV173" s="388"/>
      <c r="AW173" s="388"/>
      <c r="AX173" s="388"/>
      <c r="AY173" s="388"/>
      <c r="AZ173" s="388"/>
      <c r="BA173" s="388"/>
      <c r="BB173" s="388"/>
      <c r="BC173" s="388"/>
      <c r="BD173" s="388"/>
      <c r="BE173" s="388"/>
      <c r="BF173" s="388"/>
      <c r="BG173" s="388"/>
      <c r="BH173" s="388"/>
      <c r="BI173" s="2414"/>
      <c r="BJ173" s="388"/>
      <c r="BK173" s="388"/>
      <c r="BL173" s="388"/>
      <c r="BM173" s="388"/>
      <c r="BN173" s="388"/>
      <c r="BO173" s="388"/>
      <c r="BP173" s="388"/>
    </row>
    <row r="174" spans="1:68" s="479" customFormat="1" x14ac:dyDescent="0.2">
      <c r="A174" s="477"/>
      <c r="B174" s="388"/>
      <c r="C174" s="388"/>
      <c r="D174" s="388"/>
      <c r="E174" s="388"/>
      <c r="F174" s="388"/>
      <c r="G174" s="388"/>
      <c r="H174" s="388"/>
      <c r="I174" s="478"/>
      <c r="J174" s="191"/>
      <c r="K174" s="485"/>
      <c r="L174" s="2411"/>
      <c r="M174" s="2418"/>
      <c r="O174" s="478"/>
      <c r="P174" s="481"/>
      <c r="Q174" s="482"/>
      <c r="R174" s="480"/>
      <c r="S174" s="480"/>
      <c r="T174" s="480"/>
      <c r="U174" s="493"/>
      <c r="V174" s="493"/>
      <c r="W174" s="493"/>
      <c r="X174" s="484"/>
      <c r="Y174" s="480"/>
      <c r="Z174" s="388"/>
      <c r="AA174" s="388"/>
      <c r="AB174" s="388"/>
      <c r="AC174" s="388"/>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88"/>
      <c r="AY174" s="388"/>
      <c r="AZ174" s="388"/>
      <c r="BA174" s="388"/>
      <c r="BB174" s="388"/>
      <c r="BC174" s="388"/>
      <c r="BD174" s="388"/>
      <c r="BE174" s="388"/>
      <c r="BF174" s="388"/>
      <c r="BG174" s="388"/>
      <c r="BH174" s="388"/>
      <c r="BI174" s="2414"/>
      <c r="BJ174" s="388"/>
      <c r="BK174" s="388"/>
      <c r="BL174" s="388"/>
      <c r="BM174" s="388"/>
      <c r="BN174" s="388"/>
      <c r="BO174" s="388"/>
      <c r="BP174" s="388"/>
    </row>
    <row r="175" spans="1:68" s="479" customFormat="1" x14ac:dyDescent="0.2">
      <c r="A175" s="477"/>
      <c r="B175" s="388"/>
      <c r="C175" s="388"/>
      <c r="D175" s="388"/>
      <c r="E175" s="388"/>
      <c r="F175" s="388"/>
      <c r="G175" s="388"/>
      <c r="H175" s="388"/>
      <c r="I175" s="478"/>
      <c r="J175" s="191"/>
      <c r="K175" s="485"/>
      <c r="L175" s="2411"/>
      <c r="M175" s="2418"/>
      <c r="O175" s="478"/>
      <c r="P175" s="481"/>
      <c r="Q175" s="482"/>
      <c r="R175" s="480"/>
      <c r="S175" s="480"/>
      <c r="T175" s="480"/>
      <c r="U175" s="493"/>
      <c r="V175" s="493"/>
      <c r="W175" s="493"/>
      <c r="X175" s="484"/>
      <c r="Y175" s="480"/>
      <c r="Z175" s="388"/>
      <c r="AA175" s="388"/>
      <c r="AB175" s="388"/>
      <c r="AC175" s="388"/>
      <c r="AD175" s="388"/>
      <c r="AE175" s="388"/>
      <c r="AF175" s="388"/>
      <c r="AG175" s="388"/>
      <c r="AH175" s="388"/>
      <c r="AI175" s="388"/>
      <c r="AJ175" s="388"/>
      <c r="AK175" s="388"/>
      <c r="AL175" s="388"/>
      <c r="AM175" s="388"/>
      <c r="AN175" s="388"/>
      <c r="AO175" s="388"/>
      <c r="AP175" s="388"/>
      <c r="AQ175" s="388"/>
      <c r="AR175" s="388"/>
      <c r="AS175" s="388"/>
      <c r="AT175" s="388"/>
      <c r="AU175" s="388"/>
      <c r="AV175" s="388"/>
      <c r="AW175" s="388"/>
      <c r="AX175" s="388"/>
      <c r="AY175" s="388"/>
      <c r="AZ175" s="388"/>
      <c r="BA175" s="388"/>
      <c r="BB175" s="388"/>
      <c r="BC175" s="388"/>
      <c r="BD175" s="388"/>
      <c r="BE175" s="388"/>
      <c r="BF175" s="388"/>
      <c r="BG175" s="388"/>
      <c r="BH175" s="388"/>
      <c r="BI175" s="2414"/>
      <c r="BJ175" s="388"/>
      <c r="BK175" s="388"/>
      <c r="BL175" s="388"/>
      <c r="BM175" s="388"/>
      <c r="BN175" s="388"/>
      <c r="BO175" s="388"/>
      <c r="BP175" s="388"/>
    </row>
    <row r="176" spans="1:68" s="479" customFormat="1" x14ac:dyDescent="0.2">
      <c r="A176" s="477"/>
      <c r="B176" s="388"/>
      <c r="C176" s="388"/>
      <c r="D176" s="388"/>
      <c r="E176" s="388"/>
      <c r="F176" s="388"/>
      <c r="G176" s="388"/>
      <c r="H176" s="388"/>
      <c r="I176" s="478"/>
      <c r="J176" s="191"/>
      <c r="K176" s="485"/>
      <c r="L176" s="2411"/>
      <c r="M176" s="2418"/>
      <c r="O176" s="478"/>
      <c r="P176" s="481"/>
      <c r="Q176" s="482"/>
      <c r="R176" s="480"/>
      <c r="S176" s="480"/>
      <c r="T176" s="480"/>
      <c r="U176" s="493"/>
      <c r="V176" s="493"/>
      <c r="W176" s="493"/>
      <c r="X176" s="484"/>
      <c r="Y176" s="480"/>
      <c r="Z176" s="388"/>
      <c r="AA176" s="388"/>
      <c r="AB176" s="388"/>
      <c r="AC176" s="388"/>
      <c r="AD176" s="388"/>
      <c r="AE176" s="388"/>
      <c r="AF176" s="388"/>
      <c r="AG176" s="388"/>
      <c r="AH176" s="388"/>
      <c r="AI176" s="388"/>
      <c r="AJ176" s="388"/>
      <c r="AK176" s="388"/>
      <c r="AL176" s="388"/>
      <c r="AM176" s="388"/>
      <c r="AN176" s="388"/>
      <c r="AO176" s="388"/>
      <c r="AP176" s="388"/>
      <c r="AQ176" s="388"/>
      <c r="AR176" s="388"/>
      <c r="AS176" s="388"/>
      <c r="AT176" s="388"/>
      <c r="AU176" s="388"/>
      <c r="AV176" s="388"/>
      <c r="AW176" s="388"/>
      <c r="AX176" s="388"/>
      <c r="AY176" s="388"/>
      <c r="AZ176" s="388"/>
      <c r="BA176" s="388"/>
      <c r="BB176" s="388"/>
      <c r="BC176" s="388"/>
      <c r="BD176" s="388"/>
      <c r="BE176" s="388"/>
      <c r="BF176" s="388"/>
      <c r="BG176" s="388"/>
      <c r="BH176" s="388"/>
      <c r="BI176" s="2414"/>
      <c r="BJ176" s="388"/>
      <c r="BK176" s="388"/>
      <c r="BL176" s="388"/>
      <c r="BM176" s="388"/>
      <c r="BN176" s="388"/>
      <c r="BO176" s="388"/>
      <c r="BP176" s="388"/>
    </row>
    <row r="177" spans="1:68" s="479" customFormat="1" x14ac:dyDescent="0.2">
      <c r="A177" s="477"/>
      <c r="B177" s="388"/>
      <c r="C177" s="388"/>
      <c r="D177" s="388"/>
      <c r="E177" s="388"/>
      <c r="F177" s="388"/>
      <c r="G177" s="388"/>
      <c r="H177" s="388"/>
      <c r="I177" s="478"/>
      <c r="J177" s="191"/>
      <c r="K177" s="485"/>
      <c r="L177" s="2411"/>
      <c r="M177" s="2418"/>
      <c r="O177" s="478"/>
      <c r="P177" s="481"/>
      <c r="Q177" s="482"/>
      <c r="R177" s="480"/>
      <c r="S177" s="480"/>
      <c r="T177" s="480"/>
      <c r="U177" s="493"/>
      <c r="V177" s="493"/>
      <c r="W177" s="493"/>
      <c r="X177" s="484"/>
      <c r="Y177" s="480"/>
      <c r="Z177" s="388"/>
      <c r="AA177" s="388"/>
      <c r="AB177" s="388"/>
      <c r="AC177" s="388"/>
      <c r="AD177" s="388"/>
      <c r="AE177" s="388"/>
      <c r="AF177" s="388"/>
      <c r="AG177" s="388"/>
      <c r="AH177" s="388"/>
      <c r="AI177" s="388"/>
      <c r="AJ177" s="388"/>
      <c r="AK177" s="388"/>
      <c r="AL177" s="388"/>
      <c r="AM177" s="388"/>
      <c r="AN177" s="388"/>
      <c r="AO177" s="388"/>
      <c r="AP177" s="388"/>
      <c r="AQ177" s="388"/>
      <c r="AR177" s="388"/>
      <c r="AS177" s="388"/>
      <c r="AT177" s="388"/>
      <c r="AU177" s="388"/>
      <c r="AV177" s="388"/>
      <c r="AW177" s="388"/>
      <c r="AX177" s="388"/>
      <c r="AY177" s="388"/>
      <c r="AZ177" s="388"/>
      <c r="BA177" s="388"/>
      <c r="BB177" s="388"/>
      <c r="BC177" s="388"/>
      <c r="BD177" s="388"/>
      <c r="BE177" s="388"/>
      <c r="BF177" s="388"/>
      <c r="BG177" s="388"/>
      <c r="BH177" s="388"/>
      <c r="BI177" s="2414"/>
      <c r="BJ177" s="388"/>
      <c r="BK177" s="388"/>
      <c r="BL177" s="388"/>
      <c r="BM177" s="388"/>
      <c r="BN177" s="388"/>
      <c r="BO177" s="388"/>
      <c r="BP177" s="388"/>
    </row>
    <row r="178" spans="1:68" s="479" customFormat="1" x14ac:dyDescent="0.2">
      <c r="A178" s="477"/>
      <c r="B178" s="388"/>
      <c r="C178" s="388"/>
      <c r="D178" s="388"/>
      <c r="E178" s="388"/>
      <c r="F178" s="388"/>
      <c r="G178" s="388"/>
      <c r="H178" s="388"/>
      <c r="I178" s="478"/>
      <c r="J178" s="191"/>
      <c r="K178" s="485"/>
      <c r="L178" s="2411"/>
      <c r="M178" s="2418"/>
      <c r="O178" s="478"/>
      <c r="P178" s="481"/>
      <c r="Q178" s="482"/>
      <c r="R178" s="480"/>
      <c r="S178" s="480"/>
      <c r="T178" s="480"/>
      <c r="U178" s="493"/>
      <c r="V178" s="493"/>
      <c r="W178" s="493"/>
      <c r="X178" s="484"/>
      <c r="Y178" s="480"/>
      <c r="Z178" s="388"/>
      <c r="AA178" s="388"/>
      <c r="AB178" s="388"/>
      <c r="AC178" s="388"/>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88"/>
      <c r="AY178" s="388"/>
      <c r="AZ178" s="388"/>
      <c r="BA178" s="388"/>
      <c r="BB178" s="388"/>
      <c r="BC178" s="388"/>
      <c r="BD178" s="388"/>
      <c r="BE178" s="388"/>
      <c r="BF178" s="388"/>
      <c r="BG178" s="388"/>
      <c r="BH178" s="388"/>
      <c r="BI178" s="2414"/>
      <c r="BJ178" s="388"/>
      <c r="BK178" s="388"/>
      <c r="BL178" s="388"/>
      <c r="BM178" s="388"/>
      <c r="BN178" s="388"/>
      <c r="BO178" s="388"/>
      <c r="BP178" s="388"/>
    </row>
    <row r="179" spans="1:68" s="479" customFormat="1" x14ac:dyDescent="0.2">
      <c r="A179" s="477"/>
      <c r="B179" s="388"/>
      <c r="C179" s="388"/>
      <c r="D179" s="388"/>
      <c r="E179" s="388"/>
      <c r="F179" s="388"/>
      <c r="G179" s="388"/>
      <c r="H179" s="388"/>
      <c r="I179" s="478"/>
      <c r="J179" s="191"/>
      <c r="K179" s="485"/>
      <c r="L179" s="2411"/>
      <c r="M179" s="2418"/>
      <c r="O179" s="478"/>
      <c r="P179" s="481"/>
      <c r="Q179" s="482"/>
      <c r="R179" s="480"/>
      <c r="S179" s="480"/>
      <c r="T179" s="480"/>
      <c r="U179" s="493"/>
      <c r="V179" s="493"/>
      <c r="W179" s="493"/>
      <c r="X179" s="484"/>
      <c r="Y179" s="480"/>
      <c r="Z179" s="388"/>
      <c r="AA179" s="388"/>
      <c r="AB179" s="388"/>
      <c r="AC179" s="388"/>
      <c r="AD179" s="388"/>
      <c r="AE179" s="388"/>
      <c r="AF179" s="388"/>
      <c r="AG179" s="388"/>
      <c r="AH179" s="388"/>
      <c r="AI179" s="388"/>
      <c r="AJ179" s="388"/>
      <c r="AK179" s="388"/>
      <c r="AL179" s="388"/>
      <c r="AM179" s="388"/>
      <c r="AN179" s="388"/>
      <c r="AO179" s="388"/>
      <c r="AP179" s="388"/>
      <c r="AQ179" s="388"/>
      <c r="AR179" s="388"/>
      <c r="AS179" s="388"/>
      <c r="AT179" s="388"/>
      <c r="AU179" s="388"/>
      <c r="AV179" s="388"/>
      <c r="AW179" s="388"/>
      <c r="AX179" s="388"/>
      <c r="AY179" s="388"/>
      <c r="AZ179" s="388"/>
      <c r="BA179" s="388"/>
      <c r="BB179" s="388"/>
      <c r="BC179" s="388"/>
      <c r="BD179" s="388"/>
      <c r="BE179" s="388"/>
      <c r="BF179" s="388"/>
      <c r="BG179" s="388"/>
      <c r="BH179" s="388"/>
      <c r="BI179" s="2414"/>
      <c r="BJ179" s="388"/>
      <c r="BK179" s="388"/>
      <c r="BL179" s="388"/>
      <c r="BM179" s="388"/>
      <c r="BN179" s="388"/>
      <c r="BO179" s="388"/>
      <c r="BP179" s="388"/>
    </row>
    <row r="180" spans="1:68" s="479" customFormat="1" x14ac:dyDescent="0.2">
      <c r="A180" s="477"/>
      <c r="B180" s="388"/>
      <c r="C180" s="388"/>
      <c r="D180" s="388"/>
      <c r="E180" s="388"/>
      <c r="F180" s="388"/>
      <c r="G180" s="388"/>
      <c r="H180" s="388"/>
      <c r="I180" s="478"/>
      <c r="J180" s="191"/>
      <c r="K180" s="485"/>
      <c r="L180" s="2411"/>
      <c r="M180" s="2418"/>
      <c r="O180" s="478"/>
      <c r="P180" s="481"/>
      <c r="Q180" s="482"/>
      <c r="R180" s="480"/>
      <c r="S180" s="480"/>
      <c r="T180" s="480"/>
      <c r="U180" s="493"/>
      <c r="V180" s="493"/>
      <c r="W180" s="493"/>
      <c r="X180" s="484"/>
      <c r="Y180" s="480"/>
      <c r="Z180" s="388"/>
      <c r="AA180" s="388"/>
      <c r="AB180" s="388"/>
      <c r="AC180" s="388"/>
      <c r="AD180" s="388"/>
      <c r="AE180" s="388"/>
      <c r="AF180" s="388"/>
      <c r="AG180" s="388"/>
      <c r="AH180" s="388"/>
      <c r="AI180" s="388"/>
      <c r="AJ180" s="388"/>
      <c r="AK180" s="388"/>
      <c r="AL180" s="388"/>
      <c r="AM180" s="388"/>
      <c r="AN180" s="388"/>
      <c r="AO180" s="388"/>
      <c r="AP180" s="388"/>
      <c r="AQ180" s="388"/>
      <c r="AR180" s="388"/>
      <c r="AS180" s="388"/>
      <c r="AT180" s="388"/>
      <c r="AU180" s="388"/>
      <c r="AV180" s="388"/>
      <c r="AW180" s="388"/>
      <c r="AX180" s="388"/>
      <c r="AY180" s="388"/>
      <c r="AZ180" s="388"/>
      <c r="BA180" s="388"/>
      <c r="BB180" s="388"/>
      <c r="BC180" s="388"/>
      <c r="BD180" s="388"/>
      <c r="BE180" s="388"/>
      <c r="BF180" s="388"/>
      <c r="BG180" s="388"/>
      <c r="BH180" s="388"/>
      <c r="BI180" s="2414"/>
      <c r="BJ180" s="388"/>
      <c r="BK180" s="388"/>
      <c r="BL180" s="388"/>
      <c r="BM180" s="388"/>
      <c r="BN180" s="388"/>
      <c r="BO180" s="388"/>
      <c r="BP180" s="388"/>
    </row>
    <row r="181" spans="1:68" s="479" customFormat="1" x14ac:dyDescent="0.2">
      <c r="A181" s="477"/>
      <c r="B181" s="388"/>
      <c r="C181" s="388"/>
      <c r="D181" s="388"/>
      <c r="E181" s="388"/>
      <c r="F181" s="388"/>
      <c r="G181" s="388"/>
      <c r="H181" s="388"/>
      <c r="I181" s="478"/>
      <c r="J181" s="191"/>
      <c r="K181" s="485"/>
      <c r="L181" s="2411"/>
      <c r="M181" s="2418"/>
      <c r="O181" s="478"/>
      <c r="P181" s="481"/>
      <c r="Q181" s="482"/>
      <c r="R181" s="480"/>
      <c r="S181" s="480"/>
      <c r="T181" s="480"/>
      <c r="U181" s="493"/>
      <c r="V181" s="493"/>
      <c r="W181" s="493"/>
      <c r="X181" s="484"/>
      <c r="Y181" s="480"/>
      <c r="Z181" s="388"/>
      <c r="AA181" s="388"/>
      <c r="AB181" s="388"/>
      <c r="AC181" s="388"/>
      <c r="AD181" s="388"/>
      <c r="AE181" s="388"/>
      <c r="AF181" s="388"/>
      <c r="AG181" s="388"/>
      <c r="AH181" s="388"/>
      <c r="AI181" s="388"/>
      <c r="AJ181" s="388"/>
      <c r="AK181" s="388"/>
      <c r="AL181" s="388"/>
      <c r="AM181" s="388"/>
      <c r="AN181" s="388"/>
      <c r="AO181" s="388"/>
      <c r="AP181" s="388"/>
      <c r="AQ181" s="388"/>
      <c r="AR181" s="388"/>
      <c r="AS181" s="388"/>
      <c r="AT181" s="388"/>
      <c r="AU181" s="388"/>
      <c r="AV181" s="388"/>
      <c r="AW181" s="388"/>
      <c r="AX181" s="388"/>
      <c r="AY181" s="388"/>
      <c r="AZ181" s="388"/>
      <c r="BA181" s="388"/>
      <c r="BB181" s="388"/>
      <c r="BC181" s="388"/>
      <c r="BD181" s="388"/>
      <c r="BE181" s="388"/>
      <c r="BF181" s="388"/>
      <c r="BG181" s="388"/>
      <c r="BH181" s="388"/>
      <c r="BI181" s="2414"/>
      <c r="BJ181" s="388"/>
      <c r="BK181" s="388"/>
      <c r="BL181" s="388"/>
      <c r="BM181" s="388"/>
      <c r="BN181" s="388"/>
      <c r="BO181" s="388"/>
      <c r="BP181" s="388"/>
    </row>
    <row r="182" spans="1:68" s="479" customFormat="1" x14ac:dyDescent="0.2">
      <c r="A182" s="477"/>
      <c r="B182" s="388"/>
      <c r="C182" s="388"/>
      <c r="D182" s="388"/>
      <c r="E182" s="388"/>
      <c r="F182" s="388"/>
      <c r="G182" s="388"/>
      <c r="H182" s="388"/>
      <c r="I182" s="478"/>
      <c r="J182" s="191"/>
      <c r="K182" s="485"/>
      <c r="L182" s="2411"/>
      <c r="M182" s="2418"/>
      <c r="O182" s="478"/>
      <c r="P182" s="481"/>
      <c r="Q182" s="482"/>
      <c r="R182" s="480"/>
      <c r="S182" s="480"/>
      <c r="T182" s="480"/>
      <c r="U182" s="493"/>
      <c r="V182" s="493"/>
      <c r="W182" s="493"/>
      <c r="X182" s="484"/>
      <c r="Y182" s="480"/>
      <c r="Z182" s="388"/>
      <c r="AA182" s="388"/>
      <c r="AB182" s="388"/>
      <c r="AC182" s="388"/>
      <c r="AD182" s="388"/>
      <c r="AE182" s="388"/>
      <c r="AF182" s="388"/>
      <c r="AG182" s="388"/>
      <c r="AH182" s="388"/>
      <c r="AI182" s="388"/>
      <c r="AJ182" s="388"/>
      <c r="AK182" s="388"/>
      <c r="AL182" s="388"/>
      <c r="AM182" s="388"/>
      <c r="AN182" s="388"/>
      <c r="AO182" s="388"/>
      <c r="AP182" s="388"/>
      <c r="AQ182" s="388"/>
      <c r="AR182" s="388"/>
      <c r="AS182" s="388"/>
      <c r="AT182" s="388"/>
      <c r="AU182" s="388"/>
      <c r="AV182" s="388"/>
      <c r="AW182" s="388"/>
      <c r="AX182" s="388"/>
      <c r="AY182" s="388"/>
      <c r="AZ182" s="388"/>
      <c r="BA182" s="388"/>
      <c r="BB182" s="388"/>
      <c r="BC182" s="388"/>
      <c r="BD182" s="388"/>
      <c r="BE182" s="388"/>
      <c r="BF182" s="388"/>
      <c r="BG182" s="388"/>
      <c r="BH182" s="388"/>
      <c r="BI182" s="2414"/>
      <c r="BJ182" s="388"/>
      <c r="BK182" s="388"/>
      <c r="BL182" s="388"/>
      <c r="BM182" s="388"/>
      <c r="BN182" s="388"/>
      <c r="BO182" s="388"/>
      <c r="BP182" s="388"/>
    </row>
    <row r="183" spans="1:68" s="479" customFormat="1" x14ac:dyDescent="0.2">
      <c r="A183" s="477"/>
      <c r="B183" s="388"/>
      <c r="C183" s="388"/>
      <c r="D183" s="388"/>
      <c r="E183" s="388"/>
      <c r="F183" s="388"/>
      <c r="G183" s="388"/>
      <c r="H183" s="388"/>
      <c r="I183" s="478"/>
      <c r="J183" s="191"/>
      <c r="K183" s="485"/>
      <c r="L183" s="2411"/>
      <c r="M183" s="2418"/>
      <c r="O183" s="478"/>
      <c r="P183" s="481"/>
      <c r="Q183" s="482"/>
      <c r="R183" s="480"/>
      <c r="S183" s="480"/>
      <c r="T183" s="480"/>
      <c r="U183" s="493"/>
      <c r="V183" s="493"/>
      <c r="W183" s="493"/>
      <c r="X183" s="484"/>
      <c r="Y183" s="480"/>
      <c r="Z183" s="388"/>
      <c r="AA183" s="388"/>
      <c r="AB183" s="388"/>
      <c r="AC183" s="388"/>
      <c r="AD183" s="388"/>
      <c r="AE183" s="388"/>
      <c r="AF183" s="388"/>
      <c r="AG183" s="388"/>
      <c r="AH183" s="388"/>
      <c r="AI183" s="388"/>
      <c r="AJ183" s="388"/>
      <c r="AK183" s="388"/>
      <c r="AL183" s="388"/>
      <c r="AM183" s="388"/>
      <c r="AN183" s="388"/>
      <c r="AO183" s="388"/>
      <c r="AP183" s="388"/>
      <c r="AQ183" s="388"/>
      <c r="AR183" s="388"/>
      <c r="AS183" s="388"/>
      <c r="AT183" s="388"/>
      <c r="AU183" s="388"/>
      <c r="AV183" s="388"/>
      <c r="AW183" s="388"/>
      <c r="AX183" s="388"/>
      <c r="AY183" s="388"/>
      <c r="AZ183" s="388"/>
      <c r="BA183" s="388"/>
      <c r="BB183" s="388"/>
      <c r="BC183" s="388"/>
      <c r="BD183" s="388"/>
      <c r="BE183" s="388"/>
      <c r="BF183" s="388"/>
      <c r="BG183" s="388"/>
      <c r="BH183" s="388"/>
      <c r="BI183" s="2414"/>
      <c r="BJ183" s="388"/>
      <c r="BK183" s="388"/>
      <c r="BL183" s="388"/>
      <c r="BM183" s="388"/>
      <c r="BN183" s="388"/>
      <c r="BO183" s="388"/>
      <c r="BP183" s="388"/>
    </row>
    <row r="184" spans="1:68" s="479" customFormat="1" x14ac:dyDescent="0.2">
      <c r="A184" s="477"/>
      <c r="B184" s="388"/>
      <c r="C184" s="388"/>
      <c r="D184" s="388"/>
      <c r="E184" s="388"/>
      <c r="F184" s="388"/>
      <c r="G184" s="388"/>
      <c r="H184" s="388"/>
      <c r="I184" s="478"/>
      <c r="J184" s="191"/>
      <c r="K184" s="485"/>
      <c r="L184" s="2411"/>
      <c r="M184" s="2418"/>
      <c r="O184" s="478"/>
      <c r="P184" s="481"/>
      <c r="Q184" s="482"/>
      <c r="R184" s="480"/>
      <c r="S184" s="480"/>
      <c r="T184" s="480"/>
      <c r="U184" s="493"/>
      <c r="V184" s="493"/>
      <c r="W184" s="493"/>
      <c r="X184" s="484"/>
      <c r="Y184" s="480"/>
      <c r="Z184" s="388"/>
      <c r="AA184" s="388"/>
      <c r="AB184" s="388"/>
      <c r="AC184" s="388"/>
      <c r="AD184" s="388"/>
      <c r="AE184" s="388"/>
      <c r="AF184" s="388"/>
      <c r="AG184" s="388"/>
      <c r="AH184" s="388"/>
      <c r="AI184" s="388"/>
      <c r="AJ184" s="388"/>
      <c r="AK184" s="388"/>
      <c r="AL184" s="388"/>
      <c r="AM184" s="388"/>
      <c r="AN184" s="388"/>
      <c r="AO184" s="388"/>
      <c r="AP184" s="388"/>
      <c r="AQ184" s="388"/>
      <c r="AR184" s="388"/>
      <c r="AS184" s="388"/>
      <c r="AT184" s="388"/>
      <c r="AU184" s="388"/>
      <c r="AV184" s="388"/>
      <c r="AW184" s="388"/>
      <c r="AX184" s="388"/>
      <c r="AY184" s="388"/>
      <c r="AZ184" s="388"/>
      <c r="BA184" s="388"/>
      <c r="BB184" s="388"/>
      <c r="BC184" s="388"/>
      <c r="BD184" s="388"/>
      <c r="BE184" s="388"/>
      <c r="BF184" s="388"/>
      <c r="BG184" s="388"/>
      <c r="BH184" s="388"/>
      <c r="BI184" s="2414"/>
      <c r="BJ184" s="388"/>
      <c r="BK184" s="388"/>
      <c r="BL184" s="388"/>
      <c r="BM184" s="388"/>
      <c r="BN184" s="388"/>
      <c r="BO184" s="388"/>
      <c r="BP184" s="388"/>
    </row>
    <row r="185" spans="1:68" s="479" customFormat="1" x14ac:dyDescent="0.2">
      <c r="A185" s="477"/>
      <c r="B185" s="388"/>
      <c r="C185" s="388"/>
      <c r="D185" s="388"/>
      <c r="E185" s="388"/>
      <c r="F185" s="388"/>
      <c r="G185" s="388"/>
      <c r="H185" s="388"/>
      <c r="I185" s="478"/>
      <c r="J185" s="191"/>
      <c r="K185" s="485"/>
      <c r="L185" s="2411"/>
      <c r="M185" s="2418"/>
      <c r="O185" s="478"/>
      <c r="P185" s="481"/>
      <c r="Q185" s="482"/>
      <c r="R185" s="480"/>
      <c r="S185" s="480"/>
      <c r="T185" s="480"/>
      <c r="U185" s="493"/>
      <c r="V185" s="493"/>
      <c r="W185" s="493"/>
      <c r="X185" s="484"/>
      <c r="Y185" s="480"/>
      <c r="Z185" s="388"/>
      <c r="AA185" s="388"/>
      <c r="AB185" s="388"/>
      <c r="AC185" s="388"/>
      <c r="AD185" s="388"/>
      <c r="AE185" s="388"/>
      <c r="AF185" s="388"/>
      <c r="AG185" s="388"/>
      <c r="AH185" s="388"/>
      <c r="AI185" s="388"/>
      <c r="AJ185" s="388"/>
      <c r="AK185" s="388"/>
      <c r="AL185" s="388"/>
      <c r="AM185" s="388"/>
      <c r="AN185" s="388"/>
      <c r="AO185" s="388"/>
      <c r="AP185" s="388"/>
      <c r="AQ185" s="388"/>
      <c r="AR185" s="388"/>
      <c r="AS185" s="388"/>
      <c r="AT185" s="388"/>
      <c r="AU185" s="388"/>
      <c r="AV185" s="388"/>
      <c r="AW185" s="388"/>
      <c r="AX185" s="388"/>
      <c r="AY185" s="388"/>
      <c r="AZ185" s="388"/>
      <c r="BA185" s="388"/>
      <c r="BB185" s="388"/>
      <c r="BC185" s="388"/>
      <c r="BD185" s="388"/>
      <c r="BE185" s="388"/>
      <c r="BF185" s="388"/>
      <c r="BG185" s="388"/>
      <c r="BH185" s="388"/>
      <c r="BI185" s="2414"/>
      <c r="BJ185" s="388"/>
      <c r="BK185" s="388"/>
      <c r="BL185" s="388"/>
      <c r="BM185" s="388"/>
      <c r="BN185" s="388"/>
      <c r="BO185" s="388"/>
      <c r="BP185" s="388"/>
    </row>
    <row r="186" spans="1:68" s="479" customFormat="1" x14ac:dyDescent="0.2">
      <c r="A186" s="477"/>
      <c r="B186" s="388"/>
      <c r="C186" s="388"/>
      <c r="D186" s="388"/>
      <c r="E186" s="388"/>
      <c r="F186" s="388"/>
      <c r="G186" s="388"/>
      <c r="H186" s="388"/>
      <c r="I186" s="478"/>
      <c r="J186" s="191"/>
      <c r="K186" s="485"/>
      <c r="L186" s="2411"/>
      <c r="M186" s="2418"/>
      <c r="O186" s="478"/>
      <c r="P186" s="481"/>
      <c r="Q186" s="482"/>
      <c r="R186" s="480"/>
      <c r="S186" s="480"/>
      <c r="T186" s="480"/>
      <c r="U186" s="493"/>
      <c r="V186" s="493"/>
      <c r="W186" s="493"/>
      <c r="X186" s="484"/>
      <c r="Y186" s="480"/>
      <c r="Z186" s="388"/>
      <c r="AA186" s="388"/>
      <c r="AB186" s="388"/>
      <c r="AC186" s="388"/>
      <c r="AD186" s="388"/>
      <c r="AE186" s="388"/>
      <c r="AF186" s="388"/>
      <c r="AG186" s="388"/>
      <c r="AH186" s="388"/>
      <c r="AI186" s="388"/>
      <c r="AJ186" s="388"/>
      <c r="AK186" s="388"/>
      <c r="AL186" s="388"/>
      <c r="AM186" s="388"/>
      <c r="AN186" s="388"/>
      <c r="AO186" s="388"/>
      <c r="AP186" s="388"/>
      <c r="AQ186" s="388"/>
      <c r="AR186" s="388"/>
      <c r="AS186" s="388"/>
      <c r="AT186" s="388"/>
      <c r="AU186" s="388"/>
      <c r="AV186" s="388"/>
      <c r="AW186" s="388"/>
      <c r="AX186" s="388"/>
      <c r="AY186" s="388"/>
      <c r="AZ186" s="388"/>
      <c r="BA186" s="388"/>
      <c r="BB186" s="388"/>
      <c r="BC186" s="388"/>
      <c r="BD186" s="388"/>
      <c r="BE186" s="388"/>
      <c r="BF186" s="388"/>
      <c r="BG186" s="388"/>
      <c r="BH186" s="388"/>
      <c r="BI186" s="2414"/>
      <c r="BJ186" s="388"/>
      <c r="BK186" s="388"/>
      <c r="BL186" s="388"/>
      <c r="BM186" s="388"/>
      <c r="BN186" s="388"/>
      <c r="BO186" s="388"/>
      <c r="BP186" s="388"/>
    </row>
    <row r="187" spans="1:68" s="479" customFormat="1" x14ac:dyDescent="0.2">
      <c r="A187" s="477"/>
      <c r="B187" s="388"/>
      <c r="C187" s="388"/>
      <c r="D187" s="388"/>
      <c r="E187" s="388"/>
      <c r="F187" s="388"/>
      <c r="G187" s="388"/>
      <c r="H187" s="388"/>
      <c r="I187" s="478"/>
      <c r="J187" s="191"/>
      <c r="K187" s="485"/>
      <c r="L187" s="2411"/>
      <c r="M187" s="2418"/>
      <c r="O187" s="478"/>
      <c r="P187" s="481"/>
      <c r="Q187" s="482"/>
      <c r="R187" s="480"/>
      <c r="S187" s="480"/>
      <c r="T187" s="480"/>
      <c r="U187" s="493"/>
      <c r="V187" s="493"/>
      <c r="W187" s="493"/>
      <c r="X187" s="484"/>
      <c r="Y187" s="480"/>
      <c r="Z187" s="388"/>
      <c r="AA187" s="388"/>
      <c r="AB187" s="388"/>
      <c r="AC187" s="388"/>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88"/>
      <c r="AY187" s="388"/>
      <c r="AZ187" s="388"/>
      <c r="BA187" s="388"/>
      <c r="BB187" s="388"/>
      <c r="BC187" s="388"/>
      <c r="BD187" s="388"/>
      <c r="BE187" s="388"/>
      <c r="BF187" s="388"/>
      <c r="BG187" s="388"/>
      <c r="BH187" s="388"/>
      <c r="BI187" s="2414"/>
      <c r="BJ187" s="388"/>
      <c r="BK187" s="388"/>
      <c r="BL187" s="388"/>
      <c r="BM187" s="388"/>
      <c r="BN187" s="388"/>
      <c r="BO187" s="388"/>
      <c r="BP187" s="388"/>
    </row>
    <row r="188" spans="1:68" s="479" customFormat="1" x14ac:dyDescent="0.2">
      <c r="A188" s="477"/>
      <c r="B188" s="388"/>
      <c r="C188" s="388"/>
      <c r="D188" s="388"/>
      <c r="E188" s="388"/>
      <c r="F188" s="388"/>
      <c r="G188" s="388"/>
      <c r="H188" s="388"/>
      <c r="I188" s="478"/>
      <c r="J188" s="191"/>
      <c r="K188" s="485"/>
      <c r="L188" s="2411"/>
      <c r="M188" s="2418"/>
      <c r="O188" s="478"/>
      <c r="P188" s="481"/>
      <c r="Q188" s="482"/>
      <c r="R188" s="480"/>
      <c r="S188" s="480"/>
      <c r="T188" s="480"/>
      <c r="U188" s="493"/>
      <c r="V188" s="493"/>
      <c r="W188" s="493"/>
      <c r="X188" s="484"/>
      <c r="Y188" s="480"/>
      <c r="Z188" s="388"/>
      <c r="AA188" s="388"/>
      <c r="AB188" s="388"/>
      <c r="AC188" s="388"/>
      <c r="AD188" s="388"/>
      <c r="AE188" s="388"/>
      <c r="AF188" s="388"/>
      <c r="AG188" s="388"/>
      <c r="AH188" s="388"/>
      <c r="AI188" s="388"/>
      <c r="AJ188" s="388"/>
      <c r="AK188" s="388"/>
      <c r="AL188" s="388"/>
      <c r="AM188" s="388"/>
      <c r="AN188" s="388"/>
      <c r="AO188" s="388"/>
      <c r="AP188" s="388"/>
      <c r="AQ188" s="388"/>
      <c r="AR188" s="388"/>
      <c r="AS188" s="388"/>
      <c r="AT188" s="388"/>
      <c r="AU188" s="388"/>
      <c r="AV188" s="388"/>
      <c r="AW188" s="388"/>
      <c r="AX188" s="388"/>
      <c r="AY188" s="388"/>
      <c r="AZ188" s="388"/>
      <c r="BA188" s="388"/>
      <c r="BB188" s="388"/>
      <c r="BC188" s="388"/>
      <c r="BD188" s="388"/>
      <c r="BE188" s="388"/>
      <c r="BF188" s="388"/>
      <c r="BG188" s="388"/>
      <c r="BH188" s="388"/>
      <c r="BI188" s="2414"/>
      <c r="BJ188" s="388"/>
      <c r="BK188" s="388"/>
      <c r="BL188" s="388"/>
      <c r="BM188" s="388"/>
      <c r="BN188" s="388"/>
      <c r="BO188" s="388"/>
      <c r="BP188" s="388"/>
    </row>
    <row r="189" spans="1:68" s="479" customFormat="1" x14ac:dyDescent="0.2">
      <c r="A189" s="477"/>
      <c r="B189" s="388"/>
      <c r="C189" s="388"/>
      <c r="D189" s="388"/>
      <c r="E189" s="388"/>
      <c r="F189" s="388"/>
      <c r="G189" s="388"/>
      <c r="H189" s="388"/>
      <c r="I189" s="478"/>
      <c r="J189" s="191"/>
      <c r="K189" s="485"/>
      <c r="L189" s="2411"/>
      <c r="M189" s="2418"/>
      <c r="O189" s="478"/>
      <c r="P189" s="481"/>
      <c r="Q189" s="482"/>
      <c r="R189" s="480"/>
      <c r="S189" s="480"/>
      <c r="T189" s="480"/>
      <c r="U189" s="493"/>
      <c r="V189" s="493"/>
      <c r="W189" s="493"/>
      <c r="X189" s="484"/>
      <c r="Y189" s="480"/>
      <c r="Z189" s="388"/>
      <c r="AA189" s="388"/>
      <c r="AB189" s="388"/>
      <c r="AC189" s="388"/>
      <c r="AD189" s="388"/>
      <c r="AE189" s="388"/>
      <c r="AF189" s="388"/>
      <c r="AG189" s="388"/>
      <c r="AH189" s="388"/>
      <c r="AI189" s="388"/>
      <c r="AJ189" s="388"/>
      <c r="AK189" s="388"/>
      <c r="AL189" s="388"/>
      <c r="AM189" s="388"/>
      <c r="AN189" s="388"/>
      <c r="AO189" s="388"/>
      <c r="AP189" s="388"/>
      <c r="AQ189" s="388"/>
      <c r="AR189" s="388"/>
      <c r="AS189" s="388"/>
      <c r="AT189" s="388"/>
      <c r="AU189" s="388"/>
      <c r="AV189" s="388"/>
      <c r="AW189" s="388"/>
      <c r="AX189" s="388"/>
      <c r="AY189" s="388"/>
      <c r="AZ189" s="388"/>
      <c r="BA189" s="388"/>
      <c r="BB189" s="388"/>
      <c r="BC189" s="388"/>
      <c r="BD189" s="388"/>
      <c r="BE189" s="388"/>
      <c r="BF189" s="388"/>
      <c r="BG189" s="388"/>
      <c r="BH189" s="388"/>
      <c r="BI189" s="2414"/>
      <c r="BJ189" s="388"/>
      <c r="BK189" s="388"/>
      <c r="BL189" s="388"/>
      <c r="BM189" s="388"/>
      <c r="BN189" s="388"/>
      <c r="BO189" s="388"/>
      <c r="BP189" s="388"/>
    </row>
    <row r="190" spans="1:68" s="479" customFormat="1" x14ac:dyDescent="0.2">
      <c r="A190" s="477"/>
      <c r="B190" s="388"/>
      <c r="C190" s="388"/>
      <c r="D190" s="388"/>
      <c r="E190" s="388"/>
      <c r="F190" s="388"/>
      <c r="G190" s="388"/>
      <c r="H190" s="388"/>
      <c r="I190" s="478"/>
      <c r="J190" s="191"/>
      <c r="K190" s="485"/>
      <c r="L190" s="2411"/>
      <c r="M190" s="2418"/>
      <c r="O190" s="478"/>
      <c r="P190" s="481"/>
      <c r="Q190" s="482"/>
      <c r="R190" s="480"/>
      <c r="S190" s="480"/>
      <c r="T190" s="480"/>
      <c r="U190" s="493"/>
      <c r="V190" s="493"/>
      <c r="W190" s="493"/>
      <c r="X190" s="484"/>
      <c r="Y190" s="480"/>
      <c r="Z190" s="388"/>
      <c r="AA190" s="388"/>
      <c r="AB190" s="388"/>
      <c r="AC190" s="388"/>
      <c r="AD190" s="388"/>
      <c r="AE190" s="388"/>
      <c r="AF190" s="388"/>
      <c r="AG190" s="388"/>
      <c r="AH190" s="388"/>
      <c r="AI190" s="388"/>
      <c r="AJ190" s="388"/>
      <c r="AK190" s="388"/>
      <c r="AL190" s="388"/>
      <c r="AM190" s="388"/>
      <c r="AN190" s="388"/>
      <c r="AO190" s="388"/>
      <c r="AP190" s="388"/>
      <c r="AQ190" s="388"/>
      <c r="AR190" s="388"/>
      <c r="AS190" s="388"/>
      <c r="AT190" s="388"/>
      <c r="AU190" s="388"/>
      <c r="AV190" s="388"/>
      <c r="AW190" s="388"/>
      <c r="AX190" s="388"/>
      <c r="AY190" s="388"/>
      <c r="AZ190" s="388"/>
      <c r="BA190" s="388"/>
      <c r="BB190" s="388"/>
      <c r="BC190" s="388"/>
      <c r="BD190" s="388"/>
      <c r="BE190" s="388"/>
      <c r="BF190" s="388"/>
      <c r="BG190" s="388"/>
      <c r="BH190" s="388"/>
      <c r="BI190" s="2414"/>
      <c r="BJ190" s="388"/>
      <c r="BK190" s="388"/>
      <c r="BL190" s="388"/>
      <c r="BM190" s="388"/>
      <c r="BN190" s="388"/>
      <c r="BO190" s="388"/>
      <c r="BP190" s="388"/>
    </row>
    <row r="191" spans="1:68" s="479" customFormat="1" x14ac:dyDescent="0.2">
      <c r="A191" s="477"/>
      <c r="B191" s="388"/>
      <c r="C191" s="388"/>
      <c r="D191" s="388"/>
      <c r="E191" s="388"/>
      <c r="F191" s="388"/>
      <c r="G191" s="388"/>
      <c r="H191" s="388"/>
      <c r="I191" s="478"/>
      <c r="J191" s="191"/>
      <c r="K191" s="485"/>
      <c r="L191" s="2411"/>
      <c r="M191" s="2418"/>
      <c r="O191" s="478"/>
      <c r="P191" s="481"/>
      <c r="Q191" s="482"/>
      <c r="R191" s="480"/>
      <c r="S191" s="480"/>
      <c r="T191" s="480"/>
      <c r="U191" s="493"/>
      <c r="V191" s="493"/>
      <c r="W191" s="493"/>
      <c r="X191" s="484"/>
      <c r="Y191" s="480"/>
      <c r="Z191" s="388"/>
      <c r="AA191" s="388"/>
      <c r="AB191" s="388"/>
      <c r="AC191" s="388"/>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88"/>
      <c r="AY191" s="388"/>
      <c r="AZ191" s="388"/>
      <c r="BA191" s="388"/>
      <c r="BB191" s="388"/>
      <c r="BC191" s="388"/>
      <c r="BD191" s="388"/>
      <c r="BE191" s="388"/>
      <c r="BF191" s="388"/>
      <c r="BG191" s="388"/>
      <c r="BH191" s="388"/>
      <c r="BI191" s="2414"/>
      <c r="BJ191" s="388"/>
      <c r="BK191" s="388"/>
      <c r="BL191" s="388"/>
      <c r="BM191" s="388"/>
      <c r="BN191" s="388"/>
      <c r="BO191" s="388"/>
      <c r="BP191" s="388"/>
    </row>
    <row r="192" spans="1:68" s="479" customFormat="1" x14ac:dyDescent="0.2">
      <c r="A192" s="477"/>
      <c r="B192" s="388"/>
      <c r="C192" s="388"/>
      <c r="D192" s="388"/>
      <c r="E192" s="388"/>
      <c r="F192" s="388"/>
      <c r="G192" s="388"/>
      <c r="H192" s="388"/>
      <c r="I192" s="478"/>
      <c r="J192" s="191"/>
      <c r="K192" s="485"/>
      <c r="L192" s="2411"/>
      <c r="M192" s="2418"/>
      <c r="O192" s="478"/>
      <c r="P192" s="481"/>
      <c r="Q192" s="482"/>
      <c r="R192" s="480"/>
      <c r="S192" s="480"/>
      <c r="T192" s="480"/>
      <c r="U192" s="493"/>
      <c r="V192" s="493"/>
      <c r="W192" s="493"/>
      <c r="X192" s="484"/>
      <c r="Y192" s="480"/>
      <c r="Z192" s="388"/>
      <c r="AA192" s="388"/>
      <c r="AB192" s="388"/>
      <c r="AC192" s="388"/>
      <c r="AD192" s="388"/>
      <c r="AE192" s="388"/>
      <c r="AF192" s="388"/>
      <c r="AG192" s="388"/>
      <c r="AH192" s="388"/>
      <c r="AI192" s="388"/>
      <c r="AJ192" s="388"/>
      <c r="AK192" s="388"/>
      <c r="AL192" s="388"/>
      <c r="AM192" s="388"/>
      <c r="AN192" s="388"/>
      <c r="AO192" s="388"/>
      <c r="AP192" s="388"/>
      <c r="AQ192" s="388"/>
      <c r="AR192" s="388"/>
      <c r="AS192" s="388"/>
      <c r="AT192" s="388"/>
      <c r="AU192" s="388"/>
      <c r="AV192" s="388"/>
      <c r="AW192" s="388"/>
      <c r="AX192" s="388"/>
      <c r="AY192" s="388"/>
      <c r="AZ192" s="388"/>
      <c r="BA192" s="388"/>
      <c r="BB192" s="388"/>
      <c r="BC192" s="388"/>
      <c r="BD192" s="388"/>
      <c r="BE192" s="388"/>
      <c r="BF192" s="388"/>
      <c r="BG192" s="388"/>
      <c r="BH192" s="388"/>
      <c r="BI192" s="2414"/>
      <c r="BJ192" s="388"/>
      <c r="BK192" s="388"/>
      <c r="BL192" s="388"/>
      <c r="BM192" s="388"/>
      <c r="BN192" s="388"/>
      <c r="BO192" s="388"/>
      <c r="BP192" s="388"/>
    </row>
    <row r="193" spans="1:68" s="479" customFormat="1" x14ac:dyDescent="0.2">
      <c r="A193" s="477"/>
      <c r="B193" s="388"/>
      <c r="C193" s="388"/>
      <c r="D193" s="388"/>
      <c r="E193" s="388"/>
      <c r="F193" s="388"/>
      <c r="G193" s="388"/>
      <c r="H193" s="388"/>
      <c r="I193" s="478"/>
      <c r="J193" s="191"/>
      <c r="K193" s="485"/>
      <c r="L193" s="2411"/>
      <c r="M193" s="2418"/>
      <c r="O193" s="478"/>
      <c r="P193" s="481"/>
      <c r="Q193" s="482"/>
      <c r="R193" s="480"/>
      <c r="S193" s="480"/>
      <c r="T193" s="480"/>
      <c r="U193" s="493"/>
      <c r="V193" s="493"/>
      <c r="W193" s="493"/>
      <c r="X193" s="484"/>
      <c r="Y193" s="480"/>
      <c r="Z193" s="388"/>
      <c r="AA193" s="388"/>
      <c r="AB193" s="388"/>
      <c r="AC193" s="388"/>
      <c r="AD193" s="388"/>
      <c r="AE193" s="388"/>
      <c r="AF193" s="388"/>
      <c r="AG193" s="388"/>
      <c r="AH193" s="388"/>
      <c r="AI193" s="388"/>
      <c r="AJ193" s="388"/>
      <c r="AK193" s="388"/>
      <c r="AL193" s="388"/>
      <c r="AM193" s="388"/>
      <c r="AN193" s="388"/>
      <c r="AO193" s="388"/>
      <c r="AP193" s="388"/>
      <c r="AQ193" s="388"/>
      <c r="AR193" s="388"/>
      <c r="AS193" s="388"/>
      <c r="AT193" s="388"/>
      <c r="AU193" s="388"/>
      <c r="AV193" s="388"/>
      <c r="AW193" s="388"/>
      <c r="AX193" s="388"/>
      <c r="AY193" s="388"/>
      <c r="AZ193" s="388"/>
      <c r="BA193" s="388"/>
      <c r="BB193" s="388"/>
      <c r="BC193" s="388"/>
      <c r="BD193" s="388"/>
      <c r="BE193" s="388"/>
      <c r="BF193" s="388"/>
      <c r="BG193" s="388"/>
      <c r="BH193" s="388"/>
      <c r="BI193" s="2414"/>
      <c r="BJ193" s="388"/>
      <c r="BK193" s="388"/>
      <c r="BL193" s="388"/>
      <c r="BM193" s="388"/>
      <c r="BN193" s="388"/>
      <c r="BO193" s="388"/>
      <c r="BP193" s="388"/>
    </row>
    <row r="194" spans="1:68" s="479" customFormat="1" x14ac:dyDescent="0.2">
      <c r="A194" s="477"/>
      <c r="B194" s="388"/>
      <c r="C194" s="388"/>
      <c r="D194" s="388"/>
      <c r="E194" s="388"/>
      <c r="F194" s="388"/>
      <c r="G194" s="388"/>
      <c r="H194" s="388"/>
      <c r="I194" s="478"/>
      <c r="J194" s="191"/>
      <c r="K194" s="485"/>
      <c r="L194" s="2411"/>
      <c r="M194" s="2418"/>
      <c r="O194" s="478"/>
      <c r="P194" s="481"/>
      <c r="Q194" s="482"/>
      <c r="R194" s="480"/>
      <c r="S194" s="480"/>
      <c r="T194" s="480"/>
      <c r="U194" s="493"/>
      <c r="V194" s="493"/>
      <c r="W194" s="493"/>
      <c r="X194" s="484"/>
      <c r="Y194" s="480"/>
      <c r="Z194" s="388"/>
      <c r="AA194" s="388"/>
      <c r="AB194" s="388"/>
      <c r="AC194" s="388"/>
      <c r="AD194" s="388"/>
      <c r="AE194" s="388"/>
      <c r="AF194" s="388"/>
      <c r="AG194" s="388"/>
      <c r="AH194" s="388"/>
      <c r="AI194" s="388"/>
      <c r="AJ194" s="388"/>
      <c r="AK194" s="388"/>
      <c r="AL194" s="388"/>
      <c r="AM194" s="388"/>
      <c r="AN194" s="388"/>
      <c r="AO194" s="388"/>
      <c r="AP194" s="388"/>
      <c r="AQ194" s="388"/>
      <c r="AR194" s="388"/>
      <c r="AS194" s="388"/>
      <c r="AT194" s="388"/>
      <c r="AU194" s="388"/>
      <c r="AV194" s="388"/>
      <c r="AW194" s="388"/>
      <c r="AX194" s="388"/>
      <c r="AY194" s="388"/>
      <c r="AZ194" s="388"/>
      <c r="BA194" s="388"/>
      <c r="BB194" s="388"/>
      <c r="BC194" s="388"/>
      <c r="BD194" s="388"/>
      <c r="BE194" s="388"/>
      <c r="BF194" s="388"/>
      <c r="BG194" s="388"/>
      <c r="BH194" s="388"/>
      <c r="BI194" s="2414"/>
      <c r="BJ194" s="388"/>
      <c r="BK194" s="388"/>
      <c r="BL194" s="388"/>
      <c r="BM194" s="388"/>
      <c r="BN194" s="388"/>
      <c r="BO194" s="388"/>
      <c r="BP194" s="388"/>
    </row>
    <row r="195" spans="1:68" s="479" customFormat="1" x14ac:dyDescent="0.2">
      <c r="A195" s="477"/>
      <c r="B195" s="388"/>
      <c r="C195" s="388"/>
      <c r="D195" s="388"/>
      <c r="E195" s="388"/>
      <c r="F195" s="388"/>
      <c r="G195" s="388"/>
      <c r="H195" s="388"/>
      <c r="I195" s="478"/>
      <c r="J195" s="191"/>
      <c r="K195" s="485"/>
      <c r="L195" s="2411"/>
      <c r="M195" s="2418"/>
      <c r="O195" s="478"/>
      <c r="P195" s="481"/>
      <c r="Q195" s="482"/>
      <c r="R195" s="480"/>
      <c r="S195" s="480"/>
      <c r="T195" s="480"/>
      <c r="U195" s="493"/>
      <c r="V195" s="493"/>
      <c r="W195" s="493"/>
      <c r="X195" s="484"/>
      <c r="Y195" s="480"/>
      <c r="Z195" s="388"/>
      <c r="AA195" s="388"/>
      <c r="AB195" s="388"/>
      <c r="AC195" s="388"/>
      <c r="AD195" s="388"/>
      <c r="AE195" s="388"/>
      <c r="AF195" s="388"/>
      <c r="AG195" s="388"/>
      <c r="AH195" s="388"/>
      <c r="AI195" s="388"/>
      <c r="AJ195" s="388"/>
      <c r="AK195" s="388"/>
      <c r="AL195" s="388"/>
      <c r="AM195" s="388"/>
      <c r="AN195" s="388"/>
      <c r="AO195" s="388"/>
      <c r="AP195" s="388"/>
      <c r="AQ195" s="388"/>
      <c r="AR195" s="388"/>
      <c r="AS195" s="388"/>
      <c r="AT195" s="388"/>
      <c r="AU195" s="388"/>
      <c r="AV195" s="388"/>
      <c r="AW195" s="388"/>
      <c r="AX195" s="388"/>
      <c r="AY195" s="388"/>
      <c r="AZ195" s="388"/>
      <c r="BA195" s="388"/>
      <c r="BB195" s="388"/>
      <c r="BC195" s="388"/>
      <c r="BD195" s="388"/>
      <c r="BE195" s="388"/>
      <c r="BF195" s="388"/>
      <c r="BG195" s="388"/>
      <c r="BH195" s="388"/>
      <c r="BI195" s="2414"/>
      <c r="BJ195" s="388"/>
      <c r="BK195" s="388"/>
      <c r="BL195" s="388"/>
      <c r="BM195" s="388"/>
      <c r="BN195" s="388"/>
      <c r="BO195" s="388"/>
      <c r="BP195" s="388"/>
    </row>
    <row r="196" spans="1:68" s="479" customFormat="1" x14ac:dyDescent="0.2">
      <c r="A196" s="477"/>
      <c r="B196" s="388"/>
      <c r="C196" s="388"/>
      <c r="D196" s="388"/>
      <c r="E196" s="388"/>
      <c r="F196" s="388"/>
      <c r="G196" s="388"/>
      <c r="H196" s="388"/>
      <c r="I196" s="478"/>
      <c r="J196" s="191"/>
      <c r="K196" s="485"/>
      <c r="L196" s="2411"/>
      <c r="M196" s="2418"/>
      <c r="O196" s="478"/>
      <c r="P196" s="481"/>
      <c r="Q196" s="482"/>
      <c r="R196" s="480"/>
      <c r="S196" s="480"/>
      <c r="T196" s="480"/>
      <c r="U196" s="493"/>
      <c r="V196" s="493"/>
      <c r="W196" s="493"/>
      <c r="X196" s="484"/>
      <c r="Y196" s="480"/>
      <c r="Z196" s="388"/>
      <c r="AA196" s="388"/>
      <c r="AB196" s="388"/>
      <c r="AC196" s="388"/>
      <c r="AD196" s="388"/>
      <c r="AE196" s="388"/>
      <c r="AF196" s="388"/>
      <c r="AG196" s="388"/>
      <c r="AH196" s="388"/>
      <c r="AI196" s="388"/>
      <c r="AJ196" s="388"/>
      <c r="AK196" s="388"/>
      <c r="AL196" s="388"/>
      <c r="AM196" s="388"/>
      <c r="AN196" s="388"/>
      <c r="AO196" s="388"/>
      <c r="AP196" s="388"/>
      <c r="AQ196" s="388"/>
      <c r="AR196" s="388"/>
      <c r="AS196" s="388"/>
      <c r="AT196" s="388"/>
      <c r="AU196" s="388"/>
      <c r="AV196" s="388"/>
      <c r="AW196" s="388"/>
      <c r="AX196" s="388"/>
      <c r="AY196" s="388"/>
      <c r="AZ196" s="388"/>
      <c r="BA196" s="388"/>
      <c r="BB196" s="388"/>
      <c r="BC196" s="388"/>
      <c r="BD196" s="388"/>
      <c r="BE196" s="388"/>
      <c r="BF196" s="388"/>
      <c r="BG196" s="388"/>
      <c r="BH196" s="388"/>
      <c r="BI196" s="2414"/>
      <c r="BJ196" s="388"/>
      <c r="BK196" s="388"/>
      <c r="BL196" s="388"/>
      <c r="BM196" s="388"/>
      <c r="BN196" s="388"/>
      <c r="BO196" s="388"/>
      <c r="BP196" s="388"/>
    </row>
    <row r="197" spans="1:68" s="479" customFormat="1" x14ac:dyDescent="0.2">
      <c r="A197" s="477"/>
      <c r="B197" s="388"/>
      <c r="C197" s="388"/>
      <c r="D197" s="388"/>
      <c r="E197" s="388"/>
      <c r="F197" s="388"/>
      <c r="G197" s="388"/>
      <c r="H197" s="388"/>
      <c r="I197" s="478"/>
      <c r="J197" s="191"/>
      <c r="K197" s="485"/>
      <c r="L197" s="2411"/>
      <c r="M197" s="2418"/>
      <c r="O197" s="478"/>
      <c r="P197" s="481"/>
      <c r="Q197" s="482"/>
      <c r="R197" s="480"/>
      <c r="S197" s="480"/>
      <c r="T197" s="480"/>
      <c r="U197" s="493"/>
      <c r="V197" s="493"/>
      <c r="W197" s="493"/>
      <c r="X197" s="484"/>
      <c r="Y197" s="480"/>
      <c r="Z197" s="388"/>
      <c r="AA197" s="388"/>
      <c r="AB197" s="388"/>
      <c r="AC197" s="388"/>
      <c r="AD197" s="388"/>
      <c r="AE197" s="388"/>
      <c r="AF197" s="388"/>
      <c r="AG197" s="388"/>
      <c r="AH197" s="388"/>
      <c r="AI197" s="388"/>
      <c r="AJ197" s="388"/>
      <c r="AK197" s="388"/>
      <c r="AL197" s="388"/>
      <c r="AM197" s="388"/>
      <c r="AN197" s="388"/>
      <c r="AO197" s="388"/>
      <c r="AP197" s="388"/>
      <c r="AQ197" s="388"/>
      <c r="AR197" s="388"/>
      <c r="AS197" s="388"/>
      <c r="AT197" s="388"/>
      <c r="AU197" s="388"/>
      <c r="AV197" s="388"/>
      <c r="AW197" s="388"/>
      <c r="AX197" s="388"/>
      <c r="AY197" s="388"/>
      <c r="AZ197" s="388"/>
      <c r="BA197" s="388"/>
      <c r="BB197" s="388"/>
      <c r="BC197" s="388"/>
      <c r="BD197" s="388"/>
      <c r="BE197" s="388"/>
      <c r="BF197" s="388"/>
      <c r="BG197" s="388"/>
      <c r="BH197" s="388"/>
      <c r="BI197" s="2414"/>
      <c r="BJ197" s="388"/>
      <c r="BK197" s="388"/>
      <c r="BL197" s="388"/>
      <c r="BM197" s="388"/>
      <c r="BN197" s="388"/>
      <c r="BO197" s="388"/>
      <c r="BP197" s="388"/>
    </row>
    <row r="198" spans="1:68" s="479" customFormat="1" x14ac:dyDescent="0.2">
      <c r="A198" s="477"/>
      <c r="B198" s="388"/>
      <c r="C198" s="388"/>
      <c r="D198" s="388"/>
      <c r="E198" s="388"/>
      <c r="F198" s="388"/>
      <c r="G198" s="388"/>
      <c r="H198" s="388"/>
      <c r="I198" s="478"/>
      <c r="J198" s="191"/>
      <c r="K198" s="485"/>
      <c r="L198" s="2411"/>
      <c r="M198" s="2418"/>
      <c r="O198" s="478"/>
      <c r="P198" s="481"/>
      <c r="Q198" s="482"/>
      <c r="R198" s="480"/>
      <c r="S198" s="480"/>
      <c r="T198" s="480"/>
      <c r="U198" s="493"/>
      <c r="V198" s="493"/>
      <c r="W198" s="493"/>
      <c r="X198" s="484"/>
      <c r="Y198" s="480"/>
      <c r="Z198" s="388"/>
      <c r="AA198" s="388"/>
      <c r="AB198" s="388"/>
      <c r="AC198" s="388"/>
      <c r="AD198" s="388"/>
      <c r="AE198" s="388"/>
      <c r="AF198" s="388"/>
      <c r="AG198" s="388"/>
      <c r="AH198" s="388"/>
      <c r="AI198" s="388"/>
      <c r="AJ198" s="388"/>
      <c r="AK198" s="388"/>
      <c r="AL198" s="388"/>
      <c r="AM198" s="388"/>
      <c r="AN198" s="388"/>
      <c r="AO198" s="388"/>
      <c r="AP198" s="388"/>
      <c r="AQ198" s="388"/>
      <c r="AR198" s="388"/>
      <c r="AS198" s="388"/>
      <c r="AT198" s="388"/>
      <c r="AU198" s="388"/>
      <c r="AV198" s="388"/>
      <c r="AW198" s="388"/>
      <c r="AX198" s="388"/>
      <c r="AY198" s="388"/>
      <c r="AZ198" s="388"/>
      <c r="BA198" s="388"/>
      <c r="BB198" s="388"/>
      <c r="BC198" s="388"/>
      <c r="BD198" s="388"/>
      <c r="BE198" s="388"/>
      <c r="BF198" s="388"/>
      <c r="BG198" s="388"/>
      <c r="BH198" s="388"/>
      <c r="BI198" s="2414"/>
      <c r="BJ198" s="388"/>
      <c r="BK198" s="388"/>
      <c r="BL198" s="388"/>
      <c r="BM198" s="388"/>
      <c r="BN198" s="388"/>
      <c r="BO198" s="388"/>
      <c r="BP198" s="388"/>
    </row>
    <row r="199" spans="1:68" s="479" customFormat="1" x14ac:dyDescent="0.2">
      <c r="A199" s="477"/>
      <c r="B199" s="388"/>
      <c r="C199" s="388"/>
      <c r="D199" s="388"/>
      <c r="E199" s="388"/>
      <c r="F199" s="388"/>
      <c r="G199" s="388"/>
      <c r="H199" s="388"/>
      <c r="I199" s="478"/>
      <c r="J199" s="191"/>
      <c r="K199" s="485"/>
      <c r="L199" s="2411"/>
      <c r="M199" s="2418"/>
      <c r="O199" s="478"/>
      <c r="P199" s="481"/>
      <c r="Q199" s="482"/>
      <c r="R199" s="480"/>
      <c r="S199" s="480"/>
      <c r="T199" s="480"/>
      <c r="U199" s="493"/>
      <c r="V199" s="493"/>
      <c r="W199" s="493"/>
      <c r="X199" s="484"/>
      <c r="Y199" s="480"/>
      <c r="Z199" s="388"/>
      <c r="AA199" s="388"/>
      <c r="AB199" s="388"/>
      <c r="AC199" s="388"/>
      <c r="AD199" s="388"/>
      <c r="AE199" s="388"/>
      <c r="AF199" s="388"/>
      <c r="AG199" s="388"/>
      <c r="AH199" s="388"/>
      <c r="AI199" s="388"/>
      <c r="AJ199" s="388"/>
      <c r="AK199" s="388"/>
      <c r="AL199" s="388"/>
      <c r="AM199" s="388"/>
      <c r="AN199" s="388"/>
      <c r="AO199" s="388"/>
      <c r="AP199" s="388"/>
      <c r="AQ199" s="388"/>
      <c r="AR199" s="388"/>
      <c r="AS199" s="388"/>
      <c r="AT199" s="388"/>
      <c r="AU199" s="388"/>
      <c r="AV199" s="388"/>
      <c r="AW199" s="388"/>
      <c r="AX199" s="388"/>
      <c r="AY199" s="388"/>
      <c r="AZ199" s="388"/>
      <c r="BA199" s="388"/>
      <c r="BB199" s="388"/>
      <c r="BC199" s="388"/>
      <c r="BD199" s="388"/>
      <c r="BE199" s="388"/>
      <c r="BF199" s="388"/>
      <c r="BG199" s="388"/>
      <c r="BH199" s="388"/>
      <c r="BI199" s="2414"/>
      <c r="BJ199" s="388"/>
      <c r="BK199" s="388"/>
      <c r="BL199" s="388"/>
      <c r="BM199" s="388"/>
      <c r="BN199" s="388"/>
      <c r="BO199" s="388"/>
      <c r="BP199" s="388"/>
    </row>
    <row r="200" spans="1:68" s="479" customFormat="1" x14ac:dyDescent="0.2">
      <c r="A200" s="477"/>
      <c r="B200" s="388"/>
      <c r="C200" s="388"/>
      <c r="D200" s="388"/>
      <c r="E200" s="388"/>
      <c r="F200" s="388"/>
      <c r="G200" s="388"/>
      <c r="H200" s="388"/>
      <c r="I200" s="478"/>
      <c r="J200" s="191"/>
      <c r="K200" s="485"/>
      <c r="L200" s="2411"/>
      <c r="M200" s="2418"/>
      <c r="O200" s="478"/>
      <c r="P200" s="481"/>
      <c r="Q200" s="482"/>
      <c r="R200" s="480"/>
      <c r="S200" s="480"/>
      <c r="T200" s="480"/>
      <c r="U200" s="493"/>
      <c r="V200" s="493"/>
      <c r="W200" s="493"/>
      <c r="X200" s="484"/>
      <c r="Y200" s="480"/>
      <c r="Z200" s="388"/>
      <c r="AA200" s="388"/>
      <c r="AB200" s="388"/>
      <c r="AC200" s="388"/>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88"/>
      <c r="AY200" s="388"/>
      <c r="AZ200" s="388"/>
      <c r="BA200" s="388"/>
      <c r="BB200" s="388"/>
      <c r="BC200" s="388"/>
      <c r="BD200" s="388"/>
      <c r="BE200" s="388"/>
      <c r="BF200" s="388"/>
      <c r="BG200" s="388"/>
      <c r="BH200" s="388"/>
      <c r="BI200" s="2414"/>
      <c r="BJ200" s="388"/>
      <c r="BK200" s="388"/>
      <c r="BL200" s="388"/>
      <c r="BM200" s="388"/>
      <c r="BN200" s="388"/>
      <c r="BO200" s="388"/>
      <c r="BP200" s="388"/>
    </row>
    <row r="201" spans="1:68" s="479" customFormat="1" x14ac:dyDescent="0.2">
      <c r="A201" s="477"/>
      <c r="B201" s="388"/>
      <c r="C201" s="388"/>
      <c r="D201" s="388"/>
      <c r="E201" s="388"/>
      <c r="F201" s="388"/>
      <c r="G201" s="388"/>
      <c r="H201" s="388"/>
      <c r="I201" s="478"/>
      <c r="J201" s="191"/>
      <c r="K201" s="485"/>
      <c r="L201" s="2411"/>
      <c r="M201" s="2418"/>
      <c r="O201" s="478"/>
      <c r="P201" s="481"/>
      <c r="Q201" s="482"/>
      <c r="R201" s="480"/>
      <c r="S201" s="480"/>
      <c r="T201" s="480"/>
      <c r="U201" s="493"/>
      <c r="V201" s="493"/>
      <c r="W201" s="493"/>
      <c r="X201" s="484"/>
      <c r="Y201" s="480"/>
      <c r="Z201" s="388"/>
      <c r="AA201" s="388"/>
      <c r="AB201" s="388"/>
      <c r="AC201" s="388"/>
      <c r="AD201" s="388"/>
      <c r="AE201" s="388"/>
      <c r="AF201" s="388"/>
      <c r="AG201" s="388"/>
      <c r="AH201" s="388"/>
      <c r="AI201" s="388"/>
      <c r="AJ201" s="388"/>
      <c r="AK201" s="388"/>
      <c r="AL201" s="388"/>
      <c r="AM201" s="388"/>
      <c r="AN201" s="388"/>
      <c r="AO201" s="388"/>
      <c r="AP201" s="388"/>
      <c r="AQ201" s="388"/>
      <c r="AR201" s="388"/>
      <c r="AS201" s="388"/>
      <c r="AT201" s="388"/>
      <c r="AU201" s="388"/>
      <c r="AV201" s="388"/>
      <c r="AW201" s="388"/>
      <c r="AX201" s="388"/>
      <c r="AY201" s="388"/>
      <c r="AZ201" s="388"/>
      <c r="BA201" s="388"/>
      <c r="BB201" s="388"/>
      <c r="BC201" s="388"/>
      <c r="BD201" s="388"/>
      <c r="BE201" s="388"/>
      <c r="BF201" s="388"/>
      <c r="BG201" s="388"/>
      <c r="BH201" s="388"/>
      <c r="BI201" s="2414"/>
      <c r="BJ201" s="388"/>
      <c r="BK201" s="388"/>
      <c r="BL201" s="388"/>
      <c r="BM201" s="388"/>
      <c r="BN201" s="388"/>
      <c r="BO201" s="388"/>
      <c r="BP201" s="388"/>
    </row>
    <row r="202" spans="1:68" s="479" customFormat="1" x14ac:dyDescent="0.2">
      <c r="A202" s="477"/>
      <c r="B202" s="388"/>
      <c r="C202" s="388"/>
      <c r="D202" s="388"/>
      <c r="E202" s="388"/>
      <c r="F202" s="388"/>
      <c r="G202" s="388"/>
      <c r="H202" s="388"/>
      <c r="I202" s="478"/>
      <c r="J202" s="191"/>
      <c r="K202" s="485"/>
      <c r="L202" s="2411"/>
      <c r="M202" s="2418"/>
      <c r="O202" s="478"/>
      <c r="P202" s="481"/>
      <c r="Q202" s="482"/>
      <c r="R202" s="480"/>
      <c r="S202" s="480"/>
      <c r="T202" s="480"/>
      <c r="U202" s="493"/>
      <c r="V202" s="493"/>
      <c r="W202" s="493"/>
      <c r="X202" s="484"/>
      <c r="Y202" s="480"/>
      <c r="Z202" s="388"/>
      <c r="AA202" s="388"/>
      <c r="AB202" s="388"/>
      <c r="AC202" s="388"/>
      <c r="AD202" s="388"/>
      <c r="AE202" s="388"/>
      <c r="AF202" s="388"/>
      <c r="AG202" s="388"/>
      <c r="AH202" s="388"/>
      <c r="AI202" s="388"/>
      <c r="AJ202" s="388"/>
      <c r="AK202" s="388"/>
      <c r="AL202" s="388"/>
      <c r="AM202" s="388"/>
      <c r="AN202" s="388"/>
      <c r="AO202" s="388"/>
      <c r="AP202" s="388"/>
      <c r="AQ202" s="388"/>
      <c r="AR202" s="388"/>
      <c r="AS202" s="388"/>
      <c r="AT202" s="388"/>
      <c r="AU202" s="388"/>
      <c r="AV202" s="388"/>
      <c r="AW202" s="388"/>
      <c r="AX202" s="388"/>
      <c r="AY202" s="388"/>
      <c r="AZ202" s="388"/>
      <c r="BA202" s="388"/>
      <c r="BB202" s="388"/>
      <c r="BC202" s="388"/>
      <c r="BD202" s="388"/>
      <c r="BE202" s="388"/>
      <c r="BF202" s="388"/>
      <c r="BG202" s="388"/>
      <c r="BH202" s="388"/>
      <c r="BI202" s="2414"/>
      <c r="BJ202" s="388"/>
      <c r="BK202" s="388"/>
      <c r="BL202" s="388"/>
      <c r="BM202" s="388"/>
      <c r="BN202" s="388"/>
      <c r="BO202" s="388"/>
      <c r="BP202" s="388"/>
    </row>
    <row r="203" spans="1:68" s="479" customFormat="1" x14ac:dyDescent="0.2">
      <c r="A203" s="477"/>
      <c r="B203" s="388"/>
      <c r="C203" s="388"/>
      <c r="D203" s="388"/>
      <c r="E203" s="388"/>
      <c r="F203" s="388"/>
      <c r="G203" s="388"/>
      <c r="H203" s="388"/>
      <c r="I203" s="478"/>
      <c r="J203" s="191"/>
      <c r="K203" s="485"/>
      <c r="L203" s="2411"/>
      <c r="M203" s="2418"/>
      <c r="O203" s="478"/>
      <c r="P203" s="481"/>
      <c r="Q203" s="482"/>
      <c r="R203" s="480"/>
      <c r="S203" s="480"/>
      <c r="T203" s="480"/>
      <c r="U203" s="493"/>
      <c r="V203" s="493"/>
      <c r="W203" s="493"/>
      <c r="X203" s="484"/>
      <c r="Y203" s="480"/>
      <c r="Z203" s="388"/>
      <c r="AA203" s="388"/>
      <c r="AB203" s="388"/>
      <c r="AC203" s="388"/>
      <c r="AD203" s="388"/>
      <c r="AE203" s="388"/>
      <c r="AF203" s="388"/>
      <c r="AG203" s="388"/>
      <c r="AH203" s="388"/>
      <c r="AI203" s="388"/>
      <c r="AJ203" s="388"/>
      <c r="AK203" s="388"/>
      <c r="AL203" s="388"/>
      <c r="AM203" s="388"/>
      <c r="AN203" s="388"/>
      <c r="AO203" s="388"/>
      <c r="AP203" s="388"/>
      <c r="AQ203" s="388"/>
      <c r="AR203" s="388"/>
      <c r="AS203" s="388"/>
      <c r="AT203" s="388"/>
      <c r="AU203" s="388"/>
      <c r="AV203" s="388"/>
      <c r="AW203" s="388"/>
      <c r="AX203" s="388"/>
      <c r="AY203" s="388"/>
      <c r="AZ203" s="388"/>
      <c r="BA203" s="388"/>
      <c r="BB203" s="388"/>
      <c r="BC203" s="388"/>
      <c r="BD203" s="388"/>
      <c r="BE203" s="388"/>
      <c r="BF203" s="388"/>
      <c r="BG203" s="388"/>
      <c r="BH203" s="388"/>
      <c r="BI203" s="2414"/>
      <c r="BJ203" s="388"/>
      <c r="BK203" s="388"/>
      <c r="BL203" s="388"/>
      <c r="BM203" s="388"/>
      <c r="BN203" s="388"/>
      <c r="BO203" s="388"/>
      <c r="BP203" s="388"/>
    </row>
    <row r="204" spans="1:68" s="479" customFormat="1" x14ac:dyDescent="0.2">
      <c r="A204" s="477"/>
      <c r="B204" s="388"/>
      <c r="C204" s="388"/>
      <c r="D204" s="388"/>
      <c r="E204" s="388"/>
      <c r="F204" s="388"/>
      <c r="G204" s="388"/>
      <c r="H204" s="388"/>
      <c r="I204" s="478"/>
      <c r="J204" s="191"/>
      <c r="K204" s="485"/>
      <c r="L204" s="2411"/>
      <c r="M204" s="2418"/>
      <c r="O204" s="478"/>
      <c r="P204" s="481"/>
      <c r="Q204" s="482"/>
      <c r="R204" s="480"/>
      <c r="S204" s="480"/>
      <c r="T204" s="480"/>
      <c r="U204" s="493"/>
      <c r="V204" s="493"/>
      <c r="W204" s="493"/>
      <c r="X204" s="484"/>
      <c r="Y204" s="480"/>
      <c r="Z204" s="388"/>
      <c r="AA204" s="388"/>
      <c r="AB204" s="388"/>
      <c r="AC204" s="388"/>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88"/>
      <c r="AY204" s="388"/>
      <c r="AZ204" s="388"/>
      <c r="BA204" s="388"/>
      <c r="BB204" s="388"/>
      <c r="BC204" s="388"/>
      <c r="BD204" s="388"/>
      <c r="BE204" s="388"/>
      <c r="BF204" s="388"/>
      <c r="BG204" s="388"/>
      <c r="BH204" s="388"/>
      <c r="BI204" s="2414"/>
      <c r="BJ204" s="388"/>
      <c r="BK204" s="388"/>
      <c r="BL204" s="388"/>
      <c r="BM204" s="388"/>
      <c r="BN204" s="388"/>
      <c r="BO204" s="388"/>
      <c r="BP204" s="388"/>
    </row>
    <row r="205" spans="1:68" s="479" customFormat="1" x14ac:dyDescent="0.2">
      <c r="A205" s="477"/>
      <c r="B205" s="388"/>
      <c r="C205" s="388"/>
      <c r="D205" s="388"/>
      <c r="E205" s="388"/>
      <c r="F205" s="388"/>
      <c r="G205" s="388"/>
      <c r="H205" s="388"/>
      <c r="I205" s="478"/>
      <c r="J205" s="191"/>
      <c r="K205" s="485"/>
      <c r="L205" s="2411"/>
      <c r="M205" s="2418"/>
      <c r="O205" s="478"/>
      <c r="P205" s="481"/>
      <c r="Q205" s="482"/>
      <c r="R205" s="480"/>
      <c r="S205" s="480"/>
      <c r="T205" s="480"/>
      <c r="U205" s="493"/>
      <c r="V205" s="493"/>
      <c r="W205" s="493"/>
      <c r="X205" s="484"/>
      <c r="Y205" s="480"/>
      <c r="Z205" s="388"/>
      <c r="AA205" s="388"/>
      <c r="AB205" s="388"/>
      <c r="AC205" s="388"/>
      <c r="AD205" s="388"/>
      <c r="AE205" s="388"/>
      <c r="AF205" s="388"/>
      <c r="AG205" s="388"/>
      <c r="AH205" s="388"/>
      <c r="AI205" s="388"/>
      <c r="AJ205" s="388"/>
      <c r="AK205" s="388"/>
      <c r="AL205" s="388"/>
      <c r="AM205" s="388"/>
      <c r="AN205" s="388"/>
      <c r="AO205" s="388"/>
      <c r="AP205" s="388"/>
      <c r="AQ205" s="388"/>
      <c r="AR205" s="388"/>
      <c r="AS205" s="388"/>
      <c r="AT205" s="388"/>
      <c r="AU205" s="388"/>
      <c r="AV205" s="388"/>
      <c r="AW205" s="388"/>
      <c r="AX205" s="388"/>
      <c r="AY205" s="388"/>
      <c r="AZ205" s="388"/>
      <c r="BA205" s="388"/>
      <c r="BB205" s="388"/>
      <c r="BC205" s="388"/>
      <c r="BD205" s="388"/>
      <c r="BE205" s="388"/>
      <c r="BF205" s="388"/>
      <c r="BG205" s="388"/>
      <c r="BH205" s="388"/>
      <c r="BI205" s="2414"/>
      <c r="BJ205" s="388"/>
      <c r="BK205" s="388"/>
      <c r="BL205" s="388"/>
      <c r="BM205" s="388"/>
      <c r="BN205" s="388"/>
      <c r="BO205" s="388"/>
      <c r="BP205" s="388"/>
    </row>
    <row r="206" spans="1:68" s="479" customFormat="1" x14ac:dyDescent="0.2">
      <c r="A206" s="477"/>
      <c r="B206" s="388"/>
      <c r="C206" s="388"/>
      <c r="D206" s="388"/>
      <c r="E206" s="388"/>
      <c r="F206" s="388"/>
      <c r="G206" s="388"/>
      <c r="H206" s="388"/>
      <c r="I206" s="478"/>
      <c r="J206" s="191"/>
      <c r="K206" s="485"/>
      <c r="L206" s="2411"/>
      <c r="M206" s="2418"/>
      <c r="O206" s="478"/>
      <c r="P206" s="481"/>
      <c r="Q206" s="482"/>
      <c r="R206" s="480"/>
      <c r="S206" s="480"/>
      <c r="T206" s="480"/>
      <c r="U206" s="493"/>
      <c r="V206" s="493"/>
      <c r="W206" s="493"/>
      <c r="X206" s="484"/>
      <c r="Y206" s="480"/>
      <c r="Z206" s="388"/>
      <c r="AA206" s="388"/>
      <c r="AB206" s="388"/>
      <c r="AC206" s="388"/>
      <c r="AD206" s="388"/>
      <c r="AE206" s="388"/>
      <c r="AF206" s="388"/>
      <c r="AG206" s="388"/>
      <c r="AH206" s="388"/>
      <c r="AI206" s="388"/>
      <c r="AJ206" s="388"/>
      <c r="AK206" s="388"/>
      <c r="AL206" s="388"/>
      <c r="AM206" s="388"/>
      <c r="AN206" s="388"/>
      <c r="AO206" s="388"/>
      <c r="AP206" s="388"/>
      <c r="AQ206" s="388"/>
      <c r="AR206" s="388"/>
      <c r="AS206" s="388"/>
      <c r="AT206" s="388"/>
      <c r="AU206" s="388"/>
      <c r="AV206" s="388"/>
      <c r="AW206" s="388"/>
      <c r="AX206" s="388"/>
      <c r="AY206" s="388"/>
      <c r="AZ206" s="388"/>
      <c r="BA206" s="388"/>
      <c r="BB206" s="388"/>
      <c r="BC206" s="388"/>
      <c r="BD206" s="388"/>
      <c r="BE206" s="388"/>
      <c r="BF206" s="388"/>
      <c r="BG206" s="388"/>
      <c r="BH206" s="388"/>
      <c r="BI206" s="2414"/>
      <c r="BJ206" s="388"/>
      <c r="BK206" s="388"/>
      <c r="BL206" s="388"/>
      <c r="BM206" s="388"/>
      <c r="BN206" s="388"/>
      <c r="BO206" s="388"/>
      <c r="BP206" s="388"/>
    </row>
    <row r="207" spans="1:68" s="479" customFormat="1" x14ac:dyDescent="0.2">
      <c r="A207" s="477"/>
      <c r="B207" s="388"/>
      <c r="C207" s="388"/>
      <c r="D207" s="388"/>
      <c r="E207" s="388"/>
      <c r="F207" s="388"/>
      <c r="G207" s="388"/>
      <c r="H207" s="388"/>
      <c r="I207" s="478"/>
      <c r="J207" s="191"/>
      <c r="K207" s="485"/>
      <c r="L207" s="2411"/>
      <c r="M207" s="2418"/>
      <c r="O207" s="478"/>
      <c r="P207" s="481"/>
      <c r="Q207" s="482"/>
      <c r="R207" s="480"/>
      <c r="S207" s="480"/>
      <c r="T207" s="480"/>
      <c r="U207" s="493"/>
      <c r="V207" s="493"/>
      <c r="W207" s="493"/>
      <c r="X207" s="484"/>
      <c r="Y207" s="480"/>
      <c r="Z207" s="388"/>
      <c r="AA207" s="388"/>
      <c r="AB207" s="388"/>
      <c r="AC207" s="388"/>
      <c r="AD207" s="388"/>
      <c r="AE207" s="388"/>
      <c r="AF207" s="388"/>
      <c r="AG207" s="388"/>
      <c r="AH207" s="388"/>
      <c r="AI207" s="388"/>
      <c r="AJ207" s="388"/>
      <c r="AK207" s="388"/>
      <c r="AL207" s="388"/>
      <c r="AM207" s="388"/>
      <c r="AN207" s="388"/>
      <c r="AO207" s="388"/>
      <c r="AP207" s="388"/>
      <c r="AQ207" s="388"/>
      <c r="AR207" s="388"/>
      <c r="AS207" s="388"/>
      <c r="AT207" s="388"/>
      <c r="AU207" s="388"/>
      <c r="AV207" s="388"/>
      <c r="AW207" s="388"/>
      <c r="AX207" s="388"/>
      <c r="AY207" s="388"/>
      <c r="AZ207" s="388"/>
      <c r="BA207" s="388"/>
      <c r="BB207" s="388"/>
      <c r="BC207" s="388"/>
      <c r="BD207" s="388"/>
      <c r="BE207" s="388"/>
      <c r="BF207" s="388"/>
      <c r="BG207" s="388"/>
      <c r="BH207" s="388"/>
      <c r="BI207" s="2414"/>
      <c r="BJ207" s="388"/>
      <c r="BK207" s="388"/>
      <c r="BL207" s="388"/>
      <c r="BM207" s="388"/>
      <c r="BN207" s="388"/>
      <c r="BO207" s="388"/>
      <c r="BP207" s="388"/>
    </row>
    <row r="208" spans="1:68" s="479" customFormat="1" x14ac:dyDescent="0.2">
      <c r="A208" s="477"/>
      <c r="B208" s="388"/>
      <c r="C208" s="388"/>
      <c r="D208" s="388"/>
      <c r="E208" s="388"/>
      <c r="F208" s="388"/>
      <c r="G208" s="388"/>
      <c r="H208" s="388"/>
      <c r="I208" s="478"/>
      <c r="J208" s="191"/>
      <c r="K208" s="485"/>
      <c r="L208" s="2411"/>
      <c r="M208" s="2418"/>
      <c r="O208" s="478"/>
      <c r="P208" s="481"/>
      <c r="Q208" s="482"/>
      <c r="R208" s="480"/>
      <c r="S208" s="480"/>
      <c r="T208" s="480"/>
      <c r="U208" s="493"/>
      <c r="V208" s="493"/>
      <c r="W208" s="493"/>
      <c r="X208" s="484"/>
      <c r="Y208" s="480"/>
      <c r="Z208" s="388"/>
      <c r="AA208" s="388"/>
      <c r="AB208" s="388"/>
      <c r="AC208" s="388"/>
      <c r="AD208" s="388"/>
      <c r="AE208" s="388"/>
      <c r="AF208" s="388"/>
      <c r="AG208" s="388"/>
      <c r="AH208" s="388"/>
      <c r="AI208" s="388"/>
      <c r="AJ208" s="388"/>
      <c r="AK208" s="388"/>
      <c r="AL208" s="388"/>
      <c r="AM208" s="388"/>
      <c r="AN208" s="388"/>
      <c r="AO208" s="388"/>
      <c r="AP208" s="388"/>
      <c r="AQ208" s="388"/>
      <c r="AR208" s="388"/>
      <c r="AS208" s="388"/>
      <c r="AT208" s="388"/>
      <c r="AU208" s="388"/>
      <c r="AV208" s="388"/>
      <c r="AW208" s="388"/>
      <c r="AX208" s="388"/>
      <c r="AY208" s="388"/>
      <c r="AZ208" s="388"/>
      <c r="BA208" s="388"/>
      <c r="BB208" s="388"/>
      <c r="BC208" s="388"/>
      <c r="BD208" s="388"/>
      <c r="BE208" s="388"/>
      <c r="BF208" s="388"/>
      <c r="BG208" s="388"/>
      <c r="BH208" s="388"/>
      <c r="BI208" s="2414"/>
      <c r="BJ208" s="388"/>
      <c r="BK208" s="388"/>
      <c r="BL208" s="388"/>
      <c r="BM208" s="388"/>
      <c r="BN208" s="388"/>
      <c r="BO208" s="388"/>
      <c r="BP208" s="388"/>
    </row>
    <row r="209" spans="1:68" s="479" customFormat="1" x14ac:dyDescent="0.2">
      <c r="A209" s="477"/>
      <c r="B209" s="388"/>
      <c r="C209" s="388"/>
      <c r="D209" s="388"/>
      <c r="E209" s="388"/>
      <c r="F209" s="388"/>
      <c r="G209" s="388"/>
      <c r="H209" s="388"/>
      <c r="I209" s="478"/>
      <c r="J209" s="191"/>
      <c r="K209" s="485"/>
      <c r="L209" s="2411"/>
      <c r="M209" s="2418"/>
      <c r="O209" s="478"/>
      <c r="P209" s="481"/>
      <c r="Q209" s="482"/>
      <c r="R209" s="480"/>
      <c r="S209" s="480"/>
      <c r="T209" s="480"/>
      <c r="U209" s="493"/>
      <c r="V209" s="493"/>
      <c r="W209" s="493"/>
      <c r="X209" s="484"/>
      <c r="Y209" s="480"/>
      <c r="Z209" s="388"/>
      <c r="AA209" s="388"/>
      <c r="AB209" s="388"/>
      <c r="AC209" s="388"/>
      <c r="AD209" s="388"/>
      <c r="AE209" s="388"/>
      <c r="AF209" s="388"/>
      <c r="AG209" s="388"/>
      <c r="AH209" s="388"/>
      <c r="AI209" s="388"/>
      <c r="AJ209" s="388"/>
      <c r="AK209" s="388"/>
      <c r="AL209" s="388"/>
      <c r="AM209" s="388"/>
      <c r="AN209" s="388"/>
      <c r="AO209" s="388"/>
      <c r="AP209" s="388"/>
      <c r="AQ209" s="388"/>
      <c r="AR209" s="388"/>
      <c r="AS209" s="388"/>
      <c r="AT209" s="388"/>
      <c r="AU209" s="388"/>
      <c r="AV209" s="388"/>
      <c r="AW209" s="388"/>
      <c r="AX209" s="388"/>
      <c r="AY209" s="388"/>
      <c r="AZ209" s="388"/>
      <c r="BA209" s="388"/>
      <c r="BB209" s="388"/>
      <c r="BC209" s="388"/>
      <c r="BD209" s="388"/>
      <c r="BE209" s="388"/>
      <c r="BF209" s="388"/>
      <c r="BG209" s="388"/>
      <c r="BH209" s="388"/>
      <c r="BI209" s="2414"/>
      <c r="BJ209" s="388"/>
      <c r="BK209" s="388"/>
      <c r="BL209" s="388"/>
      <c r="BM209" s="388"/>
      <c r="BN209" s="388"/>
      <c r="BO209" s="388"/>
      <c r="BP209" s="388"/>
    </row>
    <row r="210" spans="1:68" s="479" customFormat="1" x14ac:dyDescent="0.2">
      <c r="A210" s="477"/>
      <c r="B210" s="388"/>
      <c r="C210" s="388"/>
      <c r="D210" s="388"/>
      <c r="E210" s="388"/>
      <c r="F210" s="388"/>
      <c r="G210" s="388"/>
      <c r="H210" s="388"/>
      <c r="I210" s="478"/>
      <c r="J210" s="191"/>
      <c r="K210" s="485"/>
      <c r="L210" s="2411"/>
      <c r="M210" s="2418"/>
      <c r="O210" s="478"/>
      <c r="P210" s="481"/>
      <c r="Q210" s="482"/>
      <c r="R210" s="480"/>
      <c r="S210" s="480"/>
      <c r="T210" s="480"/>
      <c r="U210" s="493"/>
      <c r="V210" s="493"/>
      <c r="W210" s="493"/>
      <c r="X210" s="484"/>
      <c r="Y210" s="480"/>
      <c r="Z210" s="388"/>
      <c r="AA210" s="388"/>
      <c r="AB210" s="388"/>
      <c r="AC210" s="388"/>
      <c r="AD210" s="388"/>
      <c r="AE210" s="388"/>
      <c r="AF210" s="388"/>
      <c r="AG210" s="388"/>
      <c r="AH210" s="388"/>
      <c r="AI210" s="388"/>
      <c r="AJ210" s="388"/>
      <c r="AK210" s="388"/>
      <c r="AL210" s="388"/>
      <c r="AM210" s="388"/>
      <c r="AN210" s="388"/>
      <c r="AO210" s="388"/>
      <c r="AP210" s="388"/>
      <c r="AQ210" s="388"/>
      <c r="AR210" s="388"/>
      <c r="AS210" s="388"/>
      <c r="AT210" s="388"/>
      <c r="AU210" s="388"/>
      <c r="AV210" s="388"/>
      <c r="AW210" s="388"/>
      <c r="AX210" s="388"/>
      <c r="AY210" s="388"/>
      <c r="AZ210" s="388"/>
      <c r="BA210" s="388"/>
      <c r="BB210" s="388"/>
      <c r="BC210" s="388"/>
      <c r="BD210" s="388"/>
      <c r="BE210" s="388"/>
      <c r="BF210" s="388"/>
      <c r="BG210" s="388"/>
      <c r="BH210" s="388"/>
      <c r="BI210" s="2414"/>
      <c r="BJ210" s="388"/>
      <c r="BK210" s="388"/>
      <c r="BL210" s="388"/>
      <c r="BM210" s="388"/>
      <c r="BN210" s="388"/>
      <c r="BO210" s="388"/>
      <c r="BP210" s="388"/>
    </row>
    <row r="211" spans="1:68" s="479" customFormat="1" x14ac:dyDescent="0.2">
      <c r="A211" s="477"/>
      <c r="B211" s="388"/>
      <c r="C211" s="388"/>
      <c r="D211" s="388"/>
      <c r="E211" s="388"/>
      <c r="F211" s="388"/>
      <c r="G211" s="388"/>
      <c r="H211" s="388"/>
      <c r="I211" s="478"/>
      <c r="J211" s="191"/>
      <c r="K211" s="485"/>
      <c r="L211" s="2411"/>
      <c r="M211" s="2418"/>
      <c r="O211" s="478"/>
      <c r="P211" s="481"/>
      <c r="Q211" s="482"/>
      <c r="R211" s="480"/>
      <c r="S211" s="480"/>
      <c r="T211" s="480"/>
      <c r="U211" s="493"/>
      <c r="V211" s="493"/>
      <c r="W211" s="493"/>
      <c r="X211" s="484"/>
      <c r="Y211" s="480"/>
      <c r="Z211" s="388"/>
      <c r="AA211" s="388"/>
      <c r="AB211" s="388"/>
      <c r="AC211" s="388"/>
      <c r="AD211" s="388"/>
      <c r="AE211" s="388"/>
      <c r="AF211" s="388"/>
      <c r="AG211" s="388"/>
      <c r="AH211" s="388"/>
      <c r="AI211" s="388"/>
      <c r="AJ211" s="388"/>
      <c r="AK211" s="388"/>
      <c r="AL211" s="388"/>
      <c r="AM211" s="388"/>
      <c r="AN211" s="388"/>
      <c r="AO211" s="388"/>
      <c r="AP211" s="388"/>
      <c r="AQ211" s="388"/>
      <c r="AR211" s="388"/>
      <c r="AS211" s="388"/>
      <c r="AT211" s="388"/>
      <c r="AU211" s="388"/>
      <c r="AV211" s="388"/>
      <c r="AW211" s="388"/>
      <c r="AX211" s="388"/>
      <c r="AY211" s="388"/>
      <c r="AZ211" s="388"/>
      <c r="BA211" s="388"/>
      <c r="BB211" s="388"/>
      <c r="BC211" s="388"/>
      <c r="BD211" s="388"/>
      <c r="BE211" s="388"/>
      <c r="BF211" s="388"/>
      <c r="BG211" s="388"/>
      <c r="BH211" s="388"/>
      <c r="BI211" s="2414"/>
      <c r="BJ211" s="388"/>
      <c r="BK211" s="388"/>
      <c r="BL211" s="388"/>
      <c r="BM211" s="388"/>
      <c r="BN211" s="388"/>
      <c r="BO211" s="388"/>
      <c r="BP211" s="388"/>
    </row>
    <row r="212" spans="1:68" s="479" customFormat="1" x14ac:dyDescent="0.2">
      <c r="A212" s="477"/>
      <c r="B212" s="388"/>
      <c r="C212" s="388"/>
      <c r="D212" s="388"/>
      <c r="E212" s="388"/>
      <c r="F212" s="388"/>
      <c r="G212" s="388"/>
      <c r="H212" s="388"/>
      <c r="I212" s="478"/>
      <c r="J212" s="191"/>
      <c r="K212" s="485"/>
      <c r="L212" s="2411"/>
      <c r="M212" s="2418"/>
      <c r="O212" s="478"/>
      <c r="P212" s="481"/>
      <c r="Q212" s="482"/>
      <c r="R212" s="480"/>
      <c r="S212" s="480"/>
      <c r="T212" s="480"/>
      <c r="U212" s="493"/>
      <c r="V212" s="493"/>
      <c r="W212" s="493"/>
      <c r="X212" s="484"/>
      <c r="Y212" s="480"/>
      <c r="Z212" s="388"/>
      <c r="AA212" s="388"/>
      <c r="AB212" s="388"/>
      <c r="AC212" s="388"/>
      <c r="AD212" s="388"/>
      <c r="AE212" s="388"/>
      <c r="AF212" s="388"/>
      <c r="AG212" s="388"/>
      <c r="AH212" s="388"/>
      <c r="AI212" s="388"/>
      <c r="AJ212" s="388"/>
      <c r="AK212" s="388"/>
      <c r="AL212" s="388"/>
      <c r="AM212" s="388"/>
      <c r="AN212" s="388"/>
      <c r="AO212" s="388"/>
      <c r="AP212" s="388"/>
      <c r="AQ212" s="388"/>
      <c r="AR212" s="388"/>
      <c r="AS212" s="388"/>
      <c r="AT212" s="388"/>
      <c r="AU212" s="388"/>
      <c r="AV212" s="388"/>
      <c r="AW212" s="388"/>
      <c r="AX212" s="388"/>
      <c r="AY212" s="388"/>
      <c r="AZ212" s="388"/>
      <c r="BA212" s="388"/>
      <c r="BB212" s="388"/>
      <c r="BC212" s="388"/>
      <c r="BD212" s="388"/>
      <c r="BE212" s="388"/>
      <c r="BF212" s="388"/>
      <c r="BG212" s="388"/>
      <c r="BH212" s="388"/>
      <c r="BI212" s="2414"/>
      <c r="BJ212" s="388"/>
      <c r="BK212" s="388"/>
      <c r="BL212" s="388"/>
      <c r="BM212" s="388"/>
      <c r="BN212" s="388"/>
      <c r="BO212" s="388"/>
      <c r="BP212" s="388"/>
    </row>
    <row r="213" spans="1:68" s="479" customFormat="1" x14ac:dyDescent="0.2">
      <c r="A213" s="477"/>
      <c r="B213" s="388"/>
      <c r="C213" s="388"/>
      <c r="D213" s="388"/>
      <c r="E213" s="388"/>
      <c r="F213" s="388"/>
      <c r="G213" s="388"/>
      <c r="H213" s="388"/>
      <c r="I213" s="478"/>
      <c r="J213" s="191"/>
      <c r="K213" s="485"/>
      <c r="L213" s="2411"/>
      <c r="M213" s="2418"/>
      <c r="O213" s="478"/>
      <c r="P213" s="481"/>
      <c r="Q213" s="482"/>
      <c r="R213" s="480"/>
      <c r="S213" s="480"/>
      <c r="T213" s="480"/>
      <c r="U213" s="493"/>
      <c r="V213" s="493"/>
      <c r="W213" s="493"/>
      <c r="X213" s="484"/>
      <c r="Y213" s="480"/>
      <c r="Z213" s="388"/>
      <c r="AA213" s="388"/>
      <c r="AB213" s="388"/>
      <c r="AC213" s="388"/>
      <c r="AD213" s="388"/>
      <c r="AE213" s="388"/>
      <c r="AF213" s="388"/>
      <c r="AG213" s="388"/>
      <c r="AH213" s="388"/>
      <c r="AI213" s="388"/>
      <c r="AJ213" s="388"/>
      <c r="AK213" s="388"/>
      <c r="AL213" s="388"/>
      <c r="AM213" s="388"/>
      <c r="AN213" s="388"/>
      <c r="AO213" s="388"/>
      <c r="AP213" s="388"/>
      <c r="AQ213" s="388"/>
      <c r="AR213" s="388"/>
      <c r="AS213" s="388"/>
      <c r="AT213" s="388"/>
      <c r="AU213" s="388"/>
      <c r="AV213" s="388"/>
      <c r="AW213" s="388"/>
      <c r="AX213" s="388"/>
      <c r="AY213" s="388"/>
      <c r="AZ213" s="388"/>
      <c r="BA213" s="388"/>
      <c r="BB213" s="388"/>
      <c r="BC213" s="388"/>
      <c r="BD213" s="388"/>
      <c r="BE213" s="388"/>
      <c r="BF213" s="388"/>
      <c r="BG213" s="388"/>
      <c r="BH213" s="388"/>
      <c r="BI213" s="2414"/>
      <c r="BJ213" s="388"/>
      <c r="BK213" s="388"/>
      <c r="BL213" s="388"/>
      <c r="BM213" s="388"/>
      <c r="BN213" s="388"/>
      <c r="BO213" s="388"/>
      <c r="BP213" s="388"/>
    </row>
    <row r="214" spans="1:68" s="479" customFormat="1" x14ac:dyDescent="0.2">
      <c r="A214" s="477"/>
      <c r="B214" s="388"/>
      <c r="C214" s="388"/>
      <c r="D214" s="388"/>
      <c r="E214" s="388"/>
      <c r="F214" s="388"/>
      <c r="G214" s="388"/>
      <c r="H214" s="388"/>
      <c r="I214" s="478"/>
      <c r="J214" s="191"/>
      <c r="K214" s="485"/>
      <c r="L214" s="2411"/>
      <c r="M214" s="2418"/>
      <c r="O214" s="478"/>
      <c r="P214" s="481"/>
      <c r="Q214" s="482"/>
      <c r="R214" s="480"/>
      <c r="S214" s="480"/>
      <c r="T214" s="480"/>
      <c r="U214" s="493"/>
      <c r="V214" s="493"/>
      <c r="W214" s="493"/>
      <c r="X214" s="484"/>
      <c r="Y214" s="480"/>
      <c r="Z214" s="388"/>
      <c r="AA214" s="388"/>
      <c r="AB214" s="388"/>
      <c r="AC214" s="388"/>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88"/>
      <c r="AY214" s="388"/>
      <c r="AZ214" s="388"/>
      <c r="BA214" s="388"/>
      <c r="BB214" s="388"/>
      <c r="BC214" s="388"/>
      <c r="BD214" s="388"/>
      <c r="BE214" s="388"/>
      <c r="BF214" s="388"/>
      <c r="BG214" s="388"/>
      <c r="BH214" s="388"/>
      <c r="BI214" s="2414"/>
      <c r="BJ214" s="388"/>
      <c r="BK214" s="388"/>
      <c r="BL214" s="388"/>
      <c r="BM214" s="388"/>
      <c r="BN214" s="388"/>
      <c r="BO214" s="388"/>
      <c r="BP214" s="388"/>
    </row>
    <row r="215" spans="1:68" s="479" customFormat="1" x14ac:dyDescent="0.2">
      <c r="A215" s="477"/>
      <c r="B215" s="388"/>
      <c r="C215" s="388"/>
      <c r="D215" s="388"/>
      <c r="E215" s="388"/>
      <c r="F215" s="388"/>
      <c r="G215" s="388"/>
      <c r="H215" s="388"/>
      <c r="I215" s="478"/>
      <c r="J215" s="191"/>
      <c r="K215" s="485"/>
      <c r="L215" s="2411"/>
      <c r="M215" s="2418"/>
      <c r="O215" s="478"/>
      <c r="P215" s="481"/>
      <c r="Q215" s="482"/>
      <c r="R215" s="480"/>
      <c r="S215" s="480"/>
      <c r="T215" s="480"/>
      <c r="U215" s="493"/>
      <c r="V215" s="493"/>
      <c r="W215" s="493"/>
      <c r="X215" s="484"/>
      <c r="Y215" s="480"/>
      <c r="Z215" s="388"/>
      <c r="AA215" s="388"/>
      <c r="AB215" s="388"/>
      <c r="AC215" s="388"/>
      <c r="AD215" s="388"/>
      <c r="AE215" s="388"/>
      <c r="AF215" s="388"/>
      <c r="AG215" s="388"/>
      <c r="AH215" s="388"/>
      <c r="AI215" s="388"/>
      <c r="AJ215" s="388"/>
      <c r="AK215" s="388"/>
      <c r="AL215" s="388"/>
      <c r="AM215" s="388"/>
      <c r="AN215" s="388"/>
      <c r="AO215" s="388"/>
      <c r="AP215" s="388"/>
      <c r="AQ215" s="388"/>
      <c r="AR215" s="388"/>
      <c r="AS215" s="388"/>
      <c r="AT215" s="388"/>
      <c r="AU215" s="388"/>
      <c r="AV215" s="388"/>
      <c r="AW215" s="388"/>
      <c r="AX215" s="388"/>
      <c r="AY215" s="388"/>
      <c r="AZ215" s="388"/>
      <c r="BA215" s="388"/>
      <c r="BB215" s="388"/>
      <c r="BC215" s="388"/>
      <c r="BD215" s="388"/>
      <c r="BE215" s="388"/>
      <c r="BF215" s="388"/>
      <c r="BG215" s="388"/>
      <c r="BH215" s="388"/>
      <c r="BI215" s="2414"/>
      <c r="BJ215" s="388"/>
      <c r="BK215" s="388"/>
      <c r="BL215" s="388"/>
      <c r="BM215" s="388"/>
      <c r="BN215" s="388"/>
      <c r="BO215" s="388"/>
      <c r="BP215" s="388"/>
    </row>
    <row r="216" spans="1:68" s="479" customFormat="1" x14ac:dyDescent="0.2">
      <c r="A216" s="477"/>
      <c r="B216" s="388"/>
      <c r="C216" s="388"/>
      <c r="D216" s="388"/>
      <c r="E216" s="388"/>
      <c r="F216" s="388"/>
      <c r="G216" s="388"/>
      <c r="H216" s="388"/>
      <c r="I216" s="478"/>
      <c r="J216" s="191"/>
      <c r="K216" s="485"/>
      <c r="L216" s="2411"/>
      <c r="M216" s="2418"/>
      <c r="O216" s="478"/>
      <c r="P216" s="481"/>
      <c r="Q216" s="482"/>
      <c r="R216" s="480"/>
      <c r="S216" s="480"/>
      <c r="T216" s="480"/>
      <c r="U216" s="493"/>
      <c r="V216" s="493"/>
      <c r="W216" s="493"/>
      <c r="X216" s="484"/>
      <c r="Y216" s="480"/>
      <c r="Z216" s="388"/>
      <c r="AA216" s="388"/>
      <c r="AB216" s="388"/>
      <c r="AC216" s="388"/>
      <c r="AD216" s="388"/>
      <c r="AE216" s="388"/>
      <c r="AF216" s="388"/>
      <c r="AG216" s="388"/>
      <c r="AH216" s="388"/>
      <c r="AI216" s="388"/>
      <c r="AJ216" s="388"/>
      <c r="AK216" s="388"/>
      <c r="AL216" s="388"/>
      <c r="AM216" s="388"/>
      <c r="AN216" s="388"/>
      <c r="AO216" s="388"/>
      <c r="AP216" s="388"/>
      <c r="AQ216" s="388"/>
      <c r="AR216" s="388"/>
      <c r="AS216" s="388"/>
      <c r="AT216" s="388"/>
      <c r="AU216" s="388"/>
      <c r="AV216" s="388"/>
      <c r="AW216" s="388"/>
      <c r="AX216" s="388"/>
      <c r="AY216" s="388"/>
      <c r="AZ216" s="388"/>
      <c r="BA216" s="388"/>
      <c r="BB216" s="388"/>
      <c r="BC216" s="388"/>
      <c r="BD216" s="388"/>
      <c r="BE216" s="388"/>
      <c r="BF216" s="388"/>
      <c r="BG216" s="388"/>
      <c r="BH216" s="388"/>
      <c r="BI216" s="2414"/>
      <c r="BJ216" s="388"/>
      <c r="BK216" s="388"/>
      <c r="BL216" s="388"/>
      <c r="BM216" s="388"/>
      <c r="BN216" s="388"/>
      <c r="BO216" s="388"/>
      <c r="BP216" s="388"/>
    </row>
    <row r="217" spans="1:68" s="479" customFormat="1" x14ac:dyDescent="0.2">
      <c r="A217" s="477"/>
      <c r="B217" s="388"/>
      <c r="C217" s="388"/>
      <c r="D217" s="388"/>
      <c r="E217" s="388"/>
      <c r="F217" s="388"/>
      <c r="G217" s="388"/>
      <c r="H217" s="388"/>
      <c r="I217" s="478"/>
      <c r="J217" s="191"/>
      <c r="K217" s="485"/>
      <c r="L217" s="2411"/>
      <c r="M217" s="2418"/>
      <c r="O217" s="478"/>
      <c r="P217" s="481"/>
      <c r="Q217" s="482"/>
      <c r="R217" s="480"/>
      <c r="S217" s="480"/>
      <c r="T217" s="480"/>
      <c r="U217" s="493"/>
      <c r="V217" s="493"/>
      <c r="W217" s="493"/>
      <c r="X217" s="484"/>
      <c r="Y217" s="480"/>
      <c r="Z217" s="388"/>
      <c r="AA217" s="388"/>
      <c r="AB217" s="388"/>
      <c r="AC217" s="388"/>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88"/>
      <c r="AY217" s="388"/>
      <c r="AZ217" s="388"/>
      <c r="BA217" s="388"/>
      <c r="BB217" s="388"/>
      <c r="BC217" s="388"/>
      <c r="BD217" s="388"/>
      <c r="BE217" s="388"/>
      <c r="BF217" s="388"/>
      <c r="BG217" s="388"/>
      <c r="BH217" s="388"/>
      <c r="BI217" s="2414"/>
      <c r="BJ217" s="388"/>
      <c r="BK217" s="388"/>
      <c r="BL217" s="388"/>
      <c r="BM217" s="388"/>
      <c r="BN217" s="388"/>
      <c r="BO217" s="388"/>
      <c r="BP217" s="388"/>
    </row>
    <row r="218" spans="1:68" s="479" customFormat="1" x14ac:dyDescent="0.2">
      <c r="A218" s="477"/>
      <c r="B218" s="388"/>
      <c r="C218" s="388"/>
      <c r="D218" s="388"/>
      <c r="E218" s="388"/>
      <c r="F218" s="388"/>
      <c r="G218" s="388"/>
      <c r="H218" s="388"/>
      <c r="I218" s="478"/>
      <c r="J218" s="191"/>
      <c r="K218" s="485"/>
      <c r="L218" s="2411"/>
      <c r="M218" s="2418"/>
      <c r="O218" s="478"/>
      <c r="P218" s="481"/>
      <c r="Q218" s="482"/>
      <c r="R218" s="480"/>
      <c r="S218" s="480"/>
      <c r="T218" s="480"/>
      <c r="U218" s="493"/>
      <c r="V218" s="493"/>
      <c r="W218" s="493"/>
      <c r="X218" s="484"/>
      <c r="Y218" s="480"/>
      <c r="Z218" s="388"/>
      <c r="AA218" s="388"/>
      <c r="AB218" s="388"/>
      <c r="AC218" s="388"/>
      <c r="AD218" s="388"/>
      <c r="AE218" s="388"/>
      <c r="AF218" s="388"/>
      <c r="AG218" s="388"/>
      <c r="AH218" s="388"/>
      <c r="AI218" s="388"/>
      <c r="AJ218" s="388"/>
      <c r="AK218" s="388"/>
      <c r="AL218" s="388"/>
      <c r="AM218" s="388"/>
      <c r="AN218" s="388"/>
      <c r="AO218" s="388"/>
      <c r="AP218" s="388"/>
      <c r="AQ218" s="388"/>
      <c r="AR218" s="388"/>
      <c r="AS218" s="388"/>
      <c r="AT218" s="388"/>
      <c r="AU218" s="388"/>
      <c r="AV218" s="388"/>
      <c r="AW218" s="388"/>
      <c r="AX218" s="388"/>
      <c r="AY218" s="388"/>
      <c r="AZ218" s="388"/>
      <c r="BA218" s="388"/>
      <c r="BB218" s="388"/>
      <c r="BC218" s="388"/>
      <c r="BD218" s="388"/>
      <c r="BE218" s="388"/>
      <c r="BF218" s="388"/>
      <c r="BG218" s="388"/>
      <c r="BH218" s="388"/>
      <c r="BI218" s="2414"/>
      <c r="BJ218" s="388"/>
      <c r="BK218" s="388"/>
      <c r="BL218" s="388"/>
      <c r="BM218" s="388"/>
      <c r="BN218" s="388"/>
      <c r="BO218" s="388"/>
      <c r="BP218" s="388"/>
    </row>
    <row r="219" spans="1:68" s="479" customFormat="1" x14ac:dyDescent="0.2">
      <c r="A219" s="477"/>
      <c r="B219" s="388"/>
      <c r="C219" s="388"/>
      <c r="D219" s="388"/>
      <c r="E219" s="388"/>
      <c r="F219" s="388"/>
      <c r="G219" s="388"/>
      <c r="H219" s="388"/>
      <c r="I219" s="478"/>
      <c r="J219" s="191"/>
      <c r="K219" s="485"/>
      <c r="L219" s="2411"/>
      <c r="M219" s="2418"/>
      <c r="O219" s="478"/>
      <c r="P219" s="481"/>
      <c r="Q219" s="482"/>
      <c r="R219" s="480"/>
      <c r="S219" s="480"/>
      <c r="T219" s="480"/>
      <c r="U219" s="493"/>
      <c r="V219" s="493"/>
      <c r="W219" s="493"/>
      <c r="X219" s="484"/>
      <c r="Y219" s="480"/>
      <c r="Z219" s="388"/>
      <c r="AA219" s="388"/>
      <c r="AB219" s="388"/>
      <c r="AC219" s="388"/>
      <c r="AD219" s="388"/>
      <c r="AE219" s="388"/>
      <c r="AF219" s="388"/>
      <c r="AG219" s="388"/>
      <c r="AH219" s="388"/>
      <c r="AI219" s="388"/>
      <c r="AJ219" s="388"/>
      <c r="AK219" s="388"/>
      <c r="AL219" s="388"/>
      <c r="AM219" s="388"/>
      <c r="AN219" s="388"/>
      <c r="AO219" s="388"/>
      <c r="AP219" s="388"/>
      <c r="AQ219" s="388"/>
      <c r="AR219" s="388"/>
      <c r="AS219" s="388"/>
      <c r="AT219" s="388"/>
      <c r="AU219" s="388"/>
      <c r="AV219" s="388"/>
      <c r="AW219" s="388"/>
      <c r="AX219" s="388"/>
      <c r="AY219" s="388"/>
      <c r="AZ219" s="388"/>
      <c r="BA219" s="388"/>
      <c r="BB219" s="388"/>
      <c r="BC219" s="388"/>
      <c r="BD219" s="388"/>
      <c r="BE219" s="388"/>
      <c r="BF219" s="388"/>
      <c r="BG219" s="388"/>
      <c r="BH219" s="388"/>
      <c r="BI219" s="2414"/>
      <c r="BJ219" s="388"/>
      <c r="BK219" s="388"/>
      <c r="BL219" s="388"/>
      <c r="BM219" s="388"/>
      <c r="BN219" s="388"/>
      <c r="BO219" s="388"/>
      <c r="BP219" s="388"/>
    </row>
    <row r="220" spans="1:68" s="479" customFormat="1" x14ac:dyDescent="0.2">
      <c r="A220" s="477"/>
      <c r="B220" s="388"/>
      <c r="C220" s="388"/>
      <c r="D220" s="388"/>
      <c r="E220" s="388"/>
      <c r="F220" s="388"/>
      <c r="G220" s="388"/>
      <c r="H220" s="388"/>
      <c r="I220" s="478"/>
      <c r="J220" s="191"/>
      <c r="K220" s="485"/>
      <c r="L220" s="2411"/>
      <c r="M220" s="2418"/>
      <c r="O220" s="478"/>
      <c r="P220" s="481"/>
      <c r="Q220" s="482"/>
      <c r="R220" s="480"/>
      <c r="S220" s="480"/>
      <c r="T220" s="480"/>
      <c r="U220" s="493"/>
      <c r="V220" s="493"/>
      <c r="W220" s="493"/>
      <c r="X220" s="484"/>
      <c r="Y220" s="480"/>
      <c r="Z220" s="388"/>
      <c r="AA220" s="388"/>
      <c r="AB220" s="388"/>
      <c r="AC220" s="388"/>
      <c r="AD220" s="388"/>
      <c r="AE220" s="388"/>
      <c r="AF220" s="388"/>
      <c r="AG220" s="388"/>
      <c r="AH220" s="388"/>
      <c r="AI220" s="388"/>
      <c r="AJ220" s="388"/>
      <c r="AK220" s="388"/>
      <c r="AL220" s="388"/>
      <c r="AM220" s="388"/>
      <c r="AN220" s="388"/>
      <c r="AO220" s="388"/>
      <c r="AP220" s="388"/>
      <c r="AQ220" s="388"/>
      <c r="AR220" s="388"/>
      <c r="AS220" s="388"/>
      <c r="AT220" s="388"/>
      <c r="AU220" s="388"/>
      <c r="AV220" s="388"/>
      <c r="AW220" s="388"/>
      <c r="AX220" s="388"/>
      <c r="AY220" s="388"/>
      <c r="AZ220" s="388"/>
      <c r="BA220" s="388"/>
      <c r="BB220" s="388"/>
      <c r="BC220" s="388"/>
      <c r="BD220" s="388"/>
      <c r="BE220" s="388"/>
      <c r="BF220" s="388"/>
      <c r="BG220" s="388"/>
      <c r="BH220" s="388"/>
      <c r="BI220" s="2414"/>
      <c r="BJ220" s="388"/>
      <c r="BK220" s="388"/>
      <c r="BL220" s="388"/>
      <c r="BM220" s="388"/>
      <c r="BN220" s="388"/>
      <c r="BO220" s="388"/>
      <c r="BP220" s="388"/>
    </row>
    <row r="221" spans="1:68" s="479" customFormat="1" x14ac:dyDescent="0.2">
      <c r="A221" s="477"/>
      <c r="B221" s="388"/>
      <c r="C221" s="388"/>
      <c r="D221" s="388"/>
      <c r="E221" s="388"/>
      <c r="F221" s="388"/>
      <c r="G221" s="388"/>
      <c r="H221" s="388"/>
      <c r="I221" s="478"/>
      <c r="J221" s="191"/>
      <c r="K221" s="485"/>
      <c r="L221" s="2411"/>
      <c r="M221" s="2418"/>
      <c r="O221" s="478"/>
      <c r="P221" s="481"/>
      <c r="Q221" s="482"/>
      <c r="R221" s="480"/>
      <c r="S221" s="480"/>
      <c r="T221" s="480"/>
      <c r="U221" s="493"/>
      <c r="V221" s="493"/>
      <c r="W221" s="493"/>
      <c r="X221" s="484"/>
      <c r="Y221" s="480"/>
      <c r="Z221" s="388"/>
      <c r="AA221" s="388"/>
      <c r="AB221" s="388"/>
      <c r="AC221" s="388"/>
      <c r="AD221" s="388"/>
      <c r="AE221" s="388"/>
      <c r="AF221" s="388"/>
      <c r="AG221" s="388"/>
      <c r="AH221" s="388"/>
      <c r="AI221" s="388"/>
      <c r="AJ221" s="388"/>
      <c r="AK221" s="388"/>
      <c r="AL221" s="388"/>
      <c r="AM221" s="388"/>
      <c r="AN221" s="388"/>
      <c r="AO221" s="388"/>
      <c r="AP221" s="388"/>
      <c r="AQ221" s="388"/>
      <c r="AR221" s="388"/>
      <c r="AS221" s="388"/>
      <c r="AT221" s="388"/>
      <c r="AU221" s="388"/>
      <c r="AV221" s="388"/>
      <c r="AW221" s="388"/>
      <c r="AX221" s="388"/>
      <c r="AY221" s="388"/>
      <c r="AZ221" s="388"/>
      <c r="BA221" s="388"/>
      <c r="BB221" s="388"/>
      <c r="BC221" s="388"/>
      <c r="BD221" s="388"/>
      <c r="BE221" s="388"/>
      <c r="BF221" s="388"/>
      <c r="BG221" s="388"/>
      <c r="BH221" s="388"/>
      <c r="BI221" s="2414"/>
      <c r="BJ221" s="388"/>
      <c r="BK221" s="388"/>
      <c r="BL221" s="388"/>
      <c r="BM221" s="388"/>
      <c r="BN221" s="388"/>
      <c r="BO221" s="388"/>
      <c r="BP221" s="388"/>
    </row>
    <row r="222" spans="1:68" s="479" customFormat="1" x14ac:dyDescent="0.2">
      <c r="A222" s="477"/>
      <c r="B222" s="388"/>
      <c r="C222" s="388"/>
      <c r="D222" s="388"/>
      <c r="E222" s="388"/>
      <c r="F222" s="388"/>
      <c r="G222" s="388"/>
      <c r="H222" s="388"/>
      <c r="I222" s="478"/>
      <c r="J222" s="191"/>
      <c r="K222" s="485"/>
      <c r="L222" s="2411"/>
      <c r="M222" s="2418"/>
      <c r="O222" s="478"/>
      <c r="P222" s="481"/>
      <c r="Q222" s="482"/>
      <c r="R222" s="480"/>
      <c r="S222" s="480"/>
      <c r="T222" s="480"/>
      <c r="U222" s="493"/>
      <c r="V222" s="493"/>
      <c r="W222" s="493"/>
      <c r="X222" s="484"/>
      <c r="Y222" s="480"/>
      <c r="Z222" s="388"/>
      <c r="AA222" s="388"/>
      <c r="AB222" s="388"/>
      <c r="AC222" s="388"/>
      <c r="AD222" s="388"/>
      <c r="AE222" s="388"/>
      <c r="AF222" s="388"/>
      <c r="AG222" s="388"/>
      <c r="AH222" s="388"/>
      <c r="AI222" s="388"/>
      <c r="AJ222" s="388"/>
      <c r="AK222" s="388"/>
      <c r="AL222" s="388"/>
      <c r="AM222" s="388"/>
      <c r="AN222" s="388"/>
      <c r="AO222" s="388"/>
      <c r="AP222" s="388"/>
      <c r="AQ222" s="388"/>
      <c r="AR222" s="388"/>
      <c r="AS222" s="388"/>
      <c r="AT222" s="388"/>
      <c r="AU222" s="388"/>
      <c r="AV222" s="388"/>
      <c r="AW222" s="388"/>
      <c r="AX222" s="388"/>
      <c r="AY222" s="388"/>
      <c r="AZ222" s="388"/>
      <c r="BA222" s="388"/>
      <c r="BB222" s="388"/>
      <c r="BC222" s="388"/>
      <c r="BD222" s="388"/>
      <c r="BE222" s="388"/>
      <c r="BF222" s="388"/>
      <c r="BG222" s="388"/>
      <c r="BH222" s="388"/>
      <c r="BI222" s="2414"/>
      <c r="BJ222" s="388"/>
      <c r="BK222" s="388"/>
      <c r="BL222" s="388"/>
      <c r="BM222" s="388"/>
      <c r="BN222" s="388"/>
      <c r="BO222" s="388"/>
      <c r="BP222" s="388"/>
    </row>
    <row r="223" spans="1:68" s="479" customFormat="1" x14ac:dyDescent="0.2">
      <c r="A223" s="477"/>
      <c r="B223" s="388"/>
      <c r="C223" s="388"/>
      <c r="D223" s="388"/>
      <c r="E223" s="388"/>
      <c r="F223" s="388"/>
      <c r="G223" s="388"/>
      <c r="H223" s="388"/>
      <c r="I223" s="478"/>
      <c r="J223" s="191"/>
      <c r="K223" s="485"/>
      <c r="L223" s="2411"/>
      <c r="M223" s="2418"/>
      <c r="O223" s="478"/>
      <c r="P223" s="481"/>
      <c r="Q223" s="482"/>
      <c r="R223" s="480"/>
      <c r="S223" s="480"/>
      <c r="T223" s="480"/>
      <c r="U223" s="493"/>
      <c r="V223" s="493"/>
      <c r="W223" s="493"/>
      <c r="X223" s="484"/>
      <c r="Y223" s="480"/>
      <c r="Z223" s="388"/>
      <c r="AA223" s="388"/>
      <c r="AB223" s="388"/>
      <c r="AC223" s="388"/>
      <c r="AD223" s="388"/>
      <c r="AE223" s="388"/>
      <c r="AF223" s="388"/>
      <c r="AG223" s="388"/>
      <c r="AH223" s="388"/>
      <c r="AI223" s="388"/>
      <c r="AJ223" s="388"/>
      <c r="AK223" s="388"/>
      <c r="AL223" s="388"/>
      <c r="AM223" s="388"/>
      <c r="AN223" s="388"/>
      <c r="AO223" s="388"/>
      <c r="AP223" s="388"/>
      <c r="AQ223" s="388"/>
      <c r="AR223" s="388"/>
      <c r="AS223" s="388"/>
      <c r="AT223" s="388"/>
      <c r="AU223" s="388"/>
      <c r="AV223" s="388"/>
      <c r="AW223" s="388"/>
      <c r="AX223" s="388"/>
      <c r="AY223" s="388"/>
      <c r="AZ223" s="388"/>
      <c r="BA223" s="388"/>
      <c r="BB223" s="388"/>
      <c r="BC223" s="388"/>
      <c r="BD223" s="388"/>
      <c r="BE223" s="388"/>
      <c r="BF223" s="388"/>
      <c r="BG223" s="388"/>
      <c r="BH223" s="388"/>
      <c r="BI223" s="2414"/>
      <c r="BJ223" s="388"/>
      <c r="BK223" s="388"/>
      <c r="BL223" s="388"/>
      <c r="BM223" s="388"/>
      <c r="BN223" s="388"/>
      <c r="BO223" s="388"/>
      <c r="BP223" s="388"/>
    </row>
    <row r="224" spans="1:68" s="479" customFormat="1" x14ac:dyDescent="0.2">
      <c r="A224" s="477"/>
      <c r="B224" s="388"/>
      <c r="C224" s="388"/>
      <c r="D224" s="388"/>
      <c r="E224" s="388"/>
      <c r="F224" s="388"/>
      <c r="G224" s="388"/>
      <c r="H224" s="388"/>
      <c r="I224" s="478"/>
      <c r="J224" s="191"/>
      <c r="K224" s="485"/>
      <c r="L224" s="2411"/>
      <c r="M224" s="2418"/>
      <c r="O224" s="478"/>
      <c r="P224" s="481"/>
      <c r="Q224" s="482"/>
      <c r="R224" s="480"/>
      <c r="S224" s="480"/>
      <c r="T224" s="480"/>
      <c r="U224" s="493"/>
      <c r="V224" s="493"/>
      <c r="W224" s="493"/>
      <c r="X224" s="484"/>
      <c r="Y224" s="480"/>
      <c r="Z224" s="388"/>
      <c r="AA224" s="388"/>
      <c r="AB224" s="388"/>
      <c r="AC224" s="388"/>
      <c r="AD224" s="388"/>
      <c r="AE224" s="388"/>
      <c r="AF224" s="388"/>
      <c r="AG224" s="388"/>
      <c r="AH224" s="388"/>
      <c r="AI224" s="388"/>
      <c r="AJ224" s="388"/>
      <c r="AK224" s="388"/>
      <c r="AL224" s="388"/>
      <c r="AM224" s="388"/>
      <c r="AN224" s="388"/>
      <c r="AO224" s="388"/>
      <c r="AP224" s="388"/>
      <c r="AQ224" s="388"/>
      <c r="AR224" s="388"/>
      <c r="AS224" s="388"/>
      <c r="AT224" s="388"/>
      <c r="AU224" s="388"/>
      <c r="AV224" s="388"/>
      <c r="AW224" s="388"/>
      <c r="AX224" s="388"/>
      <c r="AY224" s="388"/>
      <c r="AZ224" s="388"/>
      <c r="BA224" s="388"/>
      <c r="BB224" s="388"/>
      <c r="BC224" s="388"/>
      <c r="BD224" s="388"/>
      <c r="BE224" s="388"/>
      <c r="BF224" s="388"/>
      <c r="BG224" s="388"/>
      <c r="BH224" s="388"/>
      <c r="BI224" s="2414"/>
      <c r="BJ224" s="388"/>
      <c r="BK224" s="388"/>
      <c r="BL224" s="388"/>
      <c r="BM224" s="388"/>
      <c r="BN224" s="388"/>
      <c r="BO224" s="388"/>
      <c r="BP224" s="388"/>
    </row>
    <row r="225" spans="1:68" s="479" customFormat="1" x14ac:dyDescent="0.2">
      <c r="A225" s="477"/>
      <c r="B225" s="388"/>
      <c r="C225" s="388"/>
      <c r="D225" s="388"/>
      <c r="E225" s="388"/>
      <c r="F225" s="388"/>
      <c r="G225" s="388"/>
      <c r="H225" s="388"/>
      <c r="I225" s="478"/>
      <c r="J225" s="191"/>
      <c r="K225" s="485"/>
      <c r="L225" s="2411"/>
      <c r="M225" s="2418"/>
      <c r="O225" s="478"/>
      <c r="P225" s="481"/>
      <c r="Q225" s="482"/>
      <c r="R225" s="480"/>
      <c r="S225" s="480"/>
      <c r="T225" s="480"/>
      <c r="U225" s="493"/>
      <c r="V225" s="493"/>
      <c r="W225" s="493"/>
      <c r="X225" s="484"/>
      <c r="Y225" s="480"/>
      <c r="Z225" s="388"/>
      <c r="AA225" s="388"/>
      <c r="AB225" s="388"/>
      <c r="AC225" s="388"/>
      <c r="AD225" s="388"/>
      <c r="AE225" s="388"/>
      <c r="AF225" s="388"/>
      <c r="AG225" s="388"/>
      <c r="AH225" s="388"/>
      <c r="AI225" s="388"/>
      <c r="AJ225" s="388"/>
      <c r="AK225" s="388"/>
      <c r="AL225" s="388"/>
      <c r="AM225" s="388"/>
      <c r="AN225" s="388"/>
      <c r="AO225" s="388"/>
      <c r="AP225" s="388"/>
      <c r="AQ225" s="388"/>
      <c r="AR225" s="388"/>
      <c r="AS225" s="388"/>
      <c r="AT225" s="388"/>
      <c r="AU225" s="388"/>
      <c r="AV225" s="388"/>
      <c r="AW225" s="388"/>
      <c r="AX225" s="388"/>
      <c r="AY225" s="388"/>
      <c r="AZ225" s="388"/>
      <c r="BA225" s="388"/>
      <c r="BB225" s="388"/>
      <c r="BC225" s="388"/>
      <c r="BD225" s="388"/>
      <c r="BE225" s="388"/>
      <c r="BF225" s="388"/>
      <c r="BG225" s="388"/>
      <c r="BH225" s="388"/>
      <c r="BI225" s="2414"/>
      <c r="BJ225" s="388"/>
      <c r="BK225" s="388"/>
      <c r="BL225" s="388"/>
      <c r="BM225" s="388"/>
      <c r="BN225" s="388"/>
      <c r="BO225" s="388"/>
      <c r="BP225" s="388"/>
    </row>
    <row r="226" spans="1:68" s="479" customFormat="1" x14ac:dyDescent="0.2">
      <c r="A226" s="477"/>
      <c r="B226" s="388"/>
      <c r="C226" s="388"/>
      <c r="D226" s="388"/>
      <c r="E226" s="388"/>
      <c r="F226" s="388"/>
      <c r="G226" s="388"/>
      <c r="H226" s="388"/>
      <c r="I226" s="478"/>
      <c r="J226" s="191"/>
      <c r="K226" s="485"/>
      <c r="L226" s="2411"/>
      <c r="M226" s="2418"/>
      <c r="O226" s="478"/>
      <c r="P226" s="481"/>
      <c r="Q226" s="482"/>
      <c r="R226" s="480"/>
      <c r="S226" s="480"/>
      <c r="T226" s="480"/>
      <c r="U226" s="493"/>
      <c r="V226" s="493"/>
      <c r="W226" s="493"/>
      <c r="X226" s="484"/>
      <c r="Y226" s="480"/>
      <c r="Z226" s="388"/>
      <c r="AA226" s="388"/>
      <c r="AB226" s="388"/>
      <c r="AC226" s="388"/>
      <c r="AD226" s="388"/>
      <c r="AE226" s="388"/>
      <c r="AF226" s="388"/>
      <c r="AG226" s="388"/>
      <c r="AH226" s="388"/>
      <c r="AI226" s="388"/>
      <c r="AJ226" s="388"/>
      <c r="AK226" s="388"/>
      <c r="AL226" s="388"/>
      <c r="AM226" s="388"/>
      <c r="AN226" s="388"/>
      <c r="AO226" s="388"/>
      <c r="AP226" s="388"/>
      <c r="AQ226" s="388"/>
      <c r="AR226" s="388"/>
      <c r="AS226" s="388"/>
      <c r="AT226" s="388"/>
      <c r="AU226" s="388"/>
      <c r="AV226" s="388"/>
      <c r="AW226" s="388"/>
      <c r="AX226" s="388"/>
      <c r="AY226" s="388"/>
      <c r="AZ226" s="388"/>
      <c r="BA226" s="388"/>
      <c r="BB226" s="388"/>
      <c r="BC226" s="388"/>
      <c r="BD226" s="388"/>
      <c r="BE226" s="388"/>
      <c r="BF226" s="388"/>
      <c r="BG226" s="388"/>
      <c r="BH226" s="388"/>
      <c r="BI226" s="2414"/>
      <c r="BJ226" s="388"/>
      <c r="BK226" s="388"/>
      <c r="BL226" s="388"/>
      <c r="BM226" s="388"/>
      <c r="BN226" s="388"/>
      <c r="BO226" s="388"/>
      <c r="BP226" s="388"/>
    </row>
    <row r="227" spans="1:68" s="479" customFormat="1" x14ac:dyDescent="0.2">
      <c r="A227" s="477"/>
      <c r="B227" s="388"/>
      <c r="C227" s="388"/>
      <c r="D227" s="388"/>
      <c r="E227" s="388"/>
      <c r="F227" s="388"/>
      <c r="G227" s="388"/>
      <c r="H227" s="388"/>
      <c r="I227" s="478"/>
      <c r="J227" s="191"/>
      <c r="K227" s="485"/>
      <c r="L227" s="2411"/>
      <c r="M227" s="2418"/>
      <c r="O227" s="478"/>
      <c r="P227" s="481"/>
      <c r="Q227" s="482"/>
      <c r="R227" s="480"/>
      <c r="S227" s="480"/>
      <c r="T227" s="480"/>
      <c r="U227" s="493"/>
      <c r="V227" s="493"/>
      <c r="W227" s="493"/>
      <c r="X227" s="484"/>
      <c r="Y227" s="480"/>
      <c r="Z227" s="388"/>
      <c r="AA227" s="388"/>
      <c r="AB227" s="388"/>
      <c r="AC227" s="388"/>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88"/>
      <c r="AY227" s="388"/>
      <c r="AZ227" s="388"/>
      <c r="BA227" s="388"/>
      <c r="BB227" s="388"/>
      <c r="BC227" s="388"/>
      <c r="BD227" s="388"/>
      <c r="BE227" s="388"/>
      <c r="BF227" s="388"/>
      <c r="BG227" s="388"/>
      <c r="BH227" s="388"/>
      <c r="BI227" s="2414"/>
      <c r="BJ227" s="388"/>
      <c r="BK227" s="388"/>
      <c r="BL227" s="388"/>
      <c r="BM227" s="388"/>
      <c r="BN227" s="388"/>
      <c r="BO227" s="388"/>
      <c r="BP227" s="388"/>
    </row>
    <row r="228" spans="1:68" s="479" customFormat="1" x14ac:dyDescent="0.2">
      <c r="A228" s="477"/>
      <c r="B228" s="388"/>
      <c r="C228" s="388"/>
      <c r="D228" s="388"/>
      <c r="E228" s="388"/>
      <c r="F228" s="388"/>
      <c r="G228" s="388"/>
      <c r="H228" s="388"/>
      <c r="I228" s="478"/>
      <c r="J228" s="191"/>
      <c r="K228" s="485"/>
      <c r="L228" s="2411"/>
      <c r="M228" s="2418"/>
      <c r="O228" s="478"/>
      <c r="P228" s="481"/>
      <c r="Q228" s="482"/>
      <c r="R228" s="480"/>
      <c r="S228" s="480"/>
      <c r="T228" s="480"/>
      <c r="U228" s="493"/>
      <c r="V228" s="493"/>
      <c r="W228" s="493"/>
      <c r="X228" s="484"/>
      <c r="Y228" s="480"/>
      <c r="Z228" s="388"/>
      <c r="AA228" s="388"/>
      <c r="AB228" s="388"/>
      <c r="AC228" s="388"/>
      <c r="AD228" s="388"/>
      <c r="AE228" s="388"/>
      <c r="AF228" s="388"/>
      <c r="AG228" s="388"/>
      <c r="AH228" s="388"/>
      <c r="AI228" s="388"/>
      <c r="AJ228" s="388"/>
      <c r="AK228" s="388"/>
      <c r="AL228" s="388"/>
      <c r="AM228" s="388"/>
      <c r="AN228" s="388"/>
      <c r="AO228" s="388"/>
      <c r="AP228" s="388"/>
      <c r="AQ228" s="388"/>
      <c r="AR228" s="388"/>
      <c r="AS228" s="388"/>
      <c r="AT228" s="388"/>
      <c r="AU228" s="388"/>
      <c r="AV228" s="388"/>
      <c r="AW228" s="388"/>
      <c r="AX228" s="388"/>
      <c r="AY228" s="388"/>
      <c r="AZ228" s="388"/>
      <c r="BA228" s="388"/>
      <c r="BB228" s="388"/>
      <c r="BC228" s="388"/>
      <c r="BD228" s="388"/>
      <c r="BE228" s="388"/>
      <c r="BF228" s="388"/>
      <c r="BG228" s="388"/>
      <c r="BH228" s="388"/>
      <c r="BI228" s="2414"/>
      <c r="BJ228" s="388"/>
      <c r="BK228" s="388"/>
      <c r="BL228" s="388"/>
      <c r="BM228" s="388"/>
      <c r="BN228" s="388"/>
      <c r="BO228" s="388"/>
      <c r="BP228" s="388"/>
    </row>
    <row r="229" spans="1:68" s="479" customFormat="1" x14ac:dyDescent="0.2">
      <c r="A229" s="477"/>
      <c r="B229" s="388"/>
      <c r="C229" s="388"/>
      <c r="D229" s="388"/>
      <c r="E229" s="388"/>
      <c r="F229" s="388"/>
      <c r="G229" s="388"/>
      <c r="H229" s="388"/>
      <c r="I229" s="478"/>
      <c r="J229" s="191"/>
      <c r="K229" s="485"/>
      <c r="L229" s="2411"/>
      <c r="M229" s="2418"/>
      <c r="O229" s="478"/>
      <c r="P229" s="481"/>
      <c r="Q229" s="482"/>
      <c r="R229" s="480"/>
      <c r="S229" s="480"/>
      <c r="T229" s="480"/>
      <c r="U229" s="493"/>
      <c r="V229" s="493"/>
      <c r="W229" s="493"/>
      <c r="X229" s="484"/>
      <c r="Y229" s="480"/>
      <c r="Z229" s="388"/>
      <c r="AA229" s="388"/>
      <c r="AB229" s="388"/>
      <c r="AC229" s="388"/>
      <c r="AD229" s="388"/>
      <c r="AE229" s="388"/>
      <c r="AF229" s="388"/>
      <c r="AG229" s="388"/>
      <c r="AH229" s="388"/>
      <c r="AI229" s="388"/>
      <c r="AJ229" s="388"/>
      <c r="AK229" s="388"/>
      <c r="AL229" s="388"/>
      <c r="AM229" s="388"/>
      <c r="AN229" s="388"/>
      <c r="AO229" s="388"/>
      <c r="AP229" s="388"/>
      <c r="AQ229" s="388"/>
      <c r="AR229" s="388"/>
      <c r="AS229" s="388"/>
      <c r="AT229" s="388"/>
      <c r="AU229" s="388"/>
      <c r="AV229" s="388"/>
      <c r="AW229" s="388"/>
      <c r="AX229" s="388"/>
      <c r="AY229" s="388"/>
      <c r="AZ229" s="388"/>
      <c r="BA229" s="388"/>
      <c r="BB229" s="388"/>
      <c r="BC229" s="388"/>
      <c r="BD229" s="388"/>
      <c r="BE229" s="388"/>
      <c r="BF229" s="388"/>
      <c r="BG229" s="388"/>
      <c r="BH229" s="388"/>
      <c r="BI229" s="2414"/>
      <c r="BJ229" s="388"/>
      <c r="BK229" s="388"/>
      <c r="BL229" s="388"/>
      <c r="BM229" s="388"/>
      <c r="BN229" s="388"/>
      <c r="BO229" s="388"/>
      <c r="BP229" s="388"/>
    </row>
    <row r="230" spans="1:68" s="479" customFormat="1" x14ac:dyDescent="0.2">
      <c r="A230" s="477"/>
      <c r="B230" s="388"/>
      <c r="C230" s="388"/>
      <c r="D230" s="388"/>
      <c r="E230" s="388"/>
      <c r="F230" s="388"/>
      <c r="G230" s="388"/>
      <c r="H230" s="388"/>
      <c r="I230" s="478"/>
      <c r="J230" s="191"/>
      <c r="K230" s="485"/>
      <c r="L230" s="2411"/>
      <c r="M230" s="2418"/>
      <c r="O230" s="478"/>
      <c r="P230" s="481"/>
      <c r="Q230" s="482"/>
      <c r="R230" s="480"/>
      <c r="S230" s="480"/>
      <c r="T230" s="480"/>
      <c r="U230" s="493"/>
      <c r="V230" s="493"/>
      <c r="W230" s="493"/>
      <c r="X230" s="484"/>
      <c r="Y230" s="480"/>
      <c r="Z230" s="388"/>
      <c r="AA230" s="388"/>
      <c r="AB230" s="388"/>
      <c r="AC230" s="388"/>
      <c r="AD230" s="388"/>
      <c r="AE230" s="388"/>
      <c r="AF230" s="388"/>
      <c r="AG230" s="388"/>
      <c r="AH230" s="388"/>
      <c r="AI230" s="388"/>
      <c r="AJ230" s="388"/>
      <c r="AK230" s="388"/>
      <c r="AL230" s="388"/>
      <c r="AM230" s="388"/>
      <c r="AN230" s="388"/>
      <c r="AO230" s="388"/>
      <c r="AP230" s="388"/>
      <c r="AQ230" s="388"/>
      <c r="AR230" s="388"/>
      <c r="AS230" s="388"/>
      <c r="AT230" s="388"/>
      <c r="AU230" s="388"/>
      <c r="AV230" s="388"/>
      <c r="AW230" s="388"/>
      <c r="AX230" s="388"/>
      <c r="AY230" s="388"/>
      <c r="AZ230" s="388"/>
      <c r="BA230" s="388"/>
      <c r="BB230" s="388"/>
      <c r="BC230" s="388"/>
      <c r="BD230" s="388"/>
      <c r="BE230" s="388"/>
      <c r="BF230" s="388"/>
      <c r="BG230" s="388"/>
      <c r="BH230" s="388"/>
      <c r="BI230" s="2414"/>
      <c r="BJ230" s="388"/>
      <c r="BK230" s="388"/>
      <c r="BL230" s="388"/>
      <c r="BM230" s="388"/>
      <c r="BN230" s="388"/>
      <c r="BO230" s="388"/>
      <c r="BP230" s="388"/>
    </row>
    <row r="231" spans="1:68" s="479" customFormat="1" x14ac:dyDescent="0.2">
      <c r="A231" s="477"/>
      <c r="B231" s="388"/>
      <c r="C231" s="388"/>
      <c r="D231" s="388"/>
      <c r="E231" s="388"/>
      <c r="F231" s="388"/>
      <c r="G231" s="388"/>
      <c r="H231" s="388"/>
      <c r="I231" s="478"/>
      <c r="J231" s="191"/>
      <c r="K231" s="485"/>
      <c r="L231" s="2411"/>
      <c r="M231" s="2418"/>
      <c r="O231" s="478"/>
      <c r="P231" s="481"/>
      <c r="Q231" s="482"/>
      <c r="R231" s="480"/>
      <c r="S231" s="480"/>
      <c r="T231" s="480"/>
      <c r="U231" s="493"/>
      <c r="V231" s="493"/>
      <c r="W231" s="493"/>
      <c r="X231" s="484"/>
      <c r="Y231" s="480"/>
      <c r="Z231" s="388"/>
      <c r="AA231" s="388"/>
      <c r="AB231" s="388"/>
      <c r="AC231" s="388"/>
      <c r="AD231" s="388"/>
      <c r="AE231" s="388"/>
      <c r="AF231" s="388"/>
      <c r="AG231" s="388"/>
      <c r="AH231" s="388"/>
      <c r="AI231" s="388"/>
      <c r="AJ231" s="388"/>
      <c r="AK231" s="388"/>
      <c r="AL231" s="388"/>
      <c r="AM231" s="388"/>
      <c r="AN231" s="388"/>
      <c r="AO231" s="388"/>
      <c r="AP231" s="388"/>
      <c r="AQ231" s="388"/>
      <c r="AR231" s="388"/>
      <c r="AS231" s="388"/>
      <c r="AT231" s="388"/>
      <c r="AU231" s="388"/>
      <c r="AV231" s="388"/>
      <c r="AW231" s="388"/>
      <c r="AX231" s="388"/>
      <c r="AY231" s="388"/>
      <c r="AZ231" s="388"/>
      <c r="BA231" s="388"/>
      <c r="BB231" s="388"/>
      <c r="BC231" s="388"/>
      <c r="BD231" s="388"/>
      <c r="BE231" s="388"/>
      <c r="BF231" s="388"/>
      <c r="BG231" s="388"/>
      <c r="BH231" s="388"/>
      <c r="BI231" s="2414"/>
      <c r="BJ231" s="388"/>
      <c r="BK231" s="388"/>
      <c r="BL231" s="388"/>
      <c r="BM231" s="388"/>
      <c r="BN231" s="388"/>
      <c r="BO231" s="388"/>
      <c r="BP231" s="388"/>
    </row>
    <row r="232" spans="1:68" s="479" customFormat="1" x14ac:dyDescent="0.2">
      <c r="A232" s="477"/>
      <c r="B232" s="388"/>
      <c r="C232" s="388"/>
      <c r="D232" s="388"/>
      <c r="E232" s="388"/>
      <c r="F232" s="388"/>
      <c r="G232" s="388"/>
      <c r="H232" s="388"/>
      <c r="I232" s="478"/>
      <c r="J232" s="191"/>
      <c r="K232" s="485"/>
      <c r="L232" s="2411"/>
      <c r="M232" s="2418"/>
      <c r="O232" s="478"/>
      <c r="P232" s="481"/>
      <c r="Q232" s="482"/>
      <c r="R232" s="480"/>
      <c r="S232" s="480"/>
      <c r="T232" s="480"/>
      <c r="U232" s="493"/>
      <c r="V232" s="493"/>
      <c r="W232" s="493"/>
      <c r="X232" s="484"/>
      <c r="Y232" s="480"/>
      <c r="Z232" s="388"/>
      <c r="AA232" s="388"/>
      <c r="AB232" s="388"/>
      <c r="AC232" s="388"/>
      <c r="AD232" s="388"/>
      <c r="AE232" s="388"/>
      <c r="AF232" s="388"/>
      <c r="AG232" s="388"/>
      <c r="AH232" s="388"/>
      <c r="AI232" s="388"/>
      <c r="AJ232" s="388"/>
      <c r="AK232" s="388"/>
      <c r="AL232" s="388"/>
      <c r="AM232" s="388"/>
      <c r="AN232" s="388"/>
      <c r="AO232" s="388"/>
      <c r="AP232" s="388"/>
      <c r="AQ232" s="388"/>
      <c r="AR232" s="388"/>
      <c r="AS232" s="388"/>
      <c r="AT232" s="388"/>
      <c r="AU232" s="388"/>
      <c r="AV232" s="388"/>
      <c r="AW232" s="388"/>
      <c r="AX232" s="388"/>
      <c r="AY232" s="388"/>
      <c r="AZ232" s="388"/>
      <c r="BA232" s="388"/>
      <c r="BB232" s="388"/>
      <c r="BC232" s="388"/>
      <c r="BD232" s="388"/>
      <c r="BE232" s="388"/>
      <c r="BF232" s="388"/>
      <c r="BG232" s="388"/>
      <c r="BH232" s="388"/>
      <c r="BI232" s="2414"/>
      <c r="BJ232" s="388"/>
      <c r="BK232" s="388"/>
      <c r="BL232" s="388"/>
      <c r="BM232" s="388"/>
      <c r="BN232" s="388"/>
      <c r="BO232" s="388"/>
      <c r="BP232" s="388"/>
    </row>
    <row r="233" spans="1:68" s="479" customFormat="1" x14ac:dyDescent="0.2">
      <c r="A233" s="477"/>
      <c r="B233" s="388"/>
      <c r="C233" s="388"/>
      <c r="D233" s="388"/>
      <c r="E233" s="388"/>
      <c r="F233" s="388"/>
      <c r="G233" s="388"/>
      <c r="H233" s="388"/>
      <c r="I233" s="478"/>
      <c r="J233" s="191"/>
      <c r="K233" s="485"/>
      <c r="L233" s="2411"/>
      <c r="M233" s="2418"/>
      <c r="O233" s="478"/>
      <c r="P233" s="481"/>
      <c r="Q233" s="482"/>
      <c r="R233" s="480"/>
      <c r="S233" s="480"/>
      <c r="T233" s="480"/>
      <c r="U233" s="493"/>
      <c r="V233" s="493"/>
      <c r="W233" s="493"/>
      <c r="X233" s="484"/>
      <c r="Y233" s="480"/>
      <c r="Z233" s="388"/>
      <c r="AA233" s="388"/>
      <c r="AB233" s="388"/>
      <c r="AC233" s="388"/>
      <c r="AD233" s="388"/>
      <c r="AE233" s="388"/>
      <c r="AF233" s="388"/>
      <c r="AG233" s="388"/>
      <c r="AH233" s="388"/>
      <c r="AI233" s="388"/>
      <c r="AJ233" s="388"/>
      <c r="AK233" s="388"/>
      <c r="AL233" s="388"/>
      <c r="AM233" s="388"/>
      <c r="AN233" s="388"/>
      <c r="AO233" s="388"/>
      <c r="AP233" s="388"/>
      <c r="AQ233" s="388"/>
      <c r="AR233" s="388"/>
      <c r="AS233" s="388"/>
      <c r="AT233" s="388"/>
      <c r="AU233" s="388"/>
      <c r="AV233" s="388"/>
      <c r="AW233" s="388"/>
      <c r="AX233" s="388"/>
      <c r="AY233" s="388"/>
      <c r="AZ233" s="388"/>
      <c r="BA233" s="388"/>
      <c r="BB233" s="388"/>
      <c r="BC233" s="388"/>
      <c r="BD233" s="388"/>
      <c r="BE233" s="388"/>
      <c r="BF233" s="388"/>
      <c r="BG233" s="388"/>
      <c r="BH233" s="388"/>
      <c r="BI233" s="2414"/>
      <c r="BJ233" s="388"/>
      <c r="BK233" s="388"/>
      <c r="BL233" s="388"/>
      <c r="BM233" s="388"/>
      <c r="BN233" s="388"/>
      <c r="BO233" s="388"/>
      <c r="BP233" s="388"/>
    </row>
    <row r="234" spans="1:68" s="479" customFormat="1" x14ac:dyDescent="0.2">
      <c r="A234" s="477"/>
      <c r="B234" s="388"/>
      <c r="C234" s="388"/>
      <c r="D234" s="388"/>
      <c r="E234" s="388"/>
      <c r="F234" s="388"/>
      <c r="G234" s="388"/>
      <c r="H234" s="388"/>
      <c r="I234" s="478"/>
      <c r="J234" s="191"/>
      <c r="K234" s="485"/>
      <c r="L234" s="2411"/>
      <c r="M234" s="2418"/>
      <c r="O234" s="478"/>
      <c r="P234" s="481"/>
      <c r="Q234" s="482"/>
      <c r="R234" s="480"/>
      <c r="S234" s="480"/>
      <c r="T234" s="480"/>
      <c r="U234" s="493"/>
      <c r="V234" s="493"/>
      <c r="W234" s="493"/>
      <c r="X234" s="484"/>
      <c r="Y234" s="480"/>
      <c r="Z234" s="388"/>
      <c r="AA234" s="388"/>
      <c r="AB234" s="388"/>
      <c r="AC234" s="388"/>
      <c r="AD234" s="388"/>
      <c r="AE234" s="388"/>
      <c r="AF234" s="388"/>
      <c r="AG234" s="388"/>
      <c r="AH234" s="388"/>
      <c r="AI234" s="388"/>
      <c r="AJ234" s="388"/>
      <c r="AK234" s="388"/>
      <c r="AL234" s="388"/>
      <c r="AM234" s="388"/>
      <c r="AN234" s="388"/>
      <c r="AO234" s="388"/>
      <c r="AP234" s="388"/>
      <c r="AQ234" s="388"/>
      <c r="AR234" s="388"/>
      <c r="AS234" s="388"/>
      <c r="AT234" s="388"/>
      <c r="AU234" s="388"/>
      <c r="AV234" s="388"/>
      <c r="AW234" s="388"/>
      <c r="AX234" s="388"/>
      <c r="AY234" s="388"/>
      <c r="AZ234" s="388"/>
      <c r="BA234" s="388"/>
      <c r="BB234" s="388"/>
      <c r="BC234" s="388"/>
      <c r="BD234" s="388"/>
      <c r="BE234" s="388"/>
      <c r="BF234" s="388"/>
      <c r="BG234" s="388"/>
      <c r="BH234" s="388"/>
      <c r="BI234" s="2414"/>
      <c r="BJ234" s="388"/>
      <c r="BK234" s="388"/>
      <c r="BL234" s="388"/>
      <c r="BM234" s="388"/>
      <c r="BN234" s="388"/>
      <c r="BO234" s="388"/>
      <c r="BP234" s="388"/>
    </row>
    <row r="235" spans="1:68" s="479" customFormat="1" x14ac:dyDescent="0.2">
      <c r="A235" s="477"/>
      <c r="B235" s="388"/>
      <c r="C235" s="388"/>
      <c r="D235" s="388"/>
      <c r="E235" s="388"/>
      <c r="F235" s="388"/>
      <c r="G235" s="388"/>
      <c r="H235" s="388"/>
      <c r="I235" s="478"/>
      <c r="J235" s="191"/>
      <c r="K235" s="485"/>
      <c r="L235" s="2411"/>
      <c r="M235" s="2418"/>
      <c r="O235" s="478"/>
      <c r="P235" s="481"/>
      <c r="Q235" s="482"/>
      <c r="R235" s="480"/>
      <c r="S235" s="480"/>
      <c r="T235" s="480"/>
      <c r="U235" s="493"/>
      <c r="V235" s="493"/>
      <c r="W235" s="493"/>
      <c r="X235" s="484"/>
      <c r="Y235" s="480"/>
      <c r="Z235" s="388"/>
      <c r="AA235" s="388"/>
      <c r="AB235" s="388"/>
      <c r="AC235" s="388"/>
      <c r="AD235" s="388"/>
      <c r="AE235" s="388"/>
      <c r="AF235" s="388"/>
      <c r="AG235" s="388"/>
      <c r="AH235" s="388"/>
      <c r="AI235" s="388"/>
      <c r="AJ235" s="388"/>
      <c r="AK235" s="388"/>
      <c r="AL235" s="388"/>
      <c r="AM235" s="388"/>
      <c r="AN235" s="388"/>
      <c r="AO235" s="388"/>
      <c r="AP235" s="388"/>
      <c r="AQ235" s="388"/>
      <c r="AR235" s="388"/>
      <c r="AS235" s="388"/>
      <c r="AT235" s="388"/>
      <c r="AU235" s="388"/>
      <c r="AV235" s="388"/>
      <c r="AW235" s="388"/>
      <c r="AX235" s="388"/>
      <c r="AY235" s="388"/>
      <c r="AZ235" s="388"/>
      <c r="BA235" s="388"/>
      <c r="BB235" s="388"/>
      <c r="BC235" s="388"/>
      <c r="BD235" s="388"/>
      <c r="BE235" s="388"/>
      <c r="BF235" s="388"/>
      <c r="BG235" s="388"/>
      <c r="BH235" s="388"/>
      <c r="BI235" s="2414"/>
      <c r="BJ235" s="388"/>
      <c r="BK235" s="388"/>
      <c r="BL235" s="388"/>
      <c r="BM235" s="388"/>
      <c r="BN235" s="388"/>
      <c r="BO235" s="388"/>
      <c r="BP235" s="388"/>
    </row>
    <row r="236" spans="1:68" s="479" customFormat="1" x14ac:dyDescent="0.2">
      <c r="A236" s="477"/>
      <c r="B236" s="388"/>
      <c r="C236" s="388"/>
      <c r="D236" s="388"/>
      <c r="E236" s="388"/>
      <c r="F236" s="388"/>
      <c r="G236" s="388"/>
      <c r="H236" s="388"/>
      <c r="I236" s="478"/>
      <c r="J236" s="191"/>
      <c r="K236" s="485"/>
      <c r="L236" s="2411"/>
      <c r="M236" s="2418"/>
      <c r="O236" s="478"/>
      <c r="P236" s="481"/>
      <c r="Q236" s="482"/>
      <c r="R236" s="480"/>
      <c r="S236" s="480"/>
      <c r="T236" s="480"/>
      <c r="U236" s="493"/>
      <c r="V236" s="493"/>
      <c r="W236" s="493"/>
      <c r="X236" s="484"/>
      <c r="Y236" s="480"/>
      <c r="Z236" s="388"/>
      <c r="AA236" s="388"/>
      <c r="AB236" s="388"/>
      <c r="AC236" s="388"/>
      <c r="AD236" s="388"/>
      <c r="AE236" s="388"/>
      <c r="AF236" s="388"/>
      <c r="AG236" s="388"/>
      <c r="AH236" s="388"/>
      <c r="AI236" s="388"/>
      <c r="AJ236" s="388"/>
      <c r="AK236" s="388"/>
      <c r="AL236" s="388"/>
      <c r="AM236" s="388"/>
      <c r="AN236" s="388"/>
      <c r="AO236" s="388"/>
      <c r="AP236" s="388"/>
      <c r="AQ236" s="388"/>
      <c r="AR236" s="388"/>
      <c r="AS236" s="388"/>
      <c r="AT236" s="388"/>
      <c r="AU236" s="388"/>
      <c r="AV236" s="388"/>
      <c r="AW236" s="388"/>
      <c r="AX236" s="388"/>
      <c r="AY236" s="388"/>
      <c r="AZ236" s="388"/>
      <c r="BA236" s="388"/>
      <c r="BB236" s="388"/>
      <c r="BC236" s="388"/>
      <c r="BD236" s="388"/>
      <c r="BE236" s="388"/>
      <c r="BF236" s="388"/>
      <c r="BG236" s="388"/>
      <c r="BH236" s="388"/>
      <c r="BI236" s="2414"/>
      <c r="BJ236" s="388"/>
      <c r="BK236" s="388"/>
      <c r="BL236" s="388"/>
      <c r="BM236" s="388"/>
      <c r="BN236" s="388"/>
      <c r="BO236" s="388"/>
      <c r="BP236" s="388"/>
    </row>
    <row r="237" spans="1:68" s="479" customFormat="1" x14ac:dyDescent="0.2">
      <c r="A237" s="477"/>
      <c r="B237" s="388"/>
      <c r="C237" s="388"/>
      <c r="D237" s="388"/>
      <c r="E237" s="388"/>
      <c r="F237" s="388"/>
      <c r="G237" s="388"/>
      <c r="H237" s="388"/>
      <c r="I237" s="478"/>
      <c r="J237" s="191"/>
      <c r="K237" s="485"/>
      <c r="L237" s="2411"/>
      <c r="M237" s="2418"/>
      <c r="O237" s="478"/>
      <c r="P237" s="481"/>
      <c r="Q237" s="482"/>
      <c r="R237" s="480"/>
      <c r="S237" s="480"/>
      <c r="T237" s="480"/>
      <c r="U237" s="493"/>
      <c r="V237" s="493"/>
      <c r="W237" s="493"/>
      <c r="X237" s="484"/>
      <c r="Y237" s="480"/>
      <c r="Z237" s="388"/>
      <c r="AA237" s="388"/>
      <c r="AB237" s="388"/>
      <c r="AC237" s="388"/>
      <c r="AD237" s="388"/>
      <c r="AE237" s="388"/>
      <c r="AF237" s="388"/>
      <c r="AG237" s="388"/>
      <c r="AH237" s="388"/>
      <c r="AI237" s="388"/>
      <c r="AJ237" s="388"/>
      <c r="AK237" s="388"/>
      <c r="AL237" s="388"/>
      <c r="AM237" s="388"/>
      <c r="AN237" s="388"/>
      <c r="AO237" s="388"/>
      <c r="AP237" s="388"/>
      <c r="AQ237" s="388"/>
      <c r="AR237" s="388"/>
      <c r="AS237" s="388"/>
      <c r="AT237" s="388"/>
      <c r="AU237" s="388"/>
      <c r="AV237" s="388"/>
      <c r="AW237" s="388"/>
      <c r="AX237" s="388"/>
      <c r="AY237" s="388"/>
      <c r="AZ237" s="388"/>
      <c r="BA237" s="388"/>
      <c r="BB237" s="388"/>
      <c r="BC237" s="388"/>
      <c r="BD237" s="388"/>
      <c r="BE237" s="388"/>
      <c r="BF237" s="388"/>
      <c r="BG237" s="388"/>
      <c r="BH237" s="388"/>
      <c r="BI237" s="2414"/>
      <c r="BJ237" s="388"/>
      <c r="BK237" s="388"/>
      <c r="BL237" s="388"/>
      <c r="BM237" s="388"/>
      <c r="BN237" s="388"/>
      <c r="BO237" s="388"/>
      <c r="BP237" s="388"/>
    </row>
    <row r="238" spans="1:68" s="479" customFormat="1" x14ac:dyDescent="0.2">
      <c r="A238" s="477"/>
      <c r="B238" s="388"/>
      <c r="C238" s="388"/>
      <c r="D238" s="388"/>
      <c r="E238" s="388"/>
      <c r="F238" s="388"/>
      <c r="G238" s="388"/>
      <c r="H238" s="388"/>
      <c r="I238" s="478"/>
      <c r="J238" s="191"/>
      <c r="K238" s="485"/>
      <c r="L238" s="2411"/>
      <c r="M238" s="2418"/>
      <c r="O238" s="478"/>
      <c r="P238" s="481"/>
      <c r="Q238" s="482"/>
      <c r="R238" s="480"/>
      <c r="S238" s="480"/>
      <c r="T238" s="480"/>
      <c r="U238" s="493"/>
      <c r="V238" s="493"/>
      <c r="W238" s="493"/>
      <c r="X238" s="484"/>
      <c r="Y238" s="480"/>
      <c r="Z238" s="388"/>
      <c r="AA238" s="388"/>
      <c r="AB238" s="388"/>
      <c r="AC238" s="388"/>
      <c r="AD238" s="388"/>
      <c r="AE238" s="388"/>
      <c r="AF238" s="388"/>
      <c r="AG238" s="388"/>
      <c r="AH238" s="388"/>
      <c r="AI238" s="388"/>
      <c r="AJ238" s="388"/>
      <c r="AK238" s="388"/>
      <c r="AL238" s="388"/>
      <c r="AM238" s="388"/>
      <c r="AN238" s="388"/>
      <c r="AO238" s="388"/>
      <c r="AP238" s="388"/>
      <c r="AQ238" s="388"/>
      <c r="AR238" s="388"/>
      <c r="AS238" s="388"/>
      <c r="AT238" s="388"/>
      <c r="AU238" s="388"/>
      <c r="AV238" s="388"/>
      <c r="AW238" s="388"/>
      <c r="AX238" s="388"/>
      <c r="AY238" s="388"/>
      <c r="AZ238" s="388"/>
      <c r="BA238" s="388"/>
      <c r="BB238" s="388"/>
      <c r="BC238" s="388"/>
      <c r="BD238" s="388"/>
      <c r="BE238" s="388"/>
      <c r="BF238" s="388"/>
      <c r="BG238" s="388"/>
      <c r="BH238" s="388"/>
      <c r="BI238" s="2414"/>
      <c r="BJ238" s="388"/>
      <c r="BK238" s="388"/>
      <c r="BL238" s="388"/>
      <c r="BM238" s="388"/>
      <c r="BN238" s="388"/>
      <c r="BO238" s="388"/>
      <c r="BP238" s="388"/>
    </row>
    <row r="239" spans="1:68" s="479" customFormat="1" x14ac:dyDescent="0.2">
      <c r="A239" s="477"/>
      <c r="B239" s="388"/>
      <c r="C239" s="388"/>
      <c r="D239" s="388"/>
      <c r="E239" s="388"/>
      <c r="F239" s="388"/>
      <c r="G239" s="388"/>
      <c r="H239" s="388"/>
      <c r="I239" s="478"/>
      <c r="J239" s="191"/>
      <c r="K239" s="485"/>
      <c r="L239" s="2411"/>
      <c r="M239" s="2418"/>
      <c r="O239" s="478"/>
      <c r="P239" s="481"/>
      <c r="Q239" s="482"/>
      <c r="R239" s="480"/>
      <c r="S239" s="480"/>
      <c r="T239" s="480"/>
      <c r="U239" s="493"/>
      <c r="V239" s="493"/>
      <c r="W239" s="493"/>
      <c r="X239" s="484"/>
      <c r="Y239" s="480"/>
      <c r="Z239" s="388"/>
      <c r="AA239" s="388"/>
      <c r="AB239" s="388"/>
      <c r="AC239" s="388"/>
      <c r="AD239" s="388"/>
      <c r="AE239" s="388"/>
      <c r="AF239" s="388"/>
      <c r="AG239" s="388"/>
      <c r="AH239" s="388"/>
      <c r="AI239" s="388"/>
      <c r="AJ239" s="388"/>
      <c r="AK239" s="388"/>
      <c r="AL239" s="388"/>
      <c r="AM239" s="388"/>
      <c r="AN239" s="388"/>
      <c r="AO239" s="388"/>
      <c r="AP239" s="388"/>
      <c r="AQ239" s="388"/>
      <c r="AR239" s="388"/>
      <c r="AS239" s="388"/>
      <c r="AT239" s="388"/>
      <c r="AU239" s="388"/>
      <c r="AV239" s="388"/>
      <c r="AW239" s="388"/>
      <c r="AX239" s="388"/>
      <c r="AY239" s="388"/>
      <c r="AZ239" s="388"/>
      <c r="BA239" s="388"/>
      <c r="BB239" s="388"/>
      <c r="BC239" s="388"/>
      <c r="BD239" s="388"/>
      <c r="BE239" s="388"/>
      <c r="BF239" s="388"/>
      <c r="BG239" s="388"/>
      <c r="BH239" s="388"/>
      <c r="BI239" s="2414"/>
      <c r="BJ239" s="388"/>
      <c r="BK239" s="388"/>
      <c r="BL239" s="388"/>
      <c r="BM239" s="388"/>
      <c r="BN239" s="388"/>
      <c r="BO239" s="388"/>
      <c r="BP239" s="388"/>
    </row>
    <row r="240" spans="1:68" s="479" customFormat="1" x14ac:dyDescent="0.2">
      <c r="A240" s="477"/>
      <c r="B240" s="388"/>
      <c r="C240" s="388"/>
      <c r="D240" s="388"/>
      <c r="E240" s="388"/>
      <c r="F240" s="388"/>
      <c r="G240" s="388"/>
      <c r="H240" s="388"/>
      <c r="I240" s="478"/>
      <c r="J240" s="191"/>
      <c r="K240" s="485"/>
      <c r="L240" s="2411"/>
      <c r="M240" s="2418"/>
      <c r="O240" s="478"/>
      <c r="P240" s="481"/>
      <c r="Q240" s="482"/>
      <c r="R240" s="480"/>
      <c r="S240" s="480"/>
      <c r="T240" s="480"/>
      <c r="U240" s="493"/>
      <c r="V240" s="493"/>
      <c r="W240" s="493"/>
      <c r="X240" s="484"/>
      <c r="Y240" s="480"/>
      <c r="Z240" s="388"/>
      <c r="AA240" s="388"/>
      <c r="AB240" s="388"/>
      <c r="AC240" s="388"/>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88"/>
      <c r="AY240" s="388"/>
      <c r="AZ240" s="388"/>
      <c r="BA240" s="388"/>
      <c r="BB240" s="388"/>
      <c r="BC240" s="388"/>
      <c r="BD240" s="388"/>
      <c r="BE240" s="388"/>
      <c r="BF240" s="388"/>
      <c r="BG240" s="388"/>
      <c r="BH240" s="388"/>
      <c r="BI240" s="2414"/>
      <c r="BJ240" s="388"/>
      <c r="BK240" s="388"/>
      <c r="BL240" s="388"/>
      <c r="BM240" s="388"/>
      <c r="BN240" s="388"/>
      <c r="BO240" s="388"/>
      <c r="BP240" s="388"/>
    </row>
    <row r="241" spans="1:68" s="479" customFormat="1" x14ac:dyDescent="0.2">
      <c r="A241" s="477"/>
      <c r="B241" s="388"/>
      <c r="C241" s="388"/>
      <c r="D241" s="388"/>
      <c r="E241" s="388"/>
      <c r="F241" s="388"/>
      <c r="G241" s="388"/>
      <c r="H241" s="388"/>
      <c r="I241" s="478"/>
      <c r="J241" s="191"/>
      <c r="K241" s="485"/>
      <c r="L241" s="2411"/>
      <c r="M241" s="2418"/>
      <c r="O241" s="478"/>
      <c r="P241" s="481"/>
      <c r="Q241" s="482"/>
      <c r="R241" s="480"/>
      <c r="S241" s="480"/>
      <c r="T241" s="480"/>
      <c r="U241" s="493"/>
      <c r="V241" s="493"/>
      <c r="W241" s="493"/>
      <c r="X241" s="484"/>
      <c r="Y241" s="480"/>
      <c r="Z241" s="388"/>
      <c r="AA241" s="388"/>
      <c r="AB241" s="388"/>
      <c r="AC241" s="388"/>
      <c r="AD241" s="388"/>
      <c r="AE241" s="388"/>
      <c r="AF241" s="388"/>
      <c r="AG241" s="388"/>
      <c r="AH241" s="388"/>
      <c r="AI241" s="388"/>
      <c r="AJ241" s="388"/>
      <c r="AK241" s="388"/>
      <c r="AL241" s="388"/>
      <c r="AM241" s="388"/>
      <c r="AN241" s="388"/>
      <c r="AO241" s="388"/>
      <c r="AP241" s="388"/>
      <c r="AQ241" s="388"/>
      <c r="AR241" s="388"/>
      <c r="AS241" s="388"/>
      <c r="AT241" s="388"/>
      <c r="AU241" s="388"/>
      <c r="AV241" s="388"/>
      <c r="AW241" s="388"/>
      <c r="AX241" s="388"/>
      <c r="AY241" s="388"/>
      <c r="AZ241" s="388"/>
      <c r="BA241" s="388"/>
      <c r="BB241" s="388"/>
      <c r="BC241" s="388"/>
      <c r="BD241" s="388"/>
      <c r="BE241" s="388"/>
      <c r="BF241" s="388"/>
      <c r="BG241" s="388"/>
      <c r="BH241" s="388"/>
      <c r="BI241" s="2414"/>
      <c r="BJ241" s="388"/>
      <c r="BK241" s="388"/>
      <c r="BL241" s="388"/>
      <c r="BM241" s="388"/>
      <c r="BN241" s="388"/>
      <c r="BO241" s="388"/>
      <c r="BP241" s="388"/>
    </row>
    <row r="242" spans="1:68" s="479" customFormat="1" x14ac:dyDescent="0.2">
      <c r="A242" s="477"/>
      <c r="B242" s="388"/>
      <c r="C242" s="388"/>
      <c r="D242" s="388"/>
      <c r="E242" s="388"/>
      <c r="F242" s="388"/>
      <c r="G242" s="388"/>
      <c r="H242" s="388"/>
      <c r="I242" s="478"/>
      <c r="J242" s="191"/>
      <c r="K242" s="485"/>
      <c r="L242" s="2411"/>
      <c r="M242" s="2418"/>
      <c r="O242" s="478"/>
      <c r="P242" s="481"/>
      <c r="Q242" s="482"/>
      <c r="R242" s="480"/>
      <c r="S242" s="480"/>
      <c r="T242" s="480"/>
      <c r="U242" s="493"/>
      <c r="V242" s="493"/>
      <c r="W242" s="493"/>
      <c r="X242" s="484"/>
      <c r="Y242" s="480"/>
      <c r="Z242" s="388"/>
      <c r="AA242" s="388"/>
      <c r="AB242" s="388"/>
      <c r="AC242" s="388"/>
      <c r="AD242" s="388"/>
      <c r="AE242" s="388"/>
      <c r="AF242" s="388"/>
      <c r="AG242" s="388"/>
      <c r="AH242" s="388"/>
      <c r="AI242" s="388"/>
      <c r="AJ242" s="388"/>
      <c r="AK242" s="388"/>
      <c r="AL242" s="388"/>
      <c r="AM242" s="388"/>
      <c r="AN242" s="388"/>
      <c r="AO242" s="388"/>
      <c r="AP242" s="388"/>
      <c r="AQ242" s="388"/>
      <c r="AR242" s="388"/>
      <c r="AS242" s="388"/>
      <c r="AT242" s="388"/>
      <c r="AU242" s="388"/>
      <c r="AV242" s="388"/>
      <c r="AW242" s="388"/>
      <c r="AX242" s="388"/>
      <c r="AY242" s="388"/>
      <c r="AZ242" s="388"/>
      <c r="BA242" s="388"/>
      <c r="BB242" s="388"/>
      <c r="BC242" s="388"/>
      <c r="BD242" s="388"/>
      <c r="BE242" s="388"/>
      <c r="BF242" s="388"/>
      <c r="BG242" s="388"/>
      <c r="BH242" s="388"/>
      <c r="BI242" s="2414"/>
      <c r="BJ242" s="388"/>
      <c r="BK242" s="388"/>
      <c r="BL242" s="388"/>
      <c r="BM242" s="388"/>
      <c r="BN242" s="388"/>
      <c r="BO242" s="388"/>
      <c r="BP242" s="388"/>
    </row>
    <row r="243" spans="1:68" s="479" customFormat="1" x14ac:dyDescent="0.2">
      <c r="A243" s="477"/>
      <c r="B243" s="388"/>
      <c r="C243" s="388"/>
      <c r="D243" s="388"/>
      <c r="E243" s="388"/>
      <c r="F243" s="388"/>
      <c r="G243" s="388"/>
      <c r="H243" s="388"/>
      <c r="I243" s="478"/>
      <c r="J243" s="191"/>
      <c r="K243" s="485"/>
      <c r="L243" s="2411"/>
      <c r="M243" s="2418"/>
      <c r="O243" s="478"/>
      <c r="P243" s="481"/>
      <c r="Q243" s="482"/>
      <c r="R243" s="480"/>
      <c r="S243" s="480"/>
      <c r="T243" s="480"/>
      <c r="U243" s="493"/>
      <c r="V243" s="493"/>
      <c r="W243" s="493"/>
      <c r="X243" s="484"/>
      <c r="Y243" s="480"/>
      <c r="Z243" s="388"/>
      <c r="AA243" s="388"/>
      <c r="AB243" s="388"/>
      <c r="AC243" s="388"/>
      <c r="AD243" s="388"/>
      <c r="AE243" s="388"/>
      <c r="AF243" s="388"/>
      <c r="AG243" s="388"/>
      <c r="AH243" s="388"/>
      <c r="AI243" s="388"/>
      <c r="AJ243" s="388"/>
      <c r="AK243" s="388"/>
      <c r="AL243" s="388"/>
      <c r="AM243" s="388"/>
      <c r="AN243" s="388"/>
      <c r="AO243" s="388"/>
      <c r="AP243" s="388"/>
      <c r="AQ243" s="388"/>
      <c r="AR243" s="388"/>
      <c r="AS243" s="388"/>
      <c r="AT243" s="388"/>
      <c r="AU243" s="388"/>
      <c r="AV243" s="388"/>
      <c r="AW243" s="388"/>
      <c r="AX243" s="388"/>
      <c r="AY243" s="388"/>
      <c r="AZ243" s="388"/>
      <c r="BA243" s="388"/>
      <c r="BB243" s="388"/>
      <c r="BC243" s="388"/>
      <c r="BD243" s="388"/>
      <c r="BE243" s="388"/>
      <c r="BF243" s="388"/>
      <c r="BG243" s="388"/>
      <c r="BH243" s="388"/>
      <c r="BI243" s="2414"/>
      <c r="BJ243" s="388"/>
      <c r="BK243" s="388"/>
      <c r="BL243" s="388"/>
      <c r="BM243" s="388"/>
      <c r="BN243" s="388"/>
      <c r="BO243" s="388"/>
      <c r="BP243" s="388"/>
    </row>
    <row r="244" spans="1:68" s="479" customFormat="1" x14ac:dyDescent="0.2">
      <c r="A244" s="477"/>
      <c r="B244" s="388"/>
      <c r="C244" s="388"/>
      <c r="D244" s="388"/>
      <c r="E244" s="388"/>
      <c r="F244" s="388"/>
      <c r="G244" s="388"/>
      <c r="H244" s="388"/>
      <c r="I244" s="478"/>
      <c r="J244" s="191"/>
      <c r="K244" s="485"/>
      <c r="L244" s="2411"/>
      <c r="M244" s="2418"/>
      <c r="O244" s="478"/>
      <c r="P244" s="481"/>
      <c r="Q244" s="482"/>
      <c r="R244" s="480"/>
      <c r="S244" s="480"/>
      <c r="T244" s="480"/>
      <c r="U244" s="493"/>
      <c r="V244" s="493"/>
      <c r="W244" s="493"/>
      <c r="X244" s="484"/>
      <c r="Y244" s="480"/>
      <c r="Z244" s="388"/>
      <c r="AA244" s="388"/>
      <c r="AB244" s="388"/>
      <c r="AC244" s="388"/>
      <c r="AD244" s="388"/>
      <c r="AE244" s="388"/>
      <c r="AF244" s="388"/>
      <c r="AG244" s="388"/>
      <c r="AH244" s="388"/>
      <c r="AI244" s="388"/>
      <c r="AJ244" s="388"/>
      <c r="AK244" s="388"/>
      <c r="AL244" s="388"/>
      <c r="AM244" s="388"/>
      <c r="AN244" s="388"/>
      <c r="AO244" s="388"/>
      <c r="AP244" s="388"/>
      <c r="AQ244" s="388"/>
      <c r="AR244" s="388"/>
      <c r="AS244" s="388"/>
      <c r="AT244" s="388"/>
      <c r="AU244" s="388"/>
      <c r="AV244" s="388"/>
      <c r="AW244" s="388"/>
      <c r="AX244" s="388"/>
      <c r="AY244" s="388"/>
      <c r="AZ244" s="388"/>
      <c r="BA244" s="388"/>
      <c r="BB244" s="388"/>
      <c r="BC244" s="388"/>
      <c r="BD244" s="388"/>
      <c r="BE244" s="388"/>
      <c r="BF244" s="388"/>
      <c r="BG244" s="388"/>
      <c r="BH244" s="388"/>
      <c r="BI244" s="2414"/>
      <c r="BJ244" s="388"/>
      <c r="BK244" s="388"/>
      <c r="BL244" s="388"/>
      <c r="BM244" s="388"/>
      <c r="BN244" s="388"/>
      <c r="BO244" s="388"/>
      <c r="BP244" s="388"/>
    </row>
    <row r="245" spans="1:68" s="479" customFormat="1" x14ac:dyDescent="0.2">
      <c r="A245" s="477"/>
      <c r="B245" s="388"/>
      <c r="C245" s="388"/>
      <c r="D245" s="388"/>
      <c r="E245" s="388"/>
      <c r="F245" s="388"/>
      <c r="G245" s="388"/>
      <c r="H245" s="388"/>
      <c r="I245" s="478"/>
      <c r="J245" s="191"/>
      <c r="K245" s="485"/>
      <c r="L245" s="2411"/>
      <c r="M245" s="2418"/>
      <c r="O245" s="478"/>
      <c r="P245" s="481"/>
      <c r="Q245" s="482"/>
      <c r="R245" s="480"/>
      <c r="S245" s="480"/>
      <c r="T245" s="480"/>
      <c r="U245" s="493"/>
      <c r="V245" s="493"/>
      <c r="W245" s="493"/>
      <c r="X245" s="484"/>
      <c r="Y245" s="480"/>
      <c r="Z245" s="388"/>
      <c r="AA245" s="388"/>
      <c r="AB245" s="388"/>
      <c r="AC245" s="388"/>
      <c r="AD245" s="388"/>
      <c r="AE245" s="388"/>
      <c r="AF245" s="388"/>
      <c r="AG245" s="388"/>
      <c r="AH245" s="388"/>
      <c r="AI245" s="388"/>
      <c r="AJ245" s="388"/>
      <c r="AK245" s="388"/>
      <c r="AL245" s="388"/>
      <c r="AM245" s="388"/>
      <c r="AN245" s="388"/>
      <c r="AO245" s="388"/>
      <c r="AP245" s="388"/>
      <c r="AQ245" s="388"/>
      <c r="AR245" s="388"/>
      <c r="AS245" s="388"/>
      <c r="AT245" s="388"/>
      <c r="AU245" s="388"/>
      <c r="AV245" s="388"/>
      <c r="AW245" s="388"/>
      <c r="AX245" s="388"/>
      <c r="AY245" s="388"/>
      <c r="AZ245" s="388"/>
      <c r="BA245" s="388"/>
      <c r="BB245" s="388"/>
      <c r="BC245" s="388"/>
      <c r="BD245" s="388"/>
      <c r="BE245" s="388"/>
      <c r="BF245" s="388"/>
      <c r="BG245" s="388"/>
      <c r="BH245" s="388"/>
      <c r="BI245" s="2414"/>
      <c r="BJ245" s="388"/>
      <c r="BK245" s="388"/>
      <c r="BL245" s="388"/>
      <c r="BM245" s="388"/>
      <c r="BN245" s="388"/>
      <c r="BO245" s="388"/>
      <c r="BP245" s="388"/>
    </row>
    <row r="246" spans="1:68" s="479" customFormat="1" x14ac:dyDescent="0.2">
      <c r="A246" s="477"/>
      <c r="B246" s="388"/>
      <c r="C246" s="388"/>
      <c r="D246" s="388"/>
      <c r="E246" s="388"/>
      <c r="F246" s="388"/>
      <c r="G246" s="388"/>
      <c r="H246" s="388"/>
      <c r="I246" s="478"/>
      <c r="J246" s="191"/>
      <c r="K246" s="485"/>
      <c r="L246" s="2411"/>
      <c r="M246" s="2418"/>
      <c r="O246" s="478"/>
      <c r="P246" s="481"/>
      <c r="Q246" s="482"/>
      <c r="R246" s="480"/>
      <c r="S246" s="480"/>
      <c r="T246" s="480"/>
      <c r="U246" s="493"/>
      <c r="V246" s="493"/>
      <c r="W246" s="493"/>
      <c r="X246" s="484"/>
      <c r="Y246" s="480"/>
      <c r="Z246" s="388"/>
      <c r="AA246" s="388"/>
      <c r="AB246" s="388"/>
      <c r="AC246" s="388"/>
      <c r="AD246" s="388"/>
      <c r="AE246" s="388"/>
      <c r="AF246" s="388"/>
      <c r="AG246" s="388"/>
      <c r="AH246" s="388"/>
      <c r="AI246" s="388"/>
      <c r="AJ246" s="388"/>
      <c r="AK246" s="388"/>
      <c r="AL246" s="388"/>
      <c r="AM246" s="388"/>
      <c r="AN246" s="388"/>
      <c r="AO246" s="388"/>
      <c r="AP246" s="388"/>
      <c r="AQ246" s="388"/>
      <c r="AR246" s="388"/>
      <c r="AS246" s="388"/>
      <c r="AT246" s="388"/>
      <c r="AU246" s="388"/>
      <c r="AV246" s="388"/>
      <c r="AW246" s="388"/>
      <c r="AX246" s="388"/>
      <c r="AY246" s="388"/>
      <c r="AZ246" s="388"/>
      <c r="BA246" s="388"/>
      <c r="BB246" s="388"/>
      <c r="BC246" s="388"/>
      <c r="BD246" s="388"/>
      <c r="BE246" s="388"/>
      <c r="BF246" s="388"/>
      <c r="BG246" s="388"/>
      <c r="BH246" s="388"/>
      <c r="BI246" s="2414"/>
      <c r="BJ246" s="388"/>
      <c r="BK246" s="388"/>
      <c r="BL246" s="388"/>
      <c r="BM246" s="388"/>
      <c r="BN246" s="388"/>
      <c r="BO246" s="388"/>
      <c r="BP246" s="388"/>
    </row>
    <row r="247" spans="1:68" s="479" customFormat="1" x14ac:dyDescent="0.2">
      <c r="A247" s="477"/>
      <c r="B247" s="388"/>
      <c r="C247" s="388"/>
      <c r="D247" s="388"/>
      <c r="E247" s="388"/>
      <c r="F247" s="388"/>
      <c r="G247" s="388"/>
      <c r="H247" s="388"/>
      <c r="I247" s="478"/>
      <c r="J247" s="191"/>
      <c r="K247" s="485"/>
      <c r="L247" s="2411"/>
      <c r="M247" s="2418"/>
      <c r="O247" s="478"/>
      <c r="P247" s="481"/>
      <c r="Q247" s="482"/>
      <c r="R247" s="480"/>
      <c r="S247" s="480"/>
      <c r="T247" s="480"/>
      <c r="U247" s="493"/>
      <c r="V247" s="493"/>
      <c r="W247" s="493"/>
      <c r="X247" s="484"/>
      <c r="Y247" s="480"/>
      <c r="Z247" s="388"/>
      <c r="AA247" s="388"/>
      <c r="AB247" s="388"/>
      <c r="AC247" s="388"/>
      <c r="AD247" s="388"/>
      <c r="AE247" s="388"/>
      <c r="AF247" s="388"/>
      <c r="AG247" s="388"/>
      <c r="AH247" s="388"/>
      <c r="AI247" s="388"/>
      <c r="AJ247" s="388"/>
      <c r="AK247" s="388"/>
      <c r="AL247" s="388"/>
      <c r="AM247" s="388"/>
      <c r="AN247" s="388"/>
      <c r="AO247" s="388"/>
      <c r="AP247" s="388"/>
      <c r="AQ247" s="388"/>
      <c r="AR247" s="388"/>
      <c r="AS247" s="388"/>
      <c r="AT247" s="388"/>
      <c r="AU247" s="388"/>
      <c r="AV247" s="388"/>
      <c r="AW247" s="388"/>
      <c r="AX247" s="388"/>
      <c r="AY247" s="388"/>
      <c r="AZ247" s="388"/>
      <c r="BA247" s="388"/>
      <c r="BB247" s="388"/>
      <c r="BC247" s="388"/>
      <c r="BD247" s="388"/>
      <c r="BE247" s="388"/>
      <c r="BF247" s="388"/>
      <c r="BG247" s="388"/>
      <c r="BH247" s="388"/>
      <c r="BI247" s="2414"/>
      <c r="BJ247" s="388"/>
      <c r="BK247" s="388"/>
      <c r="BL247" s="388"/>
      <c r="BM247" s="388"/>
      <c r="BN247" s="388"/>
      <c r="BO247" s="388"/>
      <c r="BP247" s="388"/>
    </row>
    <row r="248" spans="1:68" s="479" customFormat="1" x14ac:dyDescent="0.2">
      <c r="A248" s="477"/>
      <c r="B248" s="388"/>
      <c r="C248" s="388"/>
      <c r="D248" s="388"/>
      <c r="E248" s="388"/>
      <c r="F248" s="388"/>
      <c r="G248" s="388"/>
      <c r="H248" s="388"/>
      <c r="I248" s="478"/>
      <c r="J248" s="191"/>
      <c r="K248" s="485"/>
      <c r="L248" s="2411"/>
      <c r="M248" s="2418"/>
      <c r="O248" s="478"/>
      <c r="P248" s="481"/>
      <c r="Q248" s="482"/>
      <c r="R248" s="480"/>
      <c r="S248" s="480"/>
      <c r="T248" s="480"/>
      <c r="U248" s="493"/>
      <c r="V248" s="493"/>
      <c r="W248" s="493"/>
      <c r="X248" s="484"/>
      <c r="Y248" s="480"/>
      <c r="Z248" s="388"/>
      <c r="AA248" s="388"/>
      <c r="AB248" s="388"/>
      <c r="AC248" s="388"/>
      <c r="AD248" s="388"/>
      <c r="AE248" s="388"/>
      <c r="AF248" s="388"/>
      <c r="AG248" s="388"/>
      <c r="AH248" s="388"/>
      <c r="AI248" s="388"/>
      <c r="AJ248" s="388"/>
      <c r="AK248" s="388"/>
      <c r="AL248" s="388"/>
      <c r="AM248" s="388"/>
      <c r="AN248" s="388"/>
      <c r="AO248" s="388"/>
      <c r="AP248" s="388"/>
      <c r="AQ248" s="388"/>
      <c r="AR248" s="388"/>
      <c r="AS248" s="388"/>
      <c r="AT248" s="388"/>
      <c r="AU248" s="388"/>
      <c r="AV248" s="388"/>
      <c r="AW248" s="388"/>
      <c r="AX248" s="388"/>
      <c r="AY248" s="388"/>
      <c r="AZ248" s="388"/>
      <c r="BA248" s="388"/>
      <c r="BB248" s="388"/>
      <c r="BC248" s="388"/>
      <c r="BD248" s="388"/>
      <c r="BE248" s="388"/>
      <c r="BF248" s="388"/>
      <c r="BG248" s="388"/>
      <c r="BH248" s="388"/>
      <c r="BI248" s="2414"/>
      <c r="BJ248" s="388"/>
      <c r="BK248" s="388"/>
      <c r="BL248" s="388"/>
      <c r="BM248" s="388"/>
      <c r="BN248" s="388"/>
      <c r="BO248" s="388"/>
      <c r="BP248" s="388"/>
    </row>
    <row r="249" spans="1:68" s="479" customFormat="1" x14ac:dyDescent="0.2">
      <c r="A249" s="477"/>
      <c r="B249" s="388"/>
      <c r="C249" s="388"/>
      <c r="D249" s="388"/>
      <c r="E249" s="388"/>
      <c r="F249" s="388"/>
      <c r="G249" s="388"/>
      <c r="H249" s="388"/>
      <c r="I249" s="478"/>
      <c r="J249" s="191"/>
      <c r="K249" s="485"/>
      <c r="L249" s="2411"/>
      <c r="M249" s="2418"/>
      <c r="O249" s="478"/>
      <c r="P249" s="481"/>
      <c r="Q249" s="482"/>
      <c r="R249" s="480"/>
      <c r="S249" s="480"/>
      <c r="T249" s="480"/>
      <c r="U249" s="493"/>
      <c r="V249" s="493"/>
      <c r="W249" s="493"/>
      <c r="X249" s="484"/>
      <c r="Y249" s="480"/>
      <c r="Z249" s="388"/>
      <c r="AA249" s="388"/>
      <c r="AB249" s="388"/>
      <c r="AC249" s="388"/>
      <c r="AD249" s="388"/>
      <c r="AE249" s="388"/>
      <c r="AF249" s="388"/>
      <c r="AG249" s="388"/>
      <c r="AH249" s="388"/>
      <c r="AI249" s="388"/>
      <c r="AJ249" s="388"/>
      <c r="AK249" s="388"/>
      <c r="AL249" s="388"/>
      <c r="AM249" s="388"/>
      <c r="AN249" s="388"/>
      <c r="AO249" s="388"/>
      <c r="AP249" s="388"/>
      <c r="AQ249" s="388"/>
      <c r="AR249" s="388"/>
      <c r="AS249" s="388"/>
      <c r="AT249" s="388"/>
      <c r="AU249" s="388"/>
      <c r="AV249" s="388"/>
      <c r="AW249" s="388"/>
      <c r="AX249" s="388"/>
      <c r="AY249" s="388"/>
      <c r="AZ249" s="388"/>
      <c r="BA249" s="388"/>
      <c r="BB249" s="388"/>
      <c r="BC249" s="388"/>
      <c r="BD249" s="388"/>
      <c r="BE249" s="388"/>
      <c r="BF249" s="388"/>
      <c r="BG249" s="388"/>
      <c r="BH249" s="388"/>
      <c r="BI249" s="2414"/>
      <c r="BJ249" s="388"/>
      <c r="BK249" s="388"/>
      <c r="BL249" s="388"/>
      <c r="BM249" s="388"/>
      <c r="BN249" s="388"/>
      <c r="BO249" s="388"/>
      <c r="BP249" s="388"/>
    </row>
    <row r="250" spans="1:68" s="479" customFormat="1" x14ac:dyDescent="0.2">
      <c r="A250" s="477"/>
      <c r="B250" s="388"/>
      <c r="C250" s="388"/>
      <c r="D250" s="388"/>
      <c r="E250" s="388"/>
      <c r="F250" s="388"/>
      <c r="G250" s="388"/>
      <c r="H250" s="388"/>
      <c r="I250" s="478"/>
      <c r="J250" s="191"/>
      <c r="K250" s="485"/>
      <c r="L250" s="2411"/>
      <c r="M250" s="2418"/>
      <c r="O250" s="478"/>
      <c r="P250" s="481"/>
      <c r="Q250" s="482"/>
      <c r="R250" s="480"/>
      <c r="S250" s="480"/>
      <c r="T250" s="480"/>
      <c r="U250" s="493"/>
      <c r="V250" s="493"/>
      <c r="W250" s="493"/>
      <c r="X250" s="484"/>
      <c r="Y250" s="480"/>
      <c r="Z250" s="388"/>
      <c r="AA250" s="388"/>
      <c r="AB250" s="388"/>
      <c r="AC250" s="388"/>
      <c r="AD250" s="388"/>
      <c r="AE250" s="388"/>
      <c r="AF250" s="388"/>
      <c r="AG250" s="388"/>
      <c r="AH250" s="388"/>
      <c r="AI250" s="388"/>
      <c r="AJ250" s="388"/>
      <c r="AK250" s="388"/>
      <c r="AL250" s="388"/>
      <c r="AM250" s="388"/>
      <c r="AN250" s="388"/>
      <c r="AO250" s="388"/>
      <c r="AP250" s="388"/>
      <c r="AQ250" s="388"/>
      <c r="AR250" s="388"/>
      <c r="AS250" s="388"/>
      <c r="AT250" s="388"/>
      <c r="AU250" s="388"/>
      <c r="AV250" s="388"/>
      <c r="AW250" s="388"/>
      <c r="AX250" s="388"/>
      <c r="AY250" s="388"/>
      <c r="AZ250" s="388"/>
      <c r="BA250" s="388"/>
      <c r="BB250" s="388"/>
      <c r="BC250" s="388"/>
      <c r="BD250" s="388"/>
      <c r="BE250" s="388"/>
      <c r="BF250" s="388"/>
      <c r="BG250" s="388"/>
      <c r="BH250" s="388"/>
      <c r="BI250" s="2414"/>
      <c r="BJ250" s="388"/>
      <c r="BK250" s="388"/>
      <c r="BL250" s="388"/>
      <c r="BM250" s="388"/>
      <c r="BN250" s="388"/>
      <c r="BO250" s="388"/>
      <c r="BP250" s="388"/>
    </row>
    <row r="251" spans="1:68" s="479" customFormat="1" x14ac:dyDescent="0.2">
      <c r="A251" s="477"/>
      <c r="B251" s="388"/>
      <c r="C251" s="388"/>
      <c r="D251" s="388"/>
      <c r="E251" s="388"/>
      <c r="F251" s="388"/>
      <c r="G251" s="388"/>
      <c r="H251" s="388"/>
      <c r="I251" s="478"/>
      <c r="J251" s="191"/>
      <c r="K251" s="485"/>
      <c r="L251" s="2411"/>
      <c r="M251" s="2418"/>
      <c r="O251" s="478"/>
      <c r="P251" s="481"/>
      <c r="Q251" s="482"/>
      <c r="R251" s="480"/>
      <c r="S251" s="480"/>
      <c r="T251" s="480"/>
      <c r="U251" s="493"/>
      <c r="V251" s="493"/>
      <c r="W251" s="493"/>
      <c r="X251" s="484"/>
      <c r="Y251" s="480"/>
      <c r="Z251" s="388"/>
      <c r="AA251" s="388"/>
      <c r="AB251" s="388"/>
      <c r="AC251" s="388"/>
      <c r="AD251" s="388"/>
      <c r="AE251" s="388"/>
      <c r="AF251" s="388"/>
      <c r="AG251" s="388"/>
      <c r="AH251" s="388"/>
      <c r="AI251" s="388"/>
      <c r="AJ251" s="388"/>
      <c r="AK251" s="388"/>
      <c r="AL251" s="388"/>
      <c r="AM251" s="388"/>
      <c r="AN251" s="388"/>
      <c r="AO251" s="388"/>
      <c r="AP251" s="388"/>
      <c r="AQ251" s="388"/>
      <c r="AR251" s="388"/>
      <c r="AS251" s="388"/>
      <c r="AT251" s="388"/>
      <c r="AU251" s="388"/>
      <c r="AV251" s="388"/>
      <c r="AW251" s="388"/>
      <c r="AX251" s="388"/>
      <c r="AY251" s="388"/>
      <c r="AZ251" s="388"/>
      <c r="BA251" s="388"/>
      <c r="BB251" s="388"/>
      <c r="BC251" s="388"/>
      <c r="BD251" s="388"/>
      <c r="BE251" s="388"/>
      <c r="BF251" s="388"/>
      <c r="BG251" s="388"/>
      <c r="BH251" s="388"/>
      <c r="BI251" s="2414"/>
      <c r="BJ251" s="388"/>
      <c r="BK251" s="388"/>
      <c r="BL251" s="388"/>
      <c r="BM251" s="388"/>
      <c r="BN251" s="388"/>
      <c r="BO251" s="388"/>
      <c r="BP251" s="388"/>
    </row>
    <row r="252" spans="1:68" s="479" customFormat="1" x14ac:dyDescent="0.2">
      <c r="A252" s="477"/>
      <c r="B252" s="388"/>
      <c r="C252" s="388"/>
      <c r="D252" s="388"/>
      <c r="E252" s="388"/>
      <c r="F252" s="388"/>
      <c r="G252" s="388"/>
      <c r="H252" s="388"/>
      <c r="I252" s="478"/>
      <c r="J252" s="191"/>
      <c r="K252" s="485"/>
      <c r="L252" s="2411"/>
      <c r="M252" s="2418"/>
      <c r="O252" s="478"/>
      <c r="P252" s="481"/>
      <c r="Q252" s="482"/>
      <c r="R252" s="480"/>
      <c r="S252" s="480"/>
      <c r="T252" s="480"/>
      <c r="U252" s="493"/>
      <c r="V252" s="493"/>
      <c r="W252" s="493"/>
      <c r="X252" s="484"/>
      <c r="Y252" s="480"/>
      <c r="Z252" s="388"/>
      <c r="AA252" s="388"/>
      <c r="AB252" s="388"/>
      <c r="AC252" s="388"/>
      <c r="AD252" s="388"/>
      <c r="AE252" s="388"/>
      <c r="AF252" s="388"/>
      <c r="AG252" s="388"/>
      <c r="AH252" s="388"/>
      <c r="AI252" s="388"/>
      <c r="AJ252" s="388"/>
      <c r="AK252" s="388"/>
      <c r="AL252" s="388"/>
      <c r="AM252" s="388"/>
      <c r="AN252" s="388"/>
      <c r="AO252" s="388"/>
      <c r="AP252" s="388"/>
      <c r="AQ252" s="388"/>
      <c r="AR252" s="388"/>
      <c r="AS252" s="388"/>
      <c r="AT252" s="388"/>
      <c r="AU252" s="388"/>
      <c r="AV252" s="388"/>
      <c r="AW252" s="388"/>
      <c r="AX252" s="388"/>
      <c r="AY252" s="388"/>
      <c r="AZ252" s="388"/>
      <c r="BA252" s="388"/>
      <c r="BB252" s="388"/>
      <c r="BC252" s="388"/>
      <c r="BD252" s="388"/>
      <c r="BE252" s="388"/>
      <c r="BF252" s="388"/>
      <c r="BG252" s="388"/>
      <c r="BH252" s="388"/>
      <c r="BI252" s="2414"/>
      <c r="BJ252" s="388"/>
      <c r="BK252" s="388"/>
      <c r="BL252" s="388"/>
      <c r="BM252" s="388"/>
      <c r="BN252" s="388"/>
      <c r="BO252" s="388"/>
      <c r="BP252" s="388"/>
    </row>
    <row r="253" spans="1:68" s="479" customFormat="1" x14ac:dyDescent="0.2">
      <c r="A253" s="477"/>
      <c r="B253" s="388"/>
      <c r="C253" s="388"/>
      <c r="D253" s="388"/>
      <c r="E253" s="388"/>
      <c r="F253" s="388"/>
      <c r="G253" s="388"/>
      <c r="H253" s="388"/>
      <c r="I253" s="478"/>
      <c r="J253" s="191"/>
      <c r="K253" s="485"/>
      <c r="L253" s="2411"/>
      <c r="M253" s="2418"/>
      <c r="O253" s="478"/>
      <c r="P253" s="481"/>
      <c r="Q253" s="482"/>
      <c r="R253" s="480"/>
      <c r="S253" s="480"/>
      <c r="T253" s="480"/>
      <c r="U253" s="493"/>
      <c r="V253" s="493"/>
      <c r="W253" s="493"/>
      <c r="X253" s="484"/>
      <c r="Y253" s="480"/>
      <c r="Z253" s="388"/>
      <c r="AA253" s="388"/>
      <c r="AB253" s="388"/>
      <c r="AC253" s="388"/>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88"/>
      <c r="AY253" s="388"/>
      <c r="AZ253" s="388"/>
      <c r="BA253" s="388"/>
      <c r="BB253" s="388"/>
      <c r="BC253" s="388"/>
      <c r="BD253" s="388"/>
      <c r="BE253" s="388"/>
      <c r="BF253" s="388"/>
      <c r="BG253" s="388"/>
      <c r="BH253" s="388"/>
      <c r="BI253" s="2414"/>
      <c r="BJ253" s="388"/>
      <c r="BK253" s="388"/>
      <c r="BL253" s="388"/>
      <c r="BM253" s="388"/>
      <c r="BN253" s="388"/>
      <c r="BO253" s="388"/>
      <c r="BP253" s="388"/>
    </row>
    <row r="254" spans="1:68" s="479" customFormat="1" x14ac:dyDescent="0.2">
      <c r="A254" s="477"/>
      <c r="B254" s="388"/>
      <c r="C254" s="388"/>
      <c r="D254" s="388"/>
      <c r="E254" s="388"/>
      <c r="F254" s="388"/>
      <c r="G254" s="388"/>
      <c r="H254" s="388"/>
      <c r="I254" s="478"/>
      <c r="J254" s="191"/>
      <c r="K254" s="485"/>
      <c r="L254" s="2411"/>
      <c r="M254" s="2418"/>
      <c r="O254" s="478"/>
      <c r="P254" s="481"/>
      <c r="Q254" s="482"/>
      <c r="R254" s="480"/>
      <c r="S254" s="480"/>
      <c r="T254" s="480"/>
      <c r="U254" s="493"/>
      <c r="V254" s="493"/>
      <c r="W254" s="493"/>
      <c r="X254" s="484"/>
      <c r="Y254" s="480"/>
      <c r="Z254" s="388"/>
      <c r="AA254" s="388"/>
      <c r="AB254" s="388"/>
      <c r="AC254" s="388"/>
      <c r="AD254" s="388"/>
      <c r="AE254" s="388"/>
      <c r="AF254" s="388"/>
      <c r="AG254" s="388"/>
      <c r="AH254" s="388"/>
      <c r="AI254" s="388"/>
      <c r="AJ254" s="388"/>
      <c r="AK254" s="388"/>
      <c r="AL254" s="388"/>
      <c r="AM254" s="388"/>
      <c r="AN254" s="388"/>
      <c r="AO254" s="388"/>
      <c r="AP254" s="388"/>
      <c r="AQ254" s="388"/>
      <c r="AR254" s="388"/>
      <c r="AS254" s="388"/>
      <c r="AT254" s="388"/>
      <c r="AU254" s="388"/>
      <c r="AV254" s="388"/>
      <c r="AW254" s="388"/>
      <c r="AX254" s="388"/>
      <c r="AY254" s="388"/>
      <c r="AZ254" s="388"/>
      <c r="BA254" s="388"/>
      <c r="BB254" s="388"/>
      <c r="BC254" s="388"/>
      <c r="BD254" s="388"/>
      <c r="BE254" s="388"/>
      <c r="BF254" s="388"/>
      <c r="BG254" s="388"/>
      <c r="BH254" s="388"/>
      <c r="BI254" s="2414"/>
      <c r="BJ254" s="388"/>
      <c r="BK254" s="388"/>
      <c r="BL254" s="388"/>
      <c r="BM254" s="388"/>
      <c r="BN254" s="388"/>
      <c r="BO254" s="388"/>
      <c r="BP254" s="388"/>
    </row>
  </sheetData>
  <sheetProtection password="A60F" sheet="1" objects="1" scenarios="1"/>
  <mergeCells count="769">
    <mergeCell ref="BL70:BL72"/>
    <mergeCell ref="BM70:BM72"/>
    <mergeCell ref="BN70:BN72"/>
    <mergeCell ref="BO70:BO72"/>
    <mergeCell ref="BP70:BP72"/>
    <mergeCell ref="T71:T72"/>
    <mergeCell ref="BE70:BE72"/>
    <mergeCell ref="BF70:BF72"/>
    <mergeCell ref="BG70:BG72"/>
    <mergeCell ref="BH70:BH72"/>
    <mergeCell ref="BI70:BI72"/>
    <mergeCell ref="BK70:BK72"/>
    <mergeCell ref="AY70:AY72"/>
    <mergeCell ref="AZ70:AZ72"/>
    <mergeCell ref="BA70:BA72"/>
    <mergeCell ref="BB70:BB72"/>
    <mergeCell ref="BC70:BC72"/>
    <mergeCell ref="BD70:BD72"/>
    <mergeCell ref="AS70:AS72"/>
    <mergeCell ref="AT70:AT72"/>
    <mergeCell ref="AU70:AU72"/>
    <mergeCell ref="AV70:AV72"/>
    <mergeCell ref="AW70:AW72"/>
    <mergeCell ref="AX70:AX72"/>
    <mergeCell ref="AM70:AM72"/>
    <mergeCell ref="AN70:AN72"/>
    <mergeCell ref="AO70:AO72"/>
    <mergeCell ref="AP70:AP72"/>
    <mergeCell ref="AQ70:AQ72"/>
    <mergeCell ref="AR70:AR72"/>
    <mergeCell ref="AG70:AG72"/>
    <mergeCell ref="AH70:AH72"/>
    <mergeCell ref="AI70:AI72"/>
    <mergeCell ref="AJ70:AJ72"/>
    <mergeCell ref="AK70:AK72"/>
    <mergeCell ref="AL70:AL72"/>
    <mergeCell ref="AA70:AA72"/>
    <mergeCell ref="AB70:AB72"/>
    <mergeCell ref="AC70:AC72"/>
    <mergeCell ref="AD70:AD72"/>
    <mergeCell ref="AE70:AE72"/>
    <mergeCell ref="AF70:AF72"/>
    <mergeCell ref="O70:O72"/>
    <mergeCell ref="P70:P72"/>
    <mergeCell ref="Q70:Q72"/>
    <mergeCell ref="R70:R72"/>
    <mergeCell ref="S70:S72"/>
    <mergeCell ref="Z70:Z72"/>
    <mergeCell ref="I70:I72"/>
    <mergeCell ref="J70:J72"/>
    <mergeCell ref="K70:K72"/>
    <mergeCell ref="L70:L72"/>
    <mergeCell ref="M70:M72"/>
    <mergeCell ref="N70:N72"/>
    <mergeCell ref="BL68:BL69"/>
    <mergeCell ref="BM68:BM69"/>
    <mergeCell ref="BN68:BN69"/>
    <mergeCell ref="AX68:AX69"/>
    <mergeCell ref="AM68:AM69"/>
    <mergeCell ref="AN68:AN69"/>
    <mergeCell ref="AO68:AO69"/>
    <mergeCell ref="AP68:AP69"/>
    <mergeCell ref="AQ68:AQ69"/>
    <mergeCell ref="AR68:AR69"/>
    <mergeCell ref="AG68:AG69"/>
    <mergeCell ref="AH68:AH69"/>
    <mergeCell ref="AI68:AI69"/>
    <mergeCell ref="AJ68:AJ69"/>
    <mergeCell ref="AK68:AK69"/>
    <mergeCell ref="AL68:AL69"/>
    <mergeCell ref="AA68:AA69"/>
    <mergeCell ref="AB68:AB69"/>
    <mergeCell ref="BO68:BO69"/>
    <mergeCell ref="BP68:BP69"/>
    <mergeCell ref="D70:D72"/>
    <mergeCell ref="E70:E72"/>
    <mergeCell ref="F70:F72"/>
    <mergeCell ref="G70:G72"/>
    <mergeCell ref="H70:H72"/>
    <mergeCell ref="BE68:BE69"/>
    <mergeCell ref="BF68:BF69"/>
    <mergeCell ref="BG68:BG69"/>
    <mergeCell ref="BH68:BH69"/>
    <mergeCell ref="BI68:BI69"/>
    <mergeCell ref="BK68:BK69"/>
    <mergeCell ref="AY68:AY69"/>
    <mergeCell ref="AZ68:AZ69"/>
    <mergeCell ref="BA68:BA69"/>
    <mergeCell ref="BB68:BB69"/>
    <mergeCell ref="BC68:BC69"/>
    <mergeCell ref="BD68:BD69"/>
    <mergeCell ref="AS68:AS69"/>
    <mergeCell ref="AT68:AT69"/>
    <mergeCell ref="AU68:AU69"/>
    <mergeCell ref="AV68:AV69"/>
    <mergeCell ref="AW68:AW69"/>
    <mergeCell ref="AC68:AC69"/>
    <mergeCell ref="AD68:AD69"/>
    <mergeCell ref="AE68:AE69"/>
    <mergeCell ref="AF68:AF69"/>
    <mergeCell ref="P68:P69"/>
    <mergeCell ref="Q68:Q69"/>
    <mergeCell ref="R68:R69"/>
    <mergeCell ref="S68:S69"/>
    <mergeCell ref="T68:T69"/>
    <mergeCell ref="Z68:Z69"/>
    <mergeCell ref="J68:J69"/>
    <mergeCell ref="K68:K69"/>
    <mergeCell ref="L68:L69"/>
    <mergeCell ref="M68:M69"/>
    <mergeCell ref="N68:N69"/>
    <mergeCell ref="O68:O69"/>
    <mergeCell ref="D68:D69"/>
    <mergeCell ref="E68:E69"/>
    <mergeCell ref="F68:F69"/>
    <mergeCell ref="G68:G69"/>
    <mergeCell ref="H68:H69"/>
    <mergeCell ref="I68:I69"/>
    <mergeCell ref="BK63:BK65"/>
    <mergeCell ref="BL63:BL65"/>
    <mergeCell ref="BM63:BM65"/>
    <mergeCell ref="BN63:BN65"/>
    <mergeCell ref="BO63:BO65"/>
    <mergeCell ref="BP63:BP65"/>
    <mergeCell ref="BE63:BE65"/>
    <mergeCell ref="BF63:BF65"/>
    <mergeCell ref="BG63:BG65"/>
    <mergeCell ref="BH63:BH65"/>
    <mergeCell ref="BI63:BI65"/>
    <mergeCell ref="BJ63:BJ65"/>
    <mergeCell ref="AY63:AY65"/>
    <mergeCell ref="AZ63:AZ65"/>
    <mergeCell ref="BA63:BA65"/>
    <mergeCell ref="BB63:BB65"/>
    <mergeCell ref="BC63:BC65"/>
    <mergeCell ref="BD63:BD65"/>
    <mergeCell ref="AS63:AS65"/>
    <mergeCell ref="AT63:AT65"/>
    <mergeCell ref="AU63:AU65"/>
    <mergeCell ref="AV63:AV65"/>
    <mergeCell ref="AW63:AW65"/>
    <mergeCell ref="AX63:AX65"/>
    <mergeCell ref="AM63:AM65"/>
    <mergeCell ref="AN63:AN65"/>
    <mergeCell ref="AO63:AO65"/>
    <mergeCell ref="AP63:AP65"/>
    <mergeCell ref="AQ63:AQ65"/>
    <mergeCell ref="AR63:AR65"/>
    <mergeCell ref="AG63:AG65"/>
    <mergeCell ref="AH63:AH65"/>
    <mergeCell ref="AI63:AI65"/>
    <mergeCell ref="AJ63:AJ65"/>
    <mergeCell ref="AK63:AK65"/>
    <mergeCell ref="AL63:AL65"/>
    <mergeCell ref="AA63:AA65"/>
    <mergeCell ref="AB63:AB65"/>
    <mergeCell ref="AC63:AC65"/>
    <mergeCell ref="AD63:AD65"/>
    <mergeCell ref="AE63:AE65"/>
    <mergeCell ref="AF63:AF65"/>
    <mergeCell ref="P63:P65"/>
    <mergeCell ref="Q63:Q65"/>
    <mergeCell ref="R63:R65"/>
    <mergeCell ref="S63:S65"/>
    <mergeCell ref="T63:T64"/>
    <mergeCell ref="Z63:Z65"/>
    <mergeCell ref="BM61:BM62"/>
    <mergeCell ref="BN61:BN62"/>
    <mergeCell ref="BO61:BO62"/>
    <mergeCell ref="BP61:BP62"/>
    <mergeCell ref="G63:G64"/>
    <mergeCell ref="H63:H64"/>
    <mergeCell ref="I63:I64"/>
    <mergeCell ref="M63:M65"/>
    <mergeCell ref="N63:N65"/>
    <mergeCell ref="O63:O65"/>
    <mergeCell ref="BG61:BG62"/>
    <mergeCell ref="BH61:BH62"/>
    <mergeCell ref="BI61:BI62"/>
    <mergeCell ref="BJ61:BJ62"/>
    <mergeCell ref="BK61:BK62"/>
    <mergeCell ref="BL61:BL62"/>
    <mergeCell ref="BA61:BA62"/>
    <mergeCell ref="BB61:BB62"/>
    <mergeCell ref="BC61:BC62"/>
    <mergeCell ref="BD61:BD62"/>
    <mergeCell ref="BE61:BE62"/>
    <mergeCell ref="BF61:BF62"/>
    <mergeCell ref="AU61:AU62"/>
    <mergeCell ref="AV61:AV62"/>
    <mergeCell ref="AW61:AW62"/>
    <mergeCell ref="AX61:AX62"/>
    <mergeCell ref="AY61:AY62"/>
    <mergeCell ref="AZ61:AZ62"/>
    <mergeCell ref="AO61:AO62"/>
    <mergeCell ref="AP61:AP62"/>
    <mergeCell ref="AQ61:AQ62"/>
    <mergeCell ref="AR61:AR62"/>
    <mergeCell ref="AS61:AS62"/>
    <mergeCell ref="AT61:AT62"/>
    <mergeCell ref="AI61:AI62"/>
    <mergeCell ref="AJ61:AJ62"/>
    <mergeCell ref="AK61:AK62"/>
    <mergeCell ref="AL61:AL62"/>
    <mergeCell ref="AM61:AM62"/>
    <mergeCell ref="AN61:AN62"/>
    <mergeCell ref="AC61:AC62"/>
    <mergeCell ref="AD61:AD62"/>
    <mergeCell ref="AE61:AE62"/>
    <mergeCell ref="AF61:AF62"/>
    <mergeCell ref="AG61:AG62"/>
    <mergeCell ref="AH61:AH62"/>
    <mergeCell ref="W61:W62"/>
    <mergeCell ref="X61:X62"/>
    <mergeCell ref="Y61:Y62"/>
    <mergeCell ref="Z61:Z62"/>
    <mergeCell ref="AA61:AA62"/>
    <mergeCell ref="AB61:AB62"/>
    <mergeCell ref="Q61:Q62"/>
    <mergeCell ref="R61:R62"/>
    <mergeCell ref="S61:S62"/>
    <mergeCell ref="T61:T62"/>
    <mergeCell ref="U61:U62"/>
    <mergeCell ref="V61:V62"/>
    <mergeCell ref="BO58:BO60"/>
    <mergeCell ref="BP58:BP60"/>
    <mergeCell ref="T59:T60"/>
    <mergeCell ref="G61:G62"/>
    <mergeCell ref="H61:H62"/>
    <mergeCell ref="I61:I62"/>
    <mergeCell ref="M61:M62"/>
    <mergeCell ref="N61:N62"/>
    <mergeCell ref="O61:O62"/>
    <mergeCell ref="P61:P62"/>
    <mergeCell ref="BH58:BH60"/>
    <mergeCell ref="BI58:BI60"/>
    <mergeCell ref="BK58:BK60"/>
    <mergeCell ref="BL58:BL60"/>
    <mergeCell ref="BM58:BM60"/>
    <mergeCell ref="BN58:BN60"/>
    <mergeCell ref="BB58:BB60"/>
    <mergeCell ref="BC58:BC60"/>
    <mergeCell ref="BD58:BD60"/>
    <mergeCell ref="BE58:BE60"/>
    <mergeCell ref="BF58:BF60"/>
    <mergeCell ref="BG58:BG60"/>
    <mergeCell ref="AV58:AV60"/>
    <mergeCell ref="AW58:AW60"/>
    <mergeCell ref="AX58:AX60"/>
    <mergeCell ref="AY58:AY60"/>
    <mergeCell ref="AZ58:AZ60"/>
    <mergeCell ref="BA58:BA60"/>
    <mergeCell ref="AP58:AP60"/>
    <mergeCell ref="AQ58:AQ60"/>
    <mergeCell ref="AR58:AR60"/>
    <mergeCell ref="AS58:AS60"/>
    <mergeCell ref="AT58:AT60"/>
    <mergeCell ref="AU58:AU60"/>
    <mergeCell ref="AJ58:AJ60"/>
    <mergeCell ref="AK58:AK60"/>
    <mergeCell ref="AL58:AL60"/>
    <mergeCell ref="AM58:AM60"/>
    <mergeCell ref="AN58:AN60"/>
    <mergeCell ref="AO58:AO60"/>
    <mergeCell ref="AD58:AD60"/>
    <mergeCell ref="AE58:AE60"/>
    <mergeCell ref="AF58:AF60"/>
    <mergeCell ref="AG58:AG60"/>
    <mergeCell ref="AH58:AH60"/>
    <mergeCell ref="AI58:AI60"/>
    <mergeCell ref="R58:R60"/>
    <mergeCell ref="S58:S60"/>
    <mergeCell ref="Z58:Z60"/>
    <mergeCell ref="AA58:AA60"/>
    <mergeCell ref="AB58:AB60"/>
    <mergeCell ref="AC58:AC60"/>
    <mergeCell ref="L58:L60"/>
    <mergeCell ref="M58:M60"/>
    <mergeCell ref="N58:N60"/>
    <mergeCell ref="O58:O60"/>
    <mergeCell ref="P58:P60"/>
    <mergeCell ref="Q58:Q60"/>
    <mergeCell ref="BL56:BL57"/>
    <mergeCell ref="BM56:BM57"/>
    <mergeCell ref="BN56:BN57"/>
    <mergeCell ref="BO56:BO57"/>
    <mergeCell ref="BP56:BP57"/>
    <mergeCell ref="G58:G60"/>
    <mergeCell ref="H58:H60"/>
    <mergeCell ref="I58:I60"/>
    <mergeCell ref="J58:J60"/>
    <mergeCell ref="K58:K60"/>
    <mergeCell ref="BE56:BE57"/>
    <mergeCell ref="BF56:BF57"/>
    <mergeCell ref="BG56:BG57"/>
    <mergeCell ref="BH56:BH57"/>
    <mergeCell ref="BI56:BI57"/>
    <mergeCell ref="BK56:BK57"/>
    <mergeCell ref="AY56:AY57"/>
    <mergeCell ref="AZ56:AZ57"/>
    <mergeCell ref="BA56:BA57"/>
    <mergeCell ref="BB56:BB57"/>
    <mergeCell ref="BC56:BC57"/>
    <mergeCell ref="BD56:BD57"/>
    <mergeCell ref="AS56:AS57"/>
    <mergeCell ref="AT56:AT57"/>
    <mergeCell ref="AU56:AU57"/>
    <mergeCell ref="AV56:AV57"/>
    <mergeCell ref="AW56:AW57"/>
    <mergeCell ref="AX56:AX57"/>
    <mergeCell ref="AM56:AM57"/>
    <mergeCell ref="AN56:AN57"/>
    <mergeCell ref="AO56:AO57"/>
    <mergeCell ref="AP56:AP57"/>
    <mergeCell ref="AQ56:AQ57"/>
    <mergeCell ref="AR56:AR57"/>
    <mergeCell ref="AG56:AG57"/>
    <mergeCell ref="AH56:AH57"/>
    <mergeCell ref="AI56:AI57"/>
    <mergeCell ref="AJ56:AJ57"/>
    <mergeCell ref="AK56:AK57"/>
    <mergeCell ref="AL56:AL57"/>
    <mergeCell ref="AA56:AA57"/>
    <mergeCell ref="AB56:AB57"/>
    <mergeCell ref="AC56:AC57"/>
    <mergeCell ref="AD56:AD57"/>
    <mergeCell ref="AE56:AE57"/>
    <mergeCell ref="AF56:AF57"/>
    <mergeCell ref="O56:O57"/>
    <mergeCell ref="P56:P57"/>
    <mergeCell ref="Q56:Q57"/>
    <mergeCell ref="R56:R57"/>
    <mergeCell ref="S56:S57"/>
    <mergeCell ref="Z56:Z57"/>
    <mergeCell ref="BO54:BO55"/>
    <mergeCell ref="BP54:BP55"/>
    <mergeCell ref="G56:G57"/>
    <mergeCell ref="H56:H57"/>
    <mergeCell ref="I56:I57"/>
    <mergeCell ref="J56:J57"/>
    <mergeCell ref="K56:K57"/>
    <mergeCell ref="L56:L57"/>
    <mergeCell ref="M56:M57"/>
    <mergeCell ref="N56:N57"/>
    <mergeCell ref="BI54:BI55"/>
    <mergeCell ref="BJ54:BJ55"/>
    <mergeCell ref="BK54:BK55"/>
    <mergeCell ref="BL54:BL55"/>
    <mergeCell ref="BM54:BM55"/>
    <mergeCell ref="BN54:BN55"/>
    <mergeCell ref="BC54:BC55"/>
    <mergeCell ref="BD54:BD55"/>
    <mergeCell ref="BE54:BE55"/>
    <mergeCell ref="BF54:BF55"/>
    <mergeCell ref="BG54:BG55"/>
    <mergeCell ref="BH54:BH55"/>
    <mergeCell ref="AW54:AW55"/>
    <mergeCell ref="AX54:AX55"/>
    <mergeCell ref="AY54:AY55"/>
    <mergeCell ref="AZ54:AZ55"/>
    <mergeCell ref="BA54:BA55"/>
    <mergeCell ref="BB54:BB55"/>
    <mergeCell ref="AQ54:AQ55"/>
    <mergeCell ref="AR54:AR55"/>
    <mergeCell ref="AS54:AS55"/>
    <mergeCell ref="AT54:AT55"/>
    <mergeCell ref="AU54:AU55"/>
    <mergeCell ref="AV54:AV55"/>
    <mergeCell ref="AK54:AK55"/>
    <mergeCell ref="AL54:AL55"/>
    <mergeCell ref="AM54:AM55"/>
    <mergeCell ref="AN54:AN55"/>
    <mergeCell ref="AO54:AO55"/>
    <mergeCell ref="AP54:AP55"/>
    <mergeCell ref="AE54:AE55"/>
    <mergeCell ref="AF54:AF55"/>
    <mergeCell ref="AG54:AG55"/>
    <mergeCell ref="AH54:AH55"/>
    <mergeCell ref="AI54:AI55"/>
    <mergeCell ref="AJ54:AJ55"/>
    <mergeCell ref="S54:S55"/>
    <mergeCell ref="Z54:Z55"/>
    <mergeCell ref="AA54:AA55"/>
    <mergeCell ref="AB54:AB55"/>
    <mergeCell ref="AC54:AC55"/>
    <mergeCell ref="AD54:AD55"/>
    <mergeCell ref="M54:M55"/>
    <mergeCell ref="N54:N55"/>
    <mergeCell ref="O54:O55"/>
    <mergeCell ref="P54:P55"/>
    <mergeCell ref="Q54:Q55"/>
    <mergeCell ref="R54:R55"/>
    <mergeCell ref="G54:G55"/>
    <mergeCell ref="H54:H55"/>
    <mergeCell ref="I54:I55"/>
    <mergeCell ref="J54:J55"/>
    <mergeCell ref="K54:K55"/>
    <mergeCell ref="L54:L55"/>
    <mergeCell ref="G49:G53"/>
    <mergeCell ref="H49:H53"/>
    <mergeCell ref="I49:I53"/>
    <mergeCell ref="J49:J53"/>
    <mergeCell ref="K49:K53"/>
    <mergeCell ref="L49:L53"/>
    <mergeCell ref="P49:P53"/>
    <mergeCell ref="T49:T53"/>
    <mergeCell ref="R39:R53"/>
    <mergeCell ref="S39:S53"/>
    <mergeCell ref="BO39:BO53"/>
    <mergeCell ref="BP39:BP53"/>
    <mergeCell ref="G44:G48"/>
    <mergeCell ref="H44:H48"/>
    <mergeCell ref="I44:I48"/>
    <mergeCell ref="J44:J48"/>
    <mergeCell ref="K44:K48"/>
    <mergeCell ref="L44:L48"/>
    <mergeCell ref="P44:P48"/>
    <mergeCell ref="T45:T46"/>
    <mergeCell ref="BH39:BH53"/>
    <mergeCell ref="BI39:BI53"/>
    <mergeCell ref="BK39:BK53"/>
    <mergeCell ref="BL39:BL53"/>
    <mergeCell ref="BM39:BM53"/>
    <mergeCell ref="BN39:BN53"/>
    <mergeCell ref="BB39:BB53"/>
    <mergeCell ref="BC39:BC53"/>
    <mergeCell ref="BD39:BD53"/>
    <mergeCell ref="BE39:BE53"/>
    <mergeCell ref="BF39:BF53"/>
    <mergeCell ref="BG39:BG53"/>
    <mergeCell ref="AV39:AV53"/>
    <mergeCell ref="AW39:AW53"/>
    <mergeCell ref="AX39:AX53"/>
    <mergeCell ref="AY39:AY53"/>
    <mergeCell ref="AZ39:AZ53"/>
    <mergeCell ref="BA39:BA53"/>
    <mergeCell ref="AP39:AP53"/>
    <mergeCell ref="AQ39:AQ53"/>
    <mergeCell ref="AR39:AR53"/>
    <mergeCell ref="AS39:AS53"/>
    <mergeCell ref="AT39:AT53"/>
    <mergeCell ref="AU39:AU53"/>
    <mergeCell ref="AJ39:AJ53"/>
    <mergeCell ref="AK39:AK53"/>
    <mergeCell ref="AL39:AL53"/>
    <mergeCell ref="AM39:AM53"/>
    <mergeCell ref="AN39:AN53"/>
    <mergeCell ref="AO39:AO53"/>
    <mergeCell ref="AD39:AD53"/>
    <mergeCell ref="AE39:AE53"/>
    <mergeCell ref="AF39:AF53"/>
    <mergeCell ref="AG39:AG53"/>
    <mergeCell ref="AH39:AH53"/>
    <mergeCell ref="AI39:AI53"/>
    <mergeCell ref="Z39:Z53"/>
    <mergeCell ref="AA39:AA53"/>
    <mergeCell ref="AB39:AB53"/>
    <mergeCell ref="AC39:AC53"/>
    <mergeCell ref="U45:U46"/>
    <mergeCell ref="V45:V46"/>
    <mergeCell ref="W45:W46"/>
    <mergeCell ref="X45:X46"/>
    <mergeCell ref="L39:L40"/>
    <mergeCell ref="M39:M53"/>
    <mergeCell ref="N39:N53"/>
    <mergeCell ref="O39:O53"/>
    <mergeCell ref="P39:P40"/>
    <mergeCell ref="Q39:Q53"/>
    <mergeCell ref="Y45:Y46"/>
    <mergeCell ref="T47:T48"/>
    <mergeCell ref="BL34:BL38"/>
    <mergeCell ref="BM34:BM38"/>
    <mergeCell ref="BN34:BN38"/>
    <mergeCell ref="BO34:BO38"/>
    <mergeCell ref="BP34:BP38"/>
    <mergeCell ref="G39:G40"/>
    <mergeCell ref="H39:H40"/>
    <mergeCell ref="I39:I40"/>
    <mergeCell ref="J39:J40"/>
    <mergeCell ref="K39:K40"/>
    <mergeCell ref="BF34:BF38"/>
    <mergeCell ref="BG34:BG38"/>
    <mergeCell ref="BH34:BH38"/>
    <mergeCell ref="BI34:BI38"/>
    <mergeCell ref="BJ34:BJ38"/>
    <mergeCell ref="BK34:BK38"/>
    <mergeCell ref="AZ34:AZ38"/>
    <mergeCell ref="BA34:BA38"/>
    <mergeCell ref="BB34:BB38"/>
    <mergeCell ref="BC34:BC38"/>
    <mergeCell ref="BD34:BD38"/>
    <mergeCell ref="BE34:BE38"/>
    <mergeCell ref="AT34:AT38"/>
    <mergeCell ref="AU34:AU38"/>
    <mergeCell ref="AV34:AV38"/>
    <mergeCell ref="AW34:AW38"/>
    <mergeCell ref="AX34:AX38"/>
    <mergeCell ref="AY34:AY38"/>
    <mergeCell ref="AN34:AN38"/>
    <mergeCell ref="AO34:AO38"/>
    <mergeCell ref="AP34:AP38"/>
    <mergeCell ref="AQ34:AQ38"/>
    <mergeCell ref="AR34:AR38"/>
    <mergeCell ref="AS34:AS38"/>
    <mergeCell ref="AH34:AH38"/>
    <mergeCell ref="AI34:AI38"/>
    <mergeCell ref="AJ34:AJ38"/>
    <mergeCell ref="AK34:AK38"/>
    <mergeCell ref="AL34:AL38"/>
    <mergeCell ref="AM34:AM38"/>
    <mergeCell ref="AB34:AB38"/>
    <mergeCell ref="AC34:AC38"/>
    <mergeCell ref="AD34:AD38"/>
    <mergeCell ref="AE34:AE38"/>
    <mergeCell ref="AF34:AF38"/>
    <mergeCell ref="AG34:AG38"/>
    <mergeCell ref="R34:R38"/>
    <mergeCell ref="S34:S38"/>
    <mergeCell ref="X34:X38"/>
    <mergeCell ref="Y34:Y38"/>
    <mergeCell ref="Z34:Z38"/>
    <mergeCell ref="AA34:AA38"/>
    <mergeCell ref="L34:L38"/>
    <mergeCell ref="M34:M38"/>
    <mergeCell ref="N34:N38"/>
    <mergeCell ref="O34:O38"/>
    <mergeCell ref="P34:P38"/>
    <mergeCell ref="Q34:Q38"/>
    <mergeCell ref="BL30:BL33"/>
    <mergeCell ref="BM30:BM33"/>
    <mergeCell ref="BN30:BN33"/>
    <mergeCell ref="BO30:BO33"/>
    <mergeCell ref="BP30:BP33"/>
    <mergeCell ref="G34:G38"/>
    <mergeCell ref="H34:H38"/>
    <mergeCell ref="I34:I38"/>
    <mergeCell ref="J34:J38"/>
    <mergeCell ref="K34:K38"/>
    <mergeCell ref="BE30:BE33"/>
    <mergeCell ref="BF30:BF33"/>
    <mergeCell ref="BG30:BG33"/>
    <mergeCell ref="BH30:BH33"/>
    <mergeCell ref="BI30:BI33"/>
    <mergeCell ref="BK30:BK33"/>
    <mergeCell ref="AY30:AY33"/>
    <mergeCell ref="AZ30:AZ33"/>
    <mergeCell ref="BA30:BA33"/>
    <mergeCell ref="BB30:BB33"/>
    <mergeCell ref="BC30:BC33"/>
    <mergeCell ref="BD30:BD33"/>
    <mergeCell ref="AS30:AS33"/>
    <mergeCell ref="AT30:AT33"/>
    <mergeCell ref="AU30:AU33"/>
    <mergeCell ref="AV30:AV33"/>
    <mergeCell ref="AW30:AW33"/>
    <mergeCell ref="AX30:AX33"/>
    <mergeCell ref="AM30:AM33"/>
    <mergeCell ref="AN30:AN33"/>
    <mergeCell ref="AO30:AO33"/>
    <mergeCell ref="AP30:AP33"/>
    <mergeCell ref="AQ30:AQ33"/>
    <mergeCell ref="AR30:AR33"/>
    <mergeCell ref="AG30:AG33"/>
    <mergeCell ref="AH30:AH33"/>
    <mergeCell ref="AI30:AI33"/>
    <mergeCell ref="AJ30:AJ33"/>
    <mergeCell ref="AK30:AK33"/>
    <mergeCell ref="AL30:AL33"/>
    <mergeCell ref="AA30:AA33"/>
    <mergeCell ref="AB30:AB33"/>
    <mergeCell ref="AC30:AC33"/>
    <mergeCell ref="AD30:AD33"/>
    <mergeCell ref="AE30:AE33"/>
    <mergeCell ref="AF30:AF33"/>
    <mergeCell ref="P30:P33"/>
    <mergeCell ref="Q30:Q33"/>
    <mergeCell ref="R30:R33"/>
    <mergeCell ref="S30:S33"/>
    <mergeCell ref="T30:T31"/>
    <mergeCell ref="Z30:Z33"/>
    <mergeCell ref="BP28:BP29"/>
    <mergeCell ref="G30:G33"/>
    <mergeCell ref="H30:H33"/>
    <mergeCell ref="I30:I33"/>
    <mergeCell ref="J30:J33"/>
    <mergeCell ref="K30:K33"/>
    <mergeCell ref="L30:L33"/>
    <mergeCell ref="M30:M33"/>
    <mergeCell ref="N30:N33"/>
    <mergeCell ref="O30:O33"/>
    <mergeCell ref="BJ28:BJ29"/>
    <mergeCell ref="BK28:BK29"/>
    <mergeCell ref="BL28:BL29"/>
    <mergeCell ref="BM28:BM29"/>
    <mergeCell ref="BN28:BN29"/>
    <mergeCell ref="BO28:BO29"/>
    <mergeCell ref="BD28:BD29"/>
    <mergeCell ref="BE28:BE29"/>
    <mergeCell ref="BF28:BF29"/>
    <mergeCell ref="BG28:BG29"/>
    <mergeCell ref="BH28:BH29"/>
    <mergeCell ref="BI28:BI29"/>
    <mergeCell ref="AX28:AX29"/>
    <mergeCell ref="AY28:AY29"/>
    <mergeCell ref="AZ28:AZ29"/>
    <mergeCell ref="BA28:BA29"/>
    <mergeCell ref="BB28:BB29"/>
    <mergeCell ref="BC28:BC29"/>
    <mergeCell ref="AR28:AR29"/>
    <mergeCell ref="AS28:AS29"/>
    <mergeCell ref="AT28:AT29"/>
    <mergeCell ref="AU28:AU29"/>
    <mergeCell ref="AV28:AV29"/>
    <mergeCell ref="AW28:AW29"/>
    <mergeCell ref="AL28:AL29"/>
    <mergeCell ref="AM28:AM29"/>
    <mergeCell ref="AN28:AN29"/>
    <mergeCell ref="AO28:AO29"/>
    <mergeCell ref="AP28:AP29"/>
    <mergeCell ref="AQ28:AQ29"/>
    <mergeCell ref="AF28:AF29"/>
    <mergeCell ref="AG28:AG29"/>
    <mergeCell ref="AH28:AH29"/>
    <mergeCell ref="AI28:AI29"/>
    <mergeCell ref="AJ28:AJ29"/>
    <mergeCell ref="AK28:AK29"/>
    <mergeCell ref="Z28:Z29"/>
    <mergeCell ref="AA28:AA29"/>
    <mergeCell ref="AB28:AB29"/>
    <mergeCell ref="AC28:AC29"/>
    <mergeCell ref="AD28:AD29"/>
    <mergeCell ref="AE28:AE29"/>
    <mergeCell ref="M28:M29"/>
    <mergeCell ref="N28:N29"/>
    <mergeCell ref="O28:O29"/>
    <mergeCell ref="Q28:Q29"/>
    <mergeCell ref="R28:R29"/>
    <mergeCell ref="S28:S29"/>
    <mergeCell ref="X16:X17"/>
    <mergeCell ref="Y16:Y17"/>
    <mergeCell ref="T20:T27"/>
    <mergeCell ref="U20:U21"/>
    <mergeCell ref="V20:V21"/>
    <mergeCell ref="W20:W21"/>
    <mergeCell ref="X20:X21"/>
    <mergeCell ref="Y20:Y21"/>
    <mergeCell ref="N12:N27"/>
    <mergeCell ref="O12:O27"/>
    <mergeCell ref="P12:P15"/>
    <mergeCell ref="Q12:Q27"/>
    <mergeCell ref="R12:R27"/>
    <mergeCell ref="S12:S27"/>
    <mergeCell ref="P16:P27"/>
    <mergeCell ref="BB12:BB27"/>
    <mergeCell ref="AQ12:AQ27"/>
    <mergeCell ref="AR12:AR27"/>
    <mergeCell ref="AS12:AS27"/>
    <mergeCell ref="AT12:AT27"/>
    <mergeCell ref="AU12:AU27"/>
    <mergeCell ref="AV12:AV27"/>
    <mergeCell ref="AK12:AK27"/>
    <mergeCell ref="AL12:AL27"/>
    <mergeCell ref="AM12:AM27"/>
    <mergeCell ref="BN12:BN27"/>
    <mergeCell ref="BO12:BO27"/>
    <mergeCell ref="BP12:BP27"/>
    <mergeCell ref="BC12:BC27"/>
    <mergeCell ref="BD12:BD27"/>
    <mergeCell ref="BE12:BE27"/>
    <mergeCell ref="BF12:BF27"/>
    <mergeCell ref="BG12:BG27"/>
    <mergeCell ref="BH12:BH27"/>
    <mergeCell ref="BI12:BI27"/>
    <mergeCell ref="BL12:BL27"/>
    <mergeCell ref="BM12:BM27"/>
    <mergeCell ref="BF7:BK7"/>
    <mergeCell ref="T12:T15"/>
    <mergeCell ref="Z12:Z27"/>
    <mergeCell ref="AA12:AA27"/>
    <mergeCell ref="AB12:AB27"/>
    <mergeCell ref="AC12:AC27"/>
    <mergeCell ref="AD12:AD27"/>
    <mergeCell ref="T16:T18"/>
    <mergeCell ref="U16:U17"/>
    <mergeCell ref="V16:V17"/>
    <mergeCell ref="W16:W17"/>
    <mergeCell ref="AN12:AN27"/>
    <mergeCell ref="AO12:AO27"/>
    <mergeCell ref="AP12:AP27"/>
    <mergeCell ref="AE12:AE27"/>
    <mergeCell ref="AF12:AF27"/>
    <mergeCell ref="AG12:AG27"/>
    <mergeCell ref="AH12:AH27"/>
    <mergeCell ref="AI12:AI27"/>
    <mergeCell ref="AJ12:AJ27"/>
    <mergeCell ref="AW12:AW27"/>
    <mergeCell ref="AX12:AX27"/>
    <mergeCell ref="AY12:AY27"/>
    <mergeCell ref="AZ12:AZ27"/>
    <mergeCell ref="G12:G15"/>
    <mergeCell ref="H12:H15"/>
    <mergeCell ref="I12:I15"/>
    <mergeCell ref="J12:J15"/>
    <mergeCell ref="K12:K15"/>
    <mergeCell ref="L12:L15"/>
    <mergeCell ref="M12:M27"/>
    <mergeCell ref="AX8:AY8"/>
    <mergeCell ref="AZ8:BA8"/>
    <mergeCell ref="AL8:AM8"/>
    <mergeCell ref="AN8:AO8"/>
    <mergeCell ref="AP8:AQ8"/>
    <mergeCell ref="AR8:AS8"/>
    <mergeCell ref="AT8:AU8"/>
    <mergeCell ref="AV8:AW8"/>
    <mergeCell ref="G16:G27"/>
    <mergeCell ref="H16:H27"/>
    <mergeCell ref="I16:I27"/>
    <mergeCell ref="J16:J27"/>
    <mergeCell ref="K16:K27"/>
    <mergeCell ref="L16:L27"/>
    <mergeCell ref="BA12:BA27"/>
    <mergeCell ref="BP7:BP9"/>
    <mergeCell ref="U8:U9"/>
    <mergeCell ref="V8:V9"/>
    <mergeCell ref="W8:W9"/>
    <mergeCell ref="Z8:AA8"/>
    <mergeCell ref="AB8:AC8"/>
    <mergeCell ref="X7:X9"/>
    <mergeCell ref="Y7:Y9"/>
    <mergeCell ref="Z7:AC7"/>
    <mergeCell ref="AD7:AK7"/>
    <mergeCell ref="AL7:AW7"/>
    <mergeCell ref="AX7:BC7"/>
    <mergeCell ref="AD8:AE8"/>
    <mergeCell ref="AF8:AG8"/>
    <mergeCell ref="AH8:AI8"/>
    <mergeCell ref="AJ8:AK8"/>
    <mergeCell ref="BI8:BI9"/>
    <mergeCell ref="BJ8:BJ9"/>
    <mergeCell ref="BK8:BK9"/>
    <mergeCell ref="BB8:BC8"/>
    <mergeCell ref="BF8:BF9"/>
    <mergeCell ref="BG8:BG9"/>
    <mergeCell ref="BH8:BH9"/>
    <mergeCell ref="BD7:BE8"/>
    <mergeCell ref="A1:BN4"/>
    <mergeCell ref="A5:K6"/>
    <mergeCell ref="M5:BP5"/>
    <mergeCell ref="Z6:BE6"/>
    <mergeCell ref="A7:A9"/>
    <mergeCell ref="B7:C9"/>
    <mergeCell ref="D7:D9"/>
    <mergeCell ref="E7:F9"/>
    <mergeCell ref="G7:G9"/>
    <mergeCell ref="H7:H9"/>
    <mergeCell ref="P7:P9"/>
    <mergeCell ref="Q7:Q9"/>
    <mergeCell ref="R7:R9"/>
    <mergeCell ref="S7:S9"/>
    <mergeCell ref="T7:T9"/>
    <mergeCell ref="U7:W7"/>
    <mergeCell ref="I7:I9"/>
    <mergeCell ref="J7:J9"/>
    <mergeCell ref="K7:L8"/>
    <mergeCell ref="M7:M9"/>
    <mergeCell ref="N7:N9"/>
    <mergeCell ref="O7:O9"/>
    <mergeCell ref="BL7:BM8"/>
    <mergeCell ref="BN7:BO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A200"/>
  <sheetViews>
    <sheetView showGridLines="0" zoomScale="60" zoomScaleNormal="60" workbookViewId="0">
      <selection sqref="A1:BL4"/>
    </sheetView>
  </sheetViews>
  <sheetFormatPr baseColWidth="10" defaultRowHeight="15" x14ac:dyDescent="0.25"/>
  <cols>
    <col min="1" max="1" width="16.7109375" customWidth="1"/>
    <col min="4" max="4" width="17.5703125" customWidth="1"/>
    <col min="7" max="7" width="18.140625" customWidth="1"/>
    <col min="8" max="8" width="16.7109375" customWidth="1"/>
    <col min="9" max="9" width="40.7109375" customWidth="1"/>
    <col min="10" max="10" width="44.140625" customWidth="1"/>
    <col min="13" max="13" width="38.42578125" customWidth="1"/>
    <col min="14" max="14" width="30.42578125" customWidth="1"/>
    <col min="15" max="15" width="44.28515625" customWidth="1"/>
    <col min="16" max="16" width="16.42578125" customWidth="1"/>
    <col min="17" max="17" width="31.140625" customWidth="1"/>
    <col min="18" max="18" width="41.5703125" customWidth="1"/>
    <col min="19" max="19" width="63.140625" customWidth="1"/>
    <col min="20" max="20" width="53.42578125" customWidth="1"/>
    <col min="21" max="21" width="30" customWidth="1"/>
    <col min="22" max="22" width="28.85546875" customWidth="1"/>
    <col min="23" max="23" width="31.5703125" customWidth="1"/>
    <col min="24" max="24" width="15.42578125" customWidth="1"/>
    <col min="25" max="25" width="20.7109375" customWidth="1"/>
    <col min="58" max="58" width="16.5703125" customWidth="1"/>
    <col min="59" max="59" width="29.140625" customWidth="1"/>
    <col min="60" max="60" width="28.7109375" bestFit="1" customWidth="1"/>
    <col min="61" max="61" width="18" customWidth="1"/>
    <col min="62" max="62" width="16.42578125" customWidth="1"/>
    <col min="63" max="63" width="20.42578125" customWidth="1"/>
    <col min="64" max="64" width="17.140625" customWidth="1"/>
    <col min="65" max="66" width="15.7109375" customWidth="1"/>
    <col min="67" max="67" width="18.28515625" customWidth="1"/>
    <col min="68" max="68" width="25.5703125" customWidth="1"/>
  </cols>
  <sheetData>
    <row r="1" spans="1:75" ht="18" customHeight="1" x14ac:dyDescent="0.25">
      <c r="A1" s="2518" t="s">
        <v>678</v>
      </c>
      <c r="B1" s="2519"/>
      <c r="C1" s="2519"/>
      <c r="D1" s="2519"/>
      <c r="E1" s="2519"/>
      <c r="F1" s="2519"/>
      <c r="G1" s="2519"/>
      <c r="H1" s="2519"/>
      <c r="I1" s="2519"/>
      <c r="J1" s="2519"/>
      <c r="K1" s="2519"/>
      <c r="L1" s="2519"/>
      <c r="M1" s="2519"/>
      <c r="N1" s="2519"/>
      <c r="O1" s="2519"/>
      <c r="P1" s="2519"/>
      <c r="Q1" s="2519"/>
      <c r="R1" s="2519"/>
      <c r="S1" s="2519"/>
      <c r="T1" s="2519"/>
      <c r="U1" s="2519"/>
      <c r="V1" s="2519"/>
      <c r="W1" s="2519"/>
      <c r="X1" s="2519"/>
      <c r="Y1" s="2519"/>
      <c r="Z1" s="2519"/>
      <c r="AA1" s="2519"/>
      <c r="AB1" s="2519"/>
      <c r="AC1" s="2519"/>
      <c r="AD1" s="2519"/>
      <c r="AE1" s="2519"/>
      <c r="AF1" s="2519"/>
      <c r="AG1" s="2519"/>
      <c r="AH1" s="2519"/>
      <c r="AI1" s="2519"/>
      <c r="AJ1" s="2519"/>
      <c r="AK1" s="2519"/>
      <c r="AL1" s="2519"/>
      <c r="AM1" s="2519"/>
      <c r="AN1" s="2519"/>
      <c r="AO1" s="2519"/>
      <c r="AP1" s="2519"/>
      <c r="AQ1" s="2519"/>
      <c r="AR1" s="2519"/>
      <c r="AS1" s="2519"/>
      <c r="AT1" s="2519"/>
      <c r="AU1" s="2519"/>
      <c r="AV1" s="2519"/>
      <c r="AW1" s="2519"/>
      <c r="AX1" s="2519"/>
      <c r="AY1" s="2519"/>
      <c r="AZ1" s="2519"/>
      <c r="BA1" s="2519"/>
      <c r="BB1" s="2519"/>
      <c r="BC1" s="2519"/>
      <c r="BD1" s="2519"/>
      <c r="BE1" s="2519"/>
      <c r="BF1" s="2519"/>
      <c r="BG1" s="2519"/>
      <c r="BH1" s="2519"/>
      <c r="BI1" s="2519"/>
      <c r="BJ1" s="2519"/>
      <c r="BK1" s="2519"/>
      <c r="BL1" s="2519"/>
      <c r="BM1" s="876"/>
      <c r="BO1" s="386" t="s">
        <v>1</v>
      </c>
      <c r="BP1" s="735" t="s">
        <v>2</v>
      </c>
      <c r="BQ1" s="191"/>
      <c r="BR1" s="191"/>
      <c r="BS1" s="191"/>
      <c r="BT1" s="191"/>
      <c r="BU1" s="191"/>
      <c r="BV1" s="191"/>
    </row>
    <row r="2" spans="1:75" x14ac:dyDescent="0.25">
      <c r="A2" s="2521"/>
      <c r="B2" s="2522"/>
      <c r="C2" s="2522"/>
      <c r="D2" s="2522"/>
      <c r="E2" s="2522"/>
      <c r="F2" s="2522"/>
      <c r="G2" s="2522"/>
      <c r="H2" s="2522"/>
      <c r="I2" s="2522"/>
      <c r="J2" s="2522"/>
      <c r="K2" s="2522"/>
      <c r="L2" s="2522"/>
      <c r="M2" s="2522"/>
      <c r="N2" s="2522"/>
      <c r="O2" s="2522"/>
      <c r="P2" s="2522"/>
      <c r="Q2" s="2522"/>
      <c r="R2" s="2522"/>
      <c r="S2" s="2522"/>
      <c r="T2" s="2522"/>
      <c r="U2" s="2522"/>
      <c r="V2" s="2522"/>
      <c r="W2" s="2522"/>
      <c r="X2" s="2522"/>
      <c r="Y2" s="2522"/>
      <c r="Z2" s="2522"/>
      <c r="AA2" s="2522"/>
      <c r="AB2" s="2522"/>
      <c r="AC2" s="2522"/>
      <c r="AD2" s="2522"/>
      <c r="AE2" s="2522"/>
      <c r="AF2" s="2522"/>
      <c r="AG2" s="2522"/>
      <c r="AH2" s="2522"/>
      <c r="AI2" s="2522"/>
      <c r="AJ2" s="2522"/>
      <c r="AK2" s="2522"/>
      <c r="AL2" s="2522"/>
      <c r="AM2" s="2522"/>
      <c r="AN2" s="2522"/>
      <c r="AO2" s="2522"/>
      <c r="AP2" s="2522"/>
      <c r="AQ2" s="2522"/>
      <c r="AR2" s="2522"/>
      <c r="AS2" s="2522"/>
      <c r="AT2" s="2522"/>
      <c r="AU2" s="2522"/>
      <c r="AV2" s="2522"/>
      <c r="AW2" s="2522"/>
      <c r="AX2" s="2522"/>
      <c r="AY2" s="2522"/>
      <c r="AZ2" s="2522"/>
      <c r="BA2" s="2522"/>
      <c r="BB2" s="2522"/>
      <c r="BC2" s="2522"/>
      <c r="BD2" s="2522"/>
      <c r="BE2" s="2522"/>
      <c r="BF2" s="2522"/>
      <c r="BG2" s="2522"/>
      <c r="BH2" s="2522"/>
      <c r="BI2" s="2522"/>
      <c r="BJ2" s="2522"/>
      <c r="BK2" s="2522"/>
      <c r="BL2" s="2522"/>
      <c r="BM2" s="877"/>
      <c r="BO2" s="389" t="s">
        <v>3</v>
      </c>
      <c r="BP2" s="737">
        <v>6</v>
      </c>
      <c r="BQ2" s="191"/>
      <c r="BR2" s="191"/>
      <c r="BS2" s="191"/>
      <c r="BT2" s="191"/>
      <c r="BU2" s="191"/>
      <c r="BV2" s="191"/>
    </row>
    <row r="3" spans="1:75" x14ac:dyDescent="0.25">
      <c r="A3" s="2521"/>
      <c r="B3" s="2522"/>
      <c r="C3" s="2522"/>
      <c r="D3" s="2522"/>
      <c r="E3" s="2522"/>
      <c r="F3" s="2522"/>
      <c r="G3" s="2522"/>
      <c r="H3" s="2522"/>
      <c r="I3" s="2522"/>
      <c r="J3" s="2522"/>
      <c r="K3" s="2522"/>
      <c r="L3" s="2522"/>
      <c r="M3" s="2522"/>
      <c r="N3" s="2522"/>
      <c r="O3" s="2522"/>
      <c r="P3" s="2522"/>
      <c r="Q3" s="2522"/>
      <c r="R3" s="2522"/>
      <c r="S3" s="2522"/>
      <c r="T3" s="2522"/>
      <c r="U3" s="2522"/>
      <c r="V3" s="2522"/>
      <c r="W3" s="2522"/>
      <c r="X3" s="2522"/>
      <c r="Y3" s="2522"/>
      <c r="Z3" s="2522"/>
      <c r="AA3" s="2522"/>
      <c r="AB3" s="2522"/>
      <c r="AC3" s="2522"/>
      <c r="AD3" s="2522"/>
      <c r="AE3" s="2522"/>
      <c r="AF3" s="2522"/>
      <c r="AG3" s="2522"/>
      <c r="AH3" s="2522"/>
      <c r="AI3" s="2522"/>
      <c r="AJ3" s="2522"/>
      <c r="AK3" s="2522"/>
      <c r="AL3" s="2522"/>
      <c r="AM3" s="2522"/>
      <c r="AN3" s="2522"/>
      <c r="AO3" s="2522"/>
      <c r="AP3" s="2522"/>
      <c r="AQ3" s="2522"/>
      <c r="AR3" s="2522"/>
      <c r="AS3" s="2522"/>
      <c r="AT3" s="2522"/>
      <c r="AU3" s="2522"/>
      <c r="AV3" s="2522"/>
      <c r="AW3" s="2522"/>
      <c r="AX3" s="2522"/>
      <c r="AY3" s="2522"/>
      <c r="AZ3" s="2522"/>
      <c r="BA3" s="2522"/>
      <c r="BB3" s="2522"/>
      <c r="BC3" s="2522"/>
      <c r="BD3" s="2522"/>
      <c r="BE3" s="2522"/>
      <c r="BF3" s="2522"/>
      <c r="BG3" s="2522"/>
      <c r="BH3" s="2522"/>
      <c r="BI3" s="2522"/>
      <c r="BJ3" s="2522"/>
      <c r="BK3" s="2522"/>
      <c r="BL3" s="2522"/>
      <c r="BM3" s="877"/>
      <c r="BO3" s="389" t="s">
        <v>5</v>
      </c>
      <c r="BP3" s="738" t="s">
        <v>6</v>
      </c>
      <c r="BQ3" s="191"/>
      <c r="BR3" s="191"/>
      <c r="BS3" s="191"/>
      <c r="BT3" s="191"/>
      <c r="BU3" s="191"/>
      <c r="BV3" s="191"/>
    </row>
    <row r="4" spans="1:75" x14ac:dyDescent="0.25">
      <c r="A4" s="2524"/>
      <c r="B4" s="2525"/>
      <c r="C4" s="2525"/>
      <c r="D4" s="2525"/>
      <c r="E4" s="2525"/>
      <c r="F4" s="2525"/>
      <c r="G4" s="2525"/>
      <c r="H4" s="2525"/>
      <c r="I4" s="2525"/>
      <c r="J4" s="2525"/>
      <c r="K4" s="2525"/>
      <c r="L4" s="2525"/>
      <c r="M4" s="2525"/>
      <c r="N4" s="2525"/>
      <c r="O4" s="2525"/>
      <c r="P4" s="2525"/>
      <c r="Q4" s="2525"/>
      <c r="R4" s="2525"/>
      <c r="S4" s="2525"/>
      <c r="T4" s="2525"/>
      <c r="U4" s="2525"/>
      <c r="V4" s="2525"/>
      <c r="W4" s="2525"/>
      <c r="X4" s="2525"/>
      <c r="Y4" s="2525"/>
      <c r="Z4" s="2525"/>
      <c r="AA4" s="2525"/>
      <c r="AB4" s="2525"/>
      <c r="AC4" s="2525"/>
      <c r="AD4" s="2525"/>
      <c r="AE4" s="2525"/>
      <c r="AF4" s="2525"/>
      <c r="AG4" s="2525"/>
      <c r="AH4" s="2525"/>
      <c r="AI4" s="2525"/>
      <c r="AJ4" s="2525"/>
      <c r="AK4" s="2525"/>
      <c r="AL4" s="2525"/>
      <c r="AM4" s="2525"/>
      <c r="AN4" s="2525"/>
      <c r="AO4" s="2525"/>
      <c r="AP4" s="2525"/>
      <c r="AQ4" s="2525"/>
      <c r="AR4" s="2525"/>
      <c r="AS4" s="2525"/>
      <c r="AT4" s="2525"/>
      <c r="AU4" s="2525"/>
      <c r="AV4" s="2525"/>
      <c r="AW4" s="2525"/>
      <c r="AX4" s="2525"/>
      <c r="AY4" s="2525"/>
      <c r="AZ4" s="2525"/>
      <c r="BA4" s="2525"/>
      <c r="BB4" s="2525"/>
      <c r="BC4" s="2525"/>
      <c r="BD4" s="2525"/>
      <c r="BE4" s="2525"/>
      <c r="BF4" s="2525"/>
      <c r="BG4" s="2525"/>
      <c r="BH4" s="2525"/>
      <c r="BI4" s="2525"/>
      <c r="BJ4" s="2525"/>
      <c r="BK4" s="2525"/>
      <c r="BL4" s="2525"/>
      <c r="BM4" s="878"/>
      <c r="BN4" s="739"/>
      <c r="BO4" s="389" t="s">
        <v>7</v>
      </c>
      <c r="BP4" s="740" t="s">
        <v>311</v>
      </c>
      <c r="BQ4" s="191"/>
      <c r="BR4" s="191"/>
      <c r="BS4" s="191"/>
      <c r="BT4" s="191"/>
      <c r="BU4" s="191"/>
      <c r="BV4" s="191"/>
    </row>
    <row r="5" spans="1:75" ht="15.75" x14ac:dyDescent="0.25">
      <c r="A5" s="2527" t="s">
        <v>312</v>
      </c>
      <c r="B5" s="2528"/>
      <c r="C5" s="2528"/>
      <c r="D5" s="2528"/>
      <c r="E5" s="2528"/>
      <c r="F5" s="2528"/>
      <c r="G5" s="2528"/>
      <c r="H5" s="2528"/>
      <c r="I5" s="2528"/>
      <c r="J5" s="2528"/>
      <c r="K5" s="2528"/>
      <c r="L5" s="879"/>
      <c r="M5" s="3124" t="s">
        <v>10</v>
      </c>
      <c r="N5" s="3124"/>
      <c r="O5" s="3124"/>
      <c r="P5" s="3124"/>
      <c r="Q5" s="3124"/>
      <c r="R5" s="3124"/>
      <c r="S5" s="3124"/>
      <c r="T5" s="3124"/>
      <c r="U5" s="3124"/>
      <c r="V5" s="3124"/>
      <c r="W5" s="3124"/>
      <c r="X5" s="3124"/>
      <c r="Y5" s="3124"/>
      <c r="Z5" s="3124"/>
      <c r="AA5" s="3124"/>
      <c r="AB5" s="3124"/>
      <c r="AC5" s="3124"/>
      <c r="AD5" s="3124"/>
      <c r="AE5" s="3124"/>
      <c r="AF5" s="3124"/>
      <c r="AG5" s="3124"/>
      <c r="AH5" s="3124"/>
      <c r="AI5" s="3124"/>
      <c r="AJ5" s="3124"/>
      <c r="AK5" s="3124"/>
      <c r="AL5" s="3124"/>
      <c r="AM5" s="3124"/>
      <c r="AN5" s="3124"/>
      <c r="AO5" s="3124"/>
      <c r="AP5" s="3124"/>
      <c r="AQ5" s="3124"/>
      <c r="AR5" s="3124"/>
      <c r="AS5" s="3124"/>
      <c r="AT5" s="3124"/>
      <c r="AU5" s="3124"/>
      <c r="AV5" s="3124"/>
      <c r="AW5" s="3124"/>
      <c r="AX5" s="3124"/>
      <c r="AY5" s="3124"/>
      <c r="AZ5" s="3124"/>
      <c r="BA5" s="3124"/>
      <c r="BB5" s="3124"/>
      <c r="BC5" s="3124"/>
      <c r="BD5" s="3124"/>
      <c r="BE5" s="3124"/>
      <c r="BF5" s="3124"/>
      <c r="BG5" s="3124"/>
      <c r="BH5" s="3124"/>
      <c r="BI5" s="3124"/>
      <c r="BJ5" s="3124"/>
      <c r="BK5" s="3124"/>
      <c r="BL5" s="3124"/>
      <c r="BM5" s="3124"/>
      <c r="BN5" s="3124"/>
      <c r="BO5" s="2531"/>
      <c r="BP5" s="3947"/>
      <c r="BQ5" s="191"/>
      <c r="BR5" s="191"/>
      <c r="BS5" s="191"/>
      <c r="BT5" s="191"/>
      <c r="BU5" s="191"/>
      <c r="BV5" s="191"/>
    </row>
    <row r="6" spans="1:75" ht="16.5" thickBot="1" x14ac:dyDescent="0.3">
      <c r="A6" s="2529"/>
      <c r="B6" s="2530"/>
      <c r="C6" s="2530"/>
      <c r="D6" s="2530"/>
      <c r="E6" s="2530"/>
      <c r="F6" s="2530"/>
      <c r="G6" s="2530"/>
      <c r="H6" s="2530"/>
      <c r="I6" s="2530"/>
      <c r="J6" s="2530"/>
      <c r="K6" s="2530"/>
      <c r="L6" s="880"/>
      <c r="M6" s="1029"/>
      <c r="N6" s="741"/>
      <c r="O6" s="1030"/>
      <c r="P6" s="880"/>
      <c r="Q6" s="1031"/>
      <c r="R6" s="1030"/>
      <c r="S6" s="1030"/>
      <c r="T6" s="880"/>
      <c r="U6" s="880"/>
      <c r="V6" s="880"/>
      <c r="W6" s="880"/>
      <c r="X6" s="1032"/>
      <c r="Y6" s="880"/>
      <c r="Z6" s="3125" t="s">
        <v>11</v>
      </c>
      <c r="AA6" s="2530"/>
      <c r="AB6" s="2530"/>
      <c r="AC6" s="2530"/>
      <c r="AD6" s="2530"/>
      <c r="AE6" s="2530"/>
      <c r="AF6" s="2530"/>
      <c r="AG6" s="2530"/>
      <c r="AH6" s="2530"/>
      <c r="AI6" s="2530"/>
      <c r="AJ6" s="2530"/>
      <c r="AK6" s="2530"/>
      <c r="AL6" s="2530"/>
      <c r="AM6" s="2530"/>
      <c r="AN6" s="2530"/>
      <c r="AO6" s="2530"/>
      <c r="AP6" s="2530"/>
      <c r="AQ6" s="2530"/>
      <c r="AR6" s="2530"/>
      <c r="AS6" s="2530"/>
      <c r="AT6" s="2530"/>
      <c r="AU6" s="2530"/>
      <c r="AV6" s="2530"/>
      <c r="AW6" s="2530"/>
      <c r="AX6" s="2530"/>
      <c r="AY6" s="2530"/>
      <c r="AZ6" s="2530"/>
      <c r="BA6" s="2530"/>
      <c r="BB6" s="2530"/>
      <c r="BC6" s="880"/>
      <c r="BD6" s="399"/>
      <c r="BE6" s="399"/>
      <c r="BF6" s="399"/>
      <c r="BG6" s="399"/>
      <c r="BH6" s="399"/>
      <c r="BI6" s="399"/>
      <c r="BJ6" s="399"/>
      <c r="BK6" s="1033"/>
      <c r="BL6" s="400"/>
      <c r="BM6" s="400"/>
      <c r="BN6" s="400"/>
      <c r="BO6" s="400"/>
      <c r="BP6" s="743"/>
      <c r="BQ6" s="191"/>
      <c r="BR6" s="191"/>
      <c r="BS6" s="191"/>
      <c r="BT6" s="191"/>
      <c r="BU6" s="191"/>
      <c r="BV6" s="191"/>
    </row>
    <row r="7" spans="1:75" ht="42.75" customHeight="1" x14ac:dyDescent="0.25">
      <c r="A7" s="2534" t="s">
        <v>12</v>
      </c>
      <c r="B7" s="2536" t="s">
        <v>13</v>
      </c>
      <c r="C7" s="2516"/>
      <c r="D7" s="2537" t="s">
        <v>12</v>
      </c>
      <c r="E7" s="2536" t="s">
        <v>14</v>
      </c>
      <c r="F7" s="2536"/>
      <c r="G7" s="2580" t="s">
        <v>12</v>
      </c>
      <c r="H7" s="2516" t="s">
        <v>679</v>
      </c>
      <c r="I7" s="2536" t="s">
        <v>15</v>
      </c>
      <c r="J7" s="2516" t="s">
        <v>16</v>
      </c>
      <c r="K7" s="4116" t="s">
        <v>17</v>
      </c>
      <c r="L7" s="4131"/>
      <c r="M7" s="2516" t="s">
        <v>18</v>
      </c>
      <c r="N7" s="2516" t="s">
        <v>19</v>
      </c>
      <c r="O7" s="2516" t="s">
        <v>10</v>
      </c>
      <c r="P7" s="4129" t="s">
        <v>20</v>
      </c>
      <c r="Q7" s="2564" t="s">
        <v>21</v>
      </c>
      <c r="R7" s="4130" t="s">
        <v>22</v>
      </c>
      <c r="S7" s="4130" t="s">
        <v>23</v>
      </c>
      <c r="T7" s="2536" t="s">
        <v>24</v>
      </c>
      <c r="U7" s="2566" t="s">
        <v>21</v>
      </c>
      <c r="V7" s="2566"/>
      <c r="W7" s="2566"/>
      <c r="X7" s="2516" t="s">
        <v>12</v>
      </c>
      <c r="Y7" s="2580" t="s">
        <v>25</v>
      </c>
      <c r="Z7" s="2551" t="s">
        <v>26</v>
      </c>
      <c r="AA7" s="2552"/>
      <c r="AB7" s="2552"/>
      <c r="AC7" s="2553"/>
      <c r="AD7" s="2554" t="s">
        <v>27</v>
      </c>
      <c r="AE7" s="2555"/>
      <c r="AF7" s="2555"/>
      <c r="AG7" s="2555"/>
      <c r="AH7" s="2555"/>
      <c r="AI7" s="2555"/>
      <c r="AJ7" s="2555"/>
      <c r="AK7" s="2556"/>
      <c r="AL7" s="2677" t="s">
        <v>28</v>
      </c>
      <c r="AM7" s="2678"/>
      <c r="AN7" s="2678"/>
      <c r="AO7" s="2678"/>
      <c r="AP7" s="2678"/>
      <c r="AQ7" s="2678"/>
      <c r="AR7" s="2678"/>
      <c r="AS7" s="2678"/>
      <c r="AT7" s="2678"/>
      <c r="AU7" s="2678"/>
      <c r="AV7" s="2678"/>
      <c r="AW7" s="2679"/>
      <c r="AX7" s="2554" t="s">
        <v>29</v>
      </c>
      <c r="AY7" s="2555"/>
      <c r="AZ7" s="2555"/>
      <c r="BA7" s="2555"/>
      <c r="BB7" s="2555"/>
      <c r="BC7" s="2556"/>
      <c r="BD7" s="2910" t="s">
        <v>30</v>
      </c>
      <c r="BE7" s="2911"/>
      <c r="BF7" s="3526" t="s">
        <v>31</v>
      </c>
      <c r="BG7" s="3527"/>
      <c r="BH7" s="3527"/>
      <c r="BI7" s="3527"/>
      <c r="BJ7" s="3527"/>
      <c r="BK7" s="3528"/>
      <c r="BL7" s="2541" t="s">
        <v>32</v>
      </c>
      <c r="BM7" s="2542"/>
      <c r="BN7" s="2541" t="s">
        <v>33</v>
      </c>
      <c r="BO7" s="2542"/>
      <c r="BP7" s="2671" t="s">
        <v>34</v>
      </c>
      <c r="BQ7" s="3"/>
      <c r="BR7" s="3"/>
      <c r="BS7" s="3"/>
      <c r="BT7" s="3"/>
      <c r="BU7" s="3"/>
      <c r="BV7" s="3"/>
      <c r="BW7" s="4"/>
    </row>
    <row r="8" spans="1:75" ht="63.75" customHeight="1" x14ac:dyDescent="0.25">
      <c r="A8" s="2534"/>
      <c r="B8" s="4116"/>
      <c r="C8" s="2580"/>
      <c r="D8" s="2537"/>
      <c r="E8" s="2536"/>
      <c r="F8" s="2536"/>
      <c r="G8" s="2580"/>
      <c r="H8" s="2516"/>
      <c r="I8" s="2536"/>
      <c r="J8" s="2516"/>
      <c r="K8" s="873" t="s">
        <v>59</v>
      </c>
      <c r="L8" s="873" t="s">
        <v>60</v>
      </c>
      <c r="M8" s="2516"/>
      <c r="N8" s="2516"/>
      <c r="O8" s="2516"/>
      <c r="P8" s="4129"/>
      <c r="Q8" s="2564"/>
      <c r="R8" s="4130"/>
      <c r="S8" s="4130"/>
      <c r="T8" s="2536"/>
      <c r="U8" s="744" t="s">
        <v>229</v>
      </c>
      <c r="V8" s="874" t="s">
        <v>230</v>
      </c>
      <c r="W8" s="874" t="s">
        <v>231</v>
      </c>
      <c r="X8" s="2540"/>
      <c r="Y8" s="2580"/>
      <c r="Z8" s="3886" t="s">
        <v>38</v>
      </c>
      <c r="AA8" s="3887"/>
      <c r="AB8" s="4117" t="s">
        <v>39</v>
      </c>
      <c r="AC8" s="4118"/>
      <c r="AD8" s="3886" t="s">
        <v>40</v>
      </c>
      <c r="AE8" s="3887"/>
      <c r="AF8" s="3886" t="s">
        <v>41</v>
      </c>
      <c r="AG8" s="3887"/>
      <c r="AH8" s="3886" t="s">
        <v>232</v>
      </c>
      <c r="AI8" s="3887"/>
      <c r="AJ8" s="3886" t="s">
        <v>43</v>
      </c>
      <c r="AK8" s="3887"/>
      <c r="AL8" s="3886" t="s">
        <v>44</v>
      </c>
      <c r="AM8" s="3887"/>
      <c r="AN8" s="3886" t="s">
        <v>45</v>
      </c>
      <c r="AO8" s="3887"/>
      <c r="AP8" s="3886" t="s">
        <v>46</v>
      </c>
      <c r="AQ8" s="3887"/>
      <c r="AR8" s="3886" t="s">
        <v>47</v>
      </c>
      <c r="AS8" s="3887"/>
      <c r="AT8" s="3886" t="s">
        <v>48</v>
      </c>
      <c r="AU8" s="3887"/>
      <c r="AV8" s="3886" t="s">
        <v>49</v>
      </c>
      <c r="AW8" s="3887"/>
      <c r="AX8" s="3886" t="s">
        <v>50</v>
      </c>
      <c r="AY8" s="3887"/>
      <c r="AZ8" s="3886" t="s">
        <v>51</v>
      </c>
      <c r="BA8" s="3887"/>
      <c r="BB8" s="3886" t="s">
        <v>52</v>
      </c>
      <c r="BC8" s="3887"/>
      <c r="BD8" s="2912"/>
      <c r="BE8" s="2913"/>
      <c r="BF8" s="3515" t="s">
        <v>53</v>
      </c>
      <c r="BG8" s="3514" t="s">
        <v>54</v>
      </c>
      <c r="BH8" s="3515" t="s">
        <v>55</v>
      </c>
      <c r="BI8" s="3516" t="s">
        <v>56</v>
      </c>
      <c r="BJ8" s="3515" t="s">
        <v>57</v>
      </c>
      <c r="BK8" s="3521" t="s">
        <v>58</v>
      </c>
      <c r="BL8" s="2543"/>
      <c r="BM8" s="2544"/>
      <c r="BN8" s="2543"/>
      <c r="BO8" s="2544"/>
      <c r="BP8" s="2671"/>
      <c r="BQ8" s="172"/>
      <c r="BR8" s="172"/>
      <c r="BS8" s="172"/>
      <c r="BT8" s="172"/>
      <c r="BU8" s="172"/>
      <c r="BV8" s="172"/>
      <c r="BW8" s="178"/>
    </row>
    <row r="9" spans="1:75" ht="24.75" customHeight="1" x14ac:dyDescent="0.25">
      <c r="A9" s="1034"/>
      <c r="B9" s="15"/>
      <c r="C9" s="15"/>
      <c r="D9" s="15"/>
      <c r="E9" s="15"/>
      <c r="F9" s="15"/>
      <c r="G9" s="1035"/>
      <c r="H9" s="15"/>
      <c r="I9" s="1036"/>
      <c r="J9" s="1036"/>
      <c r="K9" s="15"/>
      <c r="L9" s="15"/>
      <c r="M9" s="1036"/>
      <c r="N9" s="15"/>
      <c r="O9" s="1036"/>
      <c r="P9" s="1037"/>
      <c r="Q9" s="1038"/>
      <c r="R9" s="1036"/>
      <c r="S9" s="1036"/>
      <c r="T9" s="15"/>
      <c r="U9" s="1039"/>
      <c r="V9" s="1040"/>
      <c r="W9" s="1040"/>
      <c r="X9" s="1041"/>
      <c r="Y9" s="1041"/>
      <c r="Z9" s="901" t="s">
        <v>59</v>
      </c>
      <c r="AA9" s="901" t="s">
        <v>60</v>
      </c>
      <c r="AB9" s="901" t="s">
        <v>59</v>
      </c>
      <c r="AC9" s="901" t="s">
        <v>60</v>
      </c>
      <c r="AD9" s="901" t="s">
        <v>59</v>
      </c>
      <c r="AE9" s="901" t="s">
        <v>60</v>
      </c>
      <c r="AF9" s="901" t="s">
        <v>59</v>
      </c>
      <c r="AG9" s="901" t="s">
        <v>60</v>
      </c>
      <c r="AH9" s="901" t="s">
        <v>59</v>
      </c>
      <c r="AI9" s="901" t="s">
        <v>60</v>
      </c>
      <c r="AJ9" s="901" t="s">
        <v>59</v>
      </c>
      <c r="AK9" s="901" t="s">
        <v>60</v>
      </c>
      <c r="AL9" s="901" t="s">
        <v>59</v>
      </c>
      <c r="AM9" s="901" t="s">
        <v>60</v>
      </c>
      <c r="AN9" s="901" t="s">
        <v>59</v>
      </c>
      <c r="AO9" s="901" t="s">
        <v>60</v>
      </c>
      <c r="AP9" s="901" t="s">
        <v>59</v>
      </c>
      <c r="AQ9" s="901" t="s">
        <v>60</v>
      </c>
      <c r="AR9" s="901" t="s">
        <v>59</v>
      </c>
      <c r="AS9" s="901" t="s">
        <v>60</v>
      </c>
      <c r="AT9" s="901" t="s">
        <v>59</v>
      </c>
      <c r="AU9" s="901" t="s">
        <v>60</v>
      </c>
      <c r="AV9" s="901" t="s">
        <v>59</v>
      </c>
      <c r="AW9" s="901" t="s">
        <v>60</v>
      </c>
      <c r="AX9" s="901" t="s">
        <v>59</v>
      </c>
      <c r="AY9" s="901" t="s">
        <v>60</v>
      </c>
      <c r="AZ9" s="901" t="s">
        <v>59</v>
      </c>
      <c r="BA9" s="901" t="s">
        <v>60</v>
      </c>
      <c r="BB9" s="901" t="s">
        <v>59</v>
      </c>
      <c r="BC9" s="901" t="s">
        <v>60</v>
      </c>
      <c r="BD9" s="901" t="s">
        <v>59</v>
      </c>
      <c r="BE9" s="901" t="s">
        <v>60</v>
      </c>
      <c r="BF9" s="3515"/>
      <c r="BG9" s="3514"/>
      <c r="BH9" s="3515"/>
      <c r="BI9" s="3516"/>
      <c r="BJ9" s="3515"/>
      <c r="BK9" s="3522"/>
      <c r="BL9" s="901" t="s">
        <v>59</v>
      </c>
      <c r="BM9" s="901" t="s">
        <v>60</v>
      </c>
      <c r="BN9" s="901" t="s">
        <v>59</v>
      </c>
      <c r="BO9" s="901" t="s">
        <v>60</v>
      </c>
      <c r="BP9" s="1042"/>
      <c r="BQ9" s="172"/>
      <c r="BR9" s="172"/>
      <c r="BS9" s="172"/>
      <c r="BT9" s="172"/>
      <c r="BU9" s="172"/>
      <c r="BV9" s="172"/>
      <c r="BW9" s="178"/>
    </row>
    <row r="10" spans="1:75" ht="13.5" customHeight="1" x14ac:dyDescent="0.25">
      <c r="A10" s="1043">
        <v>1</v>
      </c>
      <c r="B10" s="1044" t="s">
        <v>680</v>
      </c>
      <c r="C10" s="1045"/>
      <c r="D10" s="206"/>
      <c r="E10" s="755"/>
      <c r="F10" s="755"/>
      <c r="G10" s="755"/>
      <c r="H10" s="755"/>
      <c r="I10" s="758"/>
      <c r="J10" s="758"/>
      <c r="K10" s="755"/>
      <c r="L10" s="755"/>
      <c r="M10" s="758"/>
      <c r="N10" s="755"/>
      <c r="O10" s="758"/>
      <c r="P10" s="759"/>
      <c r="Q10" s="1046"/>
      <c r="R10" s="758"/>
      <c r="S10" s="758"/>
      <c r="T10" s="757"/>
      <c r="U10" s="1046"/>
      <c r="V10" s="755"/>
      <c r="W10" s="1046"/>
      <c r="X10" s="1047"/>
      <c r="Y10" s="1047"/>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5"/>
      <c r="AY10" s="755"/>
      <c r="AZ10" s="755"/>
      <c r="BA10" s="755"/>
      <c r="BB10" s="755"/>
      <c r="BC10" s="755"/>
      <c r="BD10" s="755"/>
      <c r="BE10" s="755"/>
      <c r="BF10" s="755"/>
      <c r="BG10" s="755"/>
      <c r="BH10" s="755"/>
      <c r="BI10" s="755"/>
      <c r="BJ10" s="755"/>
      <c r="BK10" s="758"/>
      <c r="BL10" s="755"/>
      <c r="BM10" s="755"/>
      <c r="BN10" s="755"/>
      <c r="BO10" s="755"/>
      <c r="BP10" s="755"/>
      <c r="BQ10" s="4"/>
      <c r="BR10" s="4"/>
      <c r="BS10" s="4"/>
      <c r="BT10" s="4"/>
      <c r="BU10" s="4"/>
      <c r="BV10" s="4"/>
      <c r="BW10" s="4"/>
    </row>
    <row r="11" spans="1:75" ht="16.5" customHeight="1" x14ac:dyDescent="0.25">
      <c r="A11" s="1048"/>
      <c r="B11" s="1048"/>
      <c r="C11" s="1048"/>
      <c r="D11" s="1049">
        <v>12</v>
      </c>
      <c r="E11" s="219" t="s">
        <v>681</v>
      </c>
      <c r="F11" s="220"/>
      <c r="G11" s="221"/>
      <c r="H11" s="954"/>
      <c r="I11" s="220"/>
      <c r="J11" s="220"/>
      <c r="K11" s="223"/>
      <c r="L11" s="223"/>
      <c r="M11" s="222"/>
      <c r="N11" s="221"/>
      <c r="O11" s="766"/>
      <c r="P11" s="1050"/>
      <c r="Q11" s="1051"/>
      <c r="R11" s="766"/>
      <c r="S11" s="766"/>
      <c r="T11" s="222"/>
      <c r="U11" s="1052"/>
      <c r="V11" s="1053"/>
      <c r="W11" s="1052"/>
      <c r="X11" s="1054"/>
      <c r="Y11" s="1055"/>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8"/>
      <c r="AY11" s="768"/>
      <c r="AZ11" s="768"/>
      <c r="BA11" s="768"/>
      <c r="BB11" s="768"/>
      <c r="BC11" s="768"/>
      <c r="BD11" s="768"/>
      <c r="BE11" s="768"/>
      <c r="BF11" s="768"/>
      <c r="BG11" s="768"/>
      <c r="BH11" s="768"/>
      <c r="BI11" s="768"/>
      <c r="BJ11" s="768"/>
      <c r="BK11" s="766"/>
      <c r="BL11" s="768"/>
      <c r="BM11" s="768"/>
      <c r="BN11" s="768"/>
      <c r="BO11" s="768"/>
      <c r="BP11" s="768"/>
      <c r="BQ11" s="4"/>
      <c r="BR11" s="4"/>
      <c r="BS11" s="4"/>
      <c r="BT11" s="4"/>
      <c r="BU11" s="4"/>
      <c r="BV11" s="4"/>
      <c r="BW11" s="4"/>
    </row>
    <row r="12" spans="1:75" s="861" customFormat="1" ht="105" customHeight="1" x14ac:dyDescent="0.25">
      <c r="A12" s="236"/>
      <c r="B12" s="936"/>
      <c r="C12" s="936"/>
      <c r="D12" s="1056"/>
      <c r="E12" s="1057"/>
      <c r="F12" s="929"/>
      <c r="G12" s="4119" t="s">
        <v>682</v>
      </c>
      <c r="H12" s="2786">
        <v>12.6</v>
      </c>
      <c r="I12" s="4062" t="s">
        <v>683</v>
      </c>
      <c r="J12" s="4062" t="s">
        <v>684</v>
      </c>
      <c r="K12" s="4123">
        <v>12</v>
      </c>
      <c r="L12" s="4126">
        <v>12</v>
      </c>
      <c r="M12" s="4138" t="s">
        <v>685</v>
      </c>
      <c r="N12" s="3224" t="s">
        <v>686</v>
      </c>
      <c r="O12" s="4139" t="s">
        <v>687</v>
      </c>
      <c r="P12" s="3580">
        <v>0.64246548147694005</v>
      </c>
      <c r="Q12" s="4140">
        <f>SUM(U12:U20)</f>
        <v>54477635</v>
      </c>
      <c r="R12" s="4141" t="s">
        <v>688</v>
      </c>
      <c r="S12" s="4135" t="s">
        <v>689</v>
      </c>
      <c r="T12" s="273" t="s">
        <v>690</v>
      </c>
      <c r="U12" s="1058">
        <v>12000000</v>
      </c>
      <c r="V12" s="1059">
        <v>8266667</v>
      </c>
      <c r="W12" s="1059">
        <v>8266667</v>
      </c>
      <c r="X12" s="1060">
        <v>20</v>
      </c>
      <c r="Y12" s="2494" t="s">
        <v>85</v>
      </c>
      <c r="Z12" s="4137">
        <v>4500</v>
      </c>
      <c r="AA12" s="4132">
        <v>70</v>
      </c>
      <c r="AB12" s="4132">
        <v>4500</v>
      </c>
      <c r="AC12" s="4132">
        <v>45</v>
      </c>
      <c r="AD12" s="4132">
        <v>1560</v>
      </c>
      <c r="AE12" s="4132"/>
      <c r="AF12" s="4132">
        <v>1560</v>
      </c>
      <c r="AG12" s="4132">
        <v>60</v>
      </c>
      <c r="AH12" s="4132">
        <v>1560</v>
      </c>
      <c r="AI12" s="4132">
        <v>55</v>
      </c>
      <c r="AJ12" s="4132">
        <v>2000</v>
      </c>
      <c r="AK12" s="4132"/>
      <c r="AL12" s="4132">
        <v>400</v>
      </c>
      <c r="AM12" s="4132">
        <v>7</v>
      </c>
      <c r="AN12" s="4132">
        <v>400</v>
      </c>
      <c r="AO12" s="4132">
        <v>3</v>
      </c>
      <c r="AP12" s="4132">
        <v>400</v>
      </c>
      <c r="AQ12" s="4132"/>
      <c r="AR12" s="4132">
        <v>50</v>
      </c>
      <c r="AS12" s="4132"/>
      <c r="AT12" s="4132">
        <v>50</v>
      </c>
      <c r="AU12" s="4132"/>
      <c r="AV12" s="4132">
        <v>70</v>
      </c>
      <c r="AW12" s="4132"/>
      <c r="AX12" s="4132">
        <v>50</v>
      </c>
      <c r="AY12" s="4132"/>
      <c r="AZ12" s="4132">
        <v>500</v>
      </c>
      <c r="BA12" s="4132"/>
      <c r="BB12" s="4132">
        <v>400</v>
      </c>
      <c r="BC12" s="4132"/>
      <c r="BD12" s="4132">
        <v>9000</v>
      </c>
      <c r="BE12" s="4132">
        <f>AC12+AA12</f>
        <v>115</v>
      </c>
      <c r="BF12" s="4132">
        <v>5</v>
      </c>
      <c r="BG12" s="4142">
        <f>SUM(V12:V20)</f>
        <v>37120473</v>
      </c>
      <c r="BH12" s="4142">
        <f>SUM(W12:W20)</f>
        <v>37120473</v>
      </c>
      <c r="BI12" s="4165">
        <f>+BH12/BG12</f>
        <v>1</v>
      </c>
      <c r="BJ12" s="4132" t="s">
        <v>691</v>
      </c>
      <c r="BK12" s="4168" t="s">
        <v>692</v>
      </c>
      <c r="BL12" s="2753">
        <v>44033</v>
      </c>
      <c r="BM12" s="2753">
        <v>44077</v>
      </c>
      <c r="BN12" s="4155">
        <v>44195</v>
      </c>
      <c r="BO12" s="4155">
        <v>44186</v>
      </c>
      <c r="BP12" s="4158" t="s">
        <v>693</v>
      </c>
      <c r="BQ12" s="71"/>
      <c r="BR12" s="71"/>
      <c r="BS12" s="71"/>
      <c r="BT12" s="71"/>
      <c r="BU12" s="71"/>
      <c r="BV12" s="71"/>
      <c r="BW12" s="71"/>
    </row>
    <row r="13" spans="1:75" s="861" customFormat="1" ht="60" customHeight="1" x14ac:dyDescent="0.25">
      <c r="A13" s="236"/>
      <c r="B13" s="936"/>
      <c r="C13" s="936"/>
      <c r="D13" s="1061"/>
      <c r="E13" s="936"/>
      <c r="F13" s="930"/>
      <c r="G13" s="4120"/>
      <c r="H13" s="3210"/>
      <c r="I13" s="4122"/>
      <c r="J13" s="4122"/>
      <c r="K13" s="4124"/>
      <c r="L13" s="4127"/>
      <c r="M13" s="4138"/>
      <c r="N13" s="3224"/>
      <c r="O13" s="4139"/>
      <c r="P13" s="3581"/>
      <c r="Q13" s="4140"/>
      <c r="R13" s="4141"/>
      <c r="S13" s="4136"/>
      <c r="T13" s="4161" t="s">
        <v>694</v>
      </c>
      <c r="U13" s="1062">
        <v>10000000</v>
      </c>
      <c r="V13" s="1063">
        <v>10000000</v>
      </c>
      <c r="W13" s="1064">
        <v>10000000</v>
      </c>
      <c r="X13" s="1065">
        <v>88</v>
      </c>
      <c r="Y13" s="2494" t="s">
        <v>85</v>
      </c>
      <c r="Z13" s="4132"/>
      <c r="AA13" s="4133"/>
      <c r="AB13" s="4132"/>
      <c r="AC13" s="4133"/>
      <c r="AD13" s="4132"/>
      <c r="AE13" s="4133"/>
      <c r="AF13" s="4132"/>
      <c r="AG13" s="4133"/>
      <c r="AH13" s="4132"/>
      <c r="AI13" s="4133"/>
      <c r="AJ13" s="4132"/>
      <c r="AK13" s="4133"/>
      <c r="AL13" s="4132"/>
      <c r="AM13" s="4133"/>
      <c r="AN13" s="4132"/>
      <c r="AO13" s="4133"/>
      <c r="AP13" s="4132"/>
      <c r="AQ13" s="4133"/>
      <c r="AR13" s="4132"/>
      <c r="AS13" s="4133"/>
      <c r="AT13" s="4132"/>
      <c r="AU13" s="4133"/>
      <c r="AV13" s="4132"/>
      <c r="AW13" s="4133"/>
      <c r="AX13" s="4132"/>
      <c r="AY13" s="4133"/>
      <c r="AZ13" s="4132"/>
      <c r="BA13" s="4133"/>
      <c r="BB13" s="4132"/>
      <c r="BC13" s="4133"/>
      <c r="BD13" s="4132"/>
      <c r="BE13" s="4133"/>
      <c r="BF13" s="4133"/>
      <c r="BG13" s="4143"/>
      <c r="BH13" s="4143"/>
      <c r="BI13" s="4166"/>
      <c r="BJ13" s="4133"/>
      <c r="BK13" s="4169"/>
      <c r="BL13" s="2754"/>
      <c r="BM13" s="2754"/>
      <c r="BN13" s="4156"/>
      <c r="BO13" s="4156"/>
      <c r="BP13" s="4159"/>
      <c r="BQ13" s="71"/>
      <c r="BR13" s="71"/>
      <c r="BS13" s="71"/>
      <c r="BT13" s="71"/>
      <c r="BU13" s="71"/>
      <c r="BV13" s="71"/>
      <c r="BW13" s="71"/>
    </row>
    <row r="14" spans="1:75" s="861" customFormat="1" ht="47.25" customHeight="1" x14ac:dyDescent="0.25">
      <c r="A14" s="236"/>
      <c r="B14" s="936"/>
      <c r="C14" s="936"/>
      <c r="D14" s="1061"/>
      <c r="E14" s="936"/>
      <c r="F14" s="930"/>
      <c r="G14" s="4120"/>
      <c r="H14" s="3210"/>
      <c r="I14" s="4122"/>
      <c r="J14" s="4122"/>
      <c r="K14" s="4124"/>
      <c r="L14" s="4127"/>
      <c r="M14" s="4138"/>
      <c r="N14" s="3224"/>
      <c r="O14" s="4139"/>
      <c r="P14" s="3581"/>
      <c r="Q14" s="4140"/>
      <c r="R14" s="4141"/>
      <c r="S14" s="4136"/>
      <c r="T14" s="4161"/>
      <c r="U14" s="1062">
        <v>10000000</v>
      </c>
      <c r="V14" s="1063">
        <v>0</v>
      </c>
      <c r="W14" s="1064">
        <v>0</v>
      </c>
      <c r="X14" s="1065">
        <v>20</v>
      </c>
      <c r="Y14" s="2494" t="s">
        <v>85</v>
      </c>
      <c r="Z14" s="4132"/>
      <c r="AA14" s="4133"/>
      <c r="AB14" s="4132"/>
      <c r="AC14" s="4133"/>
      <c r="AD14" s="4132"/>
      <c r="AE14" s="4133"/>
      <c r="AF14" s="4132"/>
      <c r="AG14" s="4133"/>
      <c r="AH14" s="4132"/>
      <c r="AI14" s="4133"/>
      <c r="AJ14" s="4132"/>
      <c r="AK14" s="4133"/>
      <c r="AL14" s="4132"/>
      <c r="AM14" s="4133"/>
      <c r="AN14" s="4132"/>
      <c r="AO14" s="4133"/>
      <c r="AP14" s="4132"/>
      <c r="AQ14" s="4133"/>
      <c r="AR14" s="4132"/>
      <c r="AS14" s="4133"/>
      <c r="AT14" s="4132"/>
      <c r="AU14" s="4133"/>
      <c r="AV14" s="4132"/>
      <c r="AW14" s="4133"/>
      <c r="AX14" s="4132"/>
      <c r="AY14" s="4133"/>
      <c r="AZ14" s="4132"/>
      <c r="BA14" s="4133"/>
      <c r="BB14" s="4132"/>
      <c r="BC14" s="4133"/>
      <c r="BD14" s="4132"/>
      <c r="BE14" s="4133"/>
      <c r="BF14" s="4133"/>
      <c r="BG14" s="4143"/>
      <c r="BH14" s="4143"/>
      <c r="BI14" s="4166"/>
      <c r="BJ14" s="4133"/>
      <c r="BK14" s="4169"/>
      <c r="BL14" s="2754"/>
      <c r="BM14" s="2754"/>
      <c r="BN14" s="4156"/>
      <c r="BO14" s="4156"/>
      <c r="BP14" s="4159"/>
      <c r="BQ14" s="71"/>
      <c r="BR14" s="71"/>
      <c r="BS14" s="71"/>
      <c r="BT14" s="71"/>
      <c r="BU14" s="71"/>
      <c r="BV14" s="71"/>
      <c r="BW14" s="71"/>
    </row>
    <row r="15" spans="1:75" s="861" customFormat="1" ht="46.5" customHeight="1" x14ac:dyDescent="0.25">
      <c r="A15" s="236"/>
      <c r="B15" s="936"/>
      <c r="C15" s="936"/>
      <c r="D15" s="1061"/>
      <c r="E15" s="936"/>
      <c r="F15" s="930"/>
      <c r="G15" s="4120"/>
      <c r="H15" s="3210"/>
      <c r="I15" s="4122"/>
      <c r="J15" s="4122"/>
      <c r="K15" s="4124"/>
      <c r="L15" s="4127"/>
      <c r="M15" s="4138"/>
      <c r="N15" s="3224"/>
      <c r="O15" s="4139"/>
      <c r="P15" s="3581"/>
      <c r="Q15" s="4140"/>
      <c r="R15" s="4141"/>
      <c r="S15" s="4135"/>
      <c r="T15" s="4162" t="s">
        <v>695</v>
      </c>
      <c r="U15" s="1066">
        <v>2477635</v>
      </c>
      <c r="V15" s="1067">
        <v>2000000</v>
      </c>
      <c r="W15" s="1059">
        <v>2000000</v>
      </c>
      <c r="X15" s="1065">
        <v>20</v>
      </c>
      <c r="Y15" s="2494" t="s">
        <v>85</v>
      </c>
      <c r="Z15" s="4132"/>
      <c r="AA15" s="4133"/>
      <c r="AB15" s="4132"/>
      <c r="AC15" s="4133"/>
      <c r="AD15" s="4132"/>
      <c r="AE15" s="4133"/>
      <c r="AF15" s="4132"/>
      <c r="AG15" s="4133"/>
      <c r="AH15" s="4132"/>
      <c r="AI15" s="4133"/>
      <c r="AJ15" s="4132"/>
      <c r="AK15" s="4133"/>
      <c r="AL15" s="4132"/>
      <c r="AM15" s="4133"/>
      <c r="AN15" s="4132"/>
      <c r="AO15" s="4133"/>
      <c r="AP15" s="4132"/>
      <c r="AQ15" s="4133"/>
      <c r="AR15" s="4132"/>
      <c r="AS15" s="4133"/>
      <c r="AT15" s="4132"/>
      <c r="AU15" s="4133"/>
      <c r="AV15" s="4132"/>
      <c r="AW15" s="4133"/>
      <c r="AX15" s="4132"/>
      <c r="AY15" s="4133"/>
      <c r="AZ15" s="4132"/>
      <c r="BA15" s="4133"/>
      <c r="BB15" s="4132"/>
      <c r="BC15" s="4133"/>
      <c r="BD15" s="4132"/>
      <c r="BE15" s="4133"/>
      <c r="BF15" s="4133"/>
      <c r="BG15" s="4143"/>
      <c r="BH15" s="4143"/>
      <c r="BI15" s="4166"/>
      <c r="BJ15" s="4133"/>
      <c r="BK15" s="4169"/>
      <c r="BL15" s="2754"/>
      <c r="BM15" s="2754"/>
      <c r="BN15" s="4156"/>
      <c r="BO15" s="4156"/>
      <c r="BP15" s="4159"/>
      <c r="BQ15" s="71"/>
      <c r="BR15" s="71"/>
      <c r="BS15" s="71"/>
      <c r="BT15" s="71"/>
      <c r="BU15" s="71"/>
      <c r="BV15" s="71"/>
      <c r="BW15" s="71"/>
    </row>
    <row r="16" spans="1:75" s="861" customFormat="1" ht="54" customHeight="1" x14ac:dyDescent="0.25">
      <c r="A16" s="236"/>
      <c r="B16" s="936"/>
      <c r="C16" s="936"/>
      <c r="D16" s="1061"/>
      <c r="E16" s="936"/>
      <c r="F16" s="930"/>
      <c r="G16" s="4121"/>
      <c r="H16" s="3210"/>
      <c r="I16" s="4122"/>
      <c r="J16" s="4122"/>
      <c r="K16" s="4125"/>
      <c r="L16" s="4128"/>
      <c r="M16" s="4138"/>
      <c r="N16" s="3224"/>
      <c r="O16" s="4139"/>
      <c r="P16" s="3582"/>
      <c r="Q16" s="4140"/>
      <c r="R16" s="4141"/>
      <c r="S16" s="4135"/>
      <c r="T16" s="4163"/>
      <c r="U16" s="1062">
        <v>522365</v>
      </c>
      <c r="V16" s="1064">
        <v>0</v>
      </c>
      <c r="W16" s="1059">
        <v>0</v>
      </c>
      <c r="X16" s="1065">
        <v>88</v>
      </c>
      <c r="Y16" s="2494" t="s">
        <v>696</v>
      </c>
      <c r="Z16" s="4132"/>
      <c r="AA16" s="4133"/>
      <c r="AB16" s="4132"/>
      <c r="AC16" s="4133"/>
      <c r="AD16" s="4132"/>
      <c r="AE16" s="4133"/>
      <c r="AF16" s="4132"/>
      <c r="AG16" s="4133"/>
      <c r="AH16" s="4132"/>
      <c r="AI16" s="4133"/>
      <c r="AJ16" s="4132"/>
      <c r="AK16" s="4133"/>
      <c r="AL16" s="4132"/>
      <c r="AM16" s="4133"/>
      <c r="AN16" s="4132"/>
      <c r="AO16" s="4133"/>
      <c r="AP16" s="4132"/>
      <c r="AQ16" s="4133"/>
      <c r="AR16" s="4132"/>
      <c r="AS16" s="4133"/>
      <c r="AT16" s="4132"/>
      <c r="AU16" s="4133"/>
      <c r="AV16" s="4132"/>
      <c r="AW16" s="4133"/>
      <c r="AX16" s="4132"/>
      <c r="AY16" s="4133"/>
      <c r="AZ16" s="4132"/>
      <c r="BA16" s="4133"/>
      <c r="BB16" s="4132"/>
      <c r="BC16" s="4133"/>
      <c r="BD16" s="4132"/>
      <c r="BE16" s="4133"/>
      <c r="BF16" s="4133"/>
      <c r="BG16" s="4143"/>
      <c r="BH16" s="4143"/>
      <c r="BI16" s="4166"/>
      <c r="BJ16" s="4133"/>
      <c r="BK16" s="4169"/>
      <c r="BL16" s="2754"/>
      <c r="BM16" s="2754"/>
      <c r="BN16" s="4156"/>
      <c r="BO16" s="4156"/>
      <c r="BP16" s="4159"/>
      <c r="BQ16" s="71"/>
      <c r="BR16" s="71"/>
      <c r="BS16" s="71"/>
      <c r="BT16" s="71"/>
      <c r="BU16" s="71"/>
      <c r="BV16" s="71"/>
      <c r="BW16" s="71"/>
    </row>
    <row r="17" spans="1:75" s="861" customFormat="1" ht="77.25" customHeight="1" x14ac:dyDescent="0.25">
      <c r="A17" s="236"/>
      <c r="B17" s="936"/>
      <c r="C17" s="936"/>
      <c r="D17" s="1061"/>
      <c r="E17" s="936"/>
      <c r="F17" s="930"/>
      <c r="G17" s="4119">
        <v>1905022</v>
      </c>
      <c r="H17" s="2620">
        <v>12.7</v>
      </c>
      <c r="I17" s="4161" t="s">
        <v>697</v>
      </c>
      <c r="J17" s="3479" t="s">
        <v>698</v>
      </c>
      <c r="K17" s="4164">
        <v>12</v>
      </c>
      <c r="L17" s="4126">
        <v>12</v>
      </c>
      <c r="M17" s="4138"/>
      <c r="N17" s="3224"/>
      <c r="O17" s="4139"/>
      <c r="P17" s="3580">
        <v>0.35753451852305995</v>
      </c>
      <c r="Q17" s="4140"/>
      <c r="R17" s="4141"/>
      <c r="S17" s="4136"/>
      <c r="T17" s="962" t="s">
        <v>699</v>
      </c>
      <c r="U17" s="1068">
        <v>4000000</v>
      </c>
      <c r="V17" s="1063">
        <v>4000000</v>
      </c>
      <c r="W17" s="1059">
        <v>4000000</v>
      </c>
      <c r="X17" s="1069">
        <v>88</v>
      </c>
      <c r="Y17" s="2494" t="s">
        <v>696</v>
      </c>
      <c r="Z17" s="4132"/>
      <c r="AA17" s="4133"/>
      <c r="AB17" s="4132"/>
      <c r="AC17" s="4133"/>
      <c r="AD17" s="4132"/>
      <c r="AE17" s="4133"/>
      <c r="AF17" s="4132"/>
      <c r="AG17" s="4133"/>
      <c r="AH17" s="4132"/>
      <c r="AI17" s="4133"/>
      <c r="AJ17" s="4132"/>
      <c r="AK17" s="4133"/>
      <c r="AL17" s="4132"/>
      <c r="AM17" s="4133"/>
      <c r="AN17" s="4132"/>
      <c r="AO17" s="4133"/>
      <c r="AP17" s="4132"/>
      <c r="AQ17" s="4133"/>
      <c r="AR17" s="4132"/>
      <c r="AS17" s="4133"/>
      <c r="AT17" s="4132"/>
      <c r="AU17" s="4133"/>
      <c r="AV17" s="4132"/>
      <c r="AW17" s="4133"/>
      <c r="AX17" s="4132"/>
      <c r="AY17" s="4133"/>
      <c r="AZ17" s="4132"/>
      <c r="BA17" s="4133"/>
      <c r="BB17" s="4132"/>
      <c r="BC17" s="4133"/>
      <c r="BD17" s="4132"/>
      <c r="BE17" s="4133"/>
      <c r="BF17" s="4133"/>
      <c r="BG17" s="4143"/>
      <c r="BH17" s="4143"/>
      <c r="BI17" s="4166"/>
      <c r="BJ17" s="4133"/>
      <c r="BK17" s="4169"/>
      <c r="BL17" s="2754"/>
      <c r="BM17" s="2754"/>
      <c r="BN17" s="4156"/>
      <c r="BO17" s="4156"/>
      <c r="BP17" s="4159"/>
      <c r="BQ17" s="71"/>
      <c r="BR17" s="71"/>
      <c r="BS17" s="71"/>
      <c r="BT17" s="71"/>
      <c r="BU17" s="71"/>
      <c r="BV17" s="71"/>
      <c r="BW17" s="71"/>
    </row>
    <row r="18" spans="1:75" s="861" customFormat="1" ht="62.25" customHeight="1" x14ac:dyDescent="0.25">
      <c r="A18" s="236"/>
      <c r="B18" s="936"/>
      <c r="C18" s="936"/>
      <c r="D18" s="1061"/>
      <c r="E18" s="936"/>
      <c r="F18" s="930"/>
      <c r="G18" s="4120"/>
      <c r="H18" s="2620"/>
      <c r="I18" s="4161"/>
      <c r="J18" s="3479"/>
      <c r="K18" s="4124"/>
      <c r="L18" s="4127"/>
      <c r="M18" s="4138"/>
      <c r="N18" s="3224"/>
      <c r="O18" s="4139"/>
      <c r="P18" s="3581"/>
      <c r="Q18" s="4140"/>
      <c r="R18" s="4141"/>
      <c r="S18" s="4136"/>
      <c r="T18" s="965" t="s">
        <v>700</v>
      </c>
      <c r="U18" s="1068">
        <v>11000000</v>
      </c>
      <c r="V18" s="1106">
        <v>8376171</v>
      </c>
      <c r="W18" s="1063">
        <v>8376171</v>
      </c>
      <c r="X18" s="1069">
        <v>88</v>
      </c>
      <c r="Y18" s="2494" t="s">
        <v>696</v>
      </c>
      <c r="Z18" s="4132"/>
      <c r="AA18" s="4133"/>
      <c r="AB18" s="4132"/>
      <c r="AC18" s="4133"/>
      <c r="AD18" s="4132"/>
      <c r="AE18" s="4133"/>
      <c r="AF18" s="4132"/>
      <c r="AG18" s="4133"/>
      <c r="AH18" s="4132"/>
      <c r="AI18" s="4133"/>
      <c r="AJ18" s="4132"/>
      <c r="AK18" s="4133"/>
      <c r="AL18" s="4132"/>
      <c r="AM18" s="4133"/>
      <c r="AN18" s="4132"/>
      <c r="AO18" s="4133"/>
      <c r="AP18" s="4132"/>
      <c r="AQ18" s="4133"/>
      <c r="AR18" s="4132"/>
      <c r="AS18" s="4133"/>
      <c r="AT18" s="4132"/>
      <c r="AU18" s="4133"/>
      <c r="AV18" s="4132"/>
      <c r="AW18" s="4133"/>
      <c r="AX18" s="4132"/>
      <c r="AY18" s="4133"/>
      <c r="AZ18" s="4132"/>
      <c r="BA18" s="4133"/>
      <c r="BB18" s="4132"/>
      <c r="BC18" s="4133"/>
      <c r="BD18" s="4132"/>
      <c r="BE18" s="4133"/>
      <c r="BF18" s="4133"/>
      <c r="BG18" s="4143"/>
      <c r="BH18" s="4143"/>
      <c r="BI18" s="4166"/>
      <c r="BJ18" s="4133"/>
      <c r="BK18" s="4169"/>
      <c r="BL18" s="2754"/>
      <c r="BM18" s="2754"/>
      <c r="BN18" s="4156"/>
      <c r="BO18" s="4156"/>
      <c r="BP18" s="4159"/>
    </row>
    <row r="19" spans="1:75" s="861" customFormat="1" ht="57.75" customHeight="1" x14ac:dyDescent="0.25">
      <c r="A19" s="236"/>
      <c r="B19" s="936"/>
      <c r="C19" s="936"/>
      <c r="D19" s="1061"/>
      <c r="E19" s="936"/>
      <c r="F19" s="930"/>
      <c r="G19" s="4120"/>
      <c r="H19" s="2620"/>
      <c r="I19" s="4161"/>
      <c r="J19" s="3479"/>
      <c r="K19" s="4124"/>
      <c r="L19" s="4127"/>
      <c r="M19" s="4138"/>
      <c r="N19" s="3224"/>
      <c r="O19" s="4139"/>
      <c r="P19" s="3581"/>
      <c r="Q19" s="4140"/>
      <c r="R19" s="4141"/>
      <c r="S19" s="4135"/>
      <c r="T19" s="962" t="s">
        <v>701</v>
      </c>
      <c r="U19" s="1070">
        <v>4477635</v>
      </c>
      <c r="V19" s="1071">
        <v>4477635</v>
      </c>
      <c r="W19" s="1059">
        <v>4477635</v>
      </c>
      <c r="X19" s="1065">
        <v>88</v>
      </c>
      <c r="Y19" s="2494" t="s">
        <v>696</v>
      </c>
      <c r="Z19" s="4132"/>
      <c r="AA19" s="4133"/>
      <c r="AB19" s="4132"/>
      <c r="AC19" s="4133"/>
      <c r="AD19" s="4132"/>
      <c r="AE19" s="4133"/>
      <c r="AF19" s="4132"/>
      <c r="AG19" s="4133"/>
      <c r="AH19" s="4132"/>
      <c r="AI19" s="4133"/>
      <c r="AJ19" s="4132"/>
      <c r="AK19" s="4133"/>
      <c r="AL19" s="4132"/>
      <c r="AM19" s="4133"/>
      <c r="AN19" s="4132"/>
      <c r="AO19" s="4133"/>
      <c r="AP19" s="4132"/>
      <c r="AQ19" s="4133"/>
      <c r="AR19" s="4132"/>
      <c r="AS19" s="4133"/>
      <c r="AT19" s="4132"/>
      <c r="AU19" s="4133"/>
      <c r="AV19" s="4132"/>
      <c r="AW19" s="4133"/>
      <c r="AX19" s="4132"/>
      <c r="AY19" s="4133"/>
      <c r="AZ19" s="4132"/>
      <c r="BA19" s="4133"/>
      <c r="BB19" s="4132"/>
      <c r="BC19" s="4133"/>
      <c r="BD19" s="4132"/>
      <c r="BE19" s="4133"/>
      <c r="BF19" s="4133"/>
      <c r="BG19" s="4143"/>
      <c r="BH19" s="4143"/>
      <c r="BI19" s="4166"/>
      <c r="BJ19" s="4133"/>
      <c r="BK19" s="4169"/>
      <c r="BL19" s="2754"/>
      <c r="BM19" s="2754"/>
      <c r="BN19" s="4156"/>
      <c r="BO19" s="4156"/>
      <c r="BP19" s="4159"/>
    </row>
    <row r="20" spans="1:75" s="861" customFormat="1" ht="51.75" customHeight="1" x14ac:dyDescent="0.25">
      <c r="A20" s="236"/>
      <c r="B20" s="4149"/>
      <c r="C20" s="4149"/>
      <c r="D20" s="1072"/>
      <c r="E20" s="4150"/>
      <c r="F20" s="4151"/>
      <c r="G20" s="4121"/>
      <c r="H20" s="2620"/>
      <c r="I20" s="4161"/>
      <c r="J20" s="3479"/>
      <c r="K20" s="4125"/>
      <c r="L20" s="4128"/>
      <c r="M20" s="4138"/>
      <c r="N20" s="3224"/>
      <c r="O20" s="4139"/>
      <c r="P20" s="3582"/>
      <c r="Q20" s="4140"/>
      <c r="R20" s="4141"/>
      <c r="S20" s="4135"/>
      <c r="T20" s="965" t="s">
        <v>702</v>
      </c>
      <c r="U20" s="1073">
        <v>0</v>
      </c>
      <c r="V20" s="1059">
        <v>0</v>
      </c>
      <c r="W20" s="1059">
        <v>0</v>
      </c>
      <c r="X20" s="1065"/>
      <c r="Y20" s="2495"/>
      <c r="Z20" s="4132"/>
      <c r="AA20" s="4134"/>
      <c r="AB20" s="4132"/>
      <c r="AC20" s="4134"/>
      <c r="AD20" s="4132"/>
      <c r="AE20" s="4134"/>
      <c r="AF20" s="4132"/>
      <c r="AG20" s="4134"/>
      <c r="AH20" s="4132"/>
      <c r="AI20" s="4134"/>
      <c r="AJ20" s="4132"/>
      <c r="AK20" s="4134"/>
      <c r="AL20" s="4132"/>
      <c r="AM20" s="4134"/>
      <c r="AN20" s="4132"/>
      <c r="AO20" s="4134"/>
      <c r="AP20" s="4132"/>
      <c r="AQ20" s="4134"/>
      <c r="AR20" s="4132"/>
      <c r="AS20" s="4134"/>
      <c r="AT20" s="4132"/>
      <c r="AU20" s="4134"/>
      <c r="AV20" s="4132"/>
      <c r="AW20" s="4134"/>
      <c r="AX20" s="4132"/>
      <c r="AY20" s="4134"/>
      <c r="AZ20" s="4132"/>
      <c r="BA20" s="4134"/>
      <c r="BB20" s="4132"/>
      <c r="BC20" s="4134"/>
      <c r="BD20" s="4132"/>
      <c r="BE20" s="4134"/>
      <c r="BF20" s="4134"/>
      <c r="BG20" s="4144"/>
      <c r="BH20" s="4144"/>
      <c r="BI20" s="4167"/>
      <c r="BJ20" s="4134"/>
      <c r="BK20" s="4170"/>
      <c r="BL20" s="2755"/>
      <c r="BM20" s="2755"/>
      <c r="BN20" s="4157"/>
      <c r="BO20" s="4157"/>
      <c r="BP20" s="4160"/>
    </row>
    <row r="21" spans="1:75" ht="15.75" x14ac:dyDescent="0.25">
      <c r="A21" s="862"/>
      <c r="B21" s="79"/>
      <c r="C21" s="79"/>
      <c r="D21" s="1074">
        <v>25</v>
      </c>
      <c r="E21" s="1075" t="s">
        <v>703</v>
      </c>
      <c r="F21" s="1076"/>
      <c r="G21" s="1077"/>
      <c r="H21" s="1078"/>
      <c r="I21" s="617"/>
      <c r="J21" s="617"/>
      <c r="K21" s="603"/>
      <c r="L21" s="1079"/>
      <c r="M21" s="603"/>
      <c r="N21" s="1080"/>
      <c r="O21" s="1081"/>
      <c r="P21" s="1082"/>
      <c r="Q21" s="1083"/>
      <c r="R21" s="1081"/>
      <c r="S21" s="1081"/>
      <c r="T21" s="1081"/>
      <c r="U21" s="1084"/>
      <c r="V21" s="1084"/>
      <c r="W21" s="1084"/>
      <c r="X21" s="1080"/>
      <c r="Y21" s="1080"/>
      <c r="Z21" s="1080"/>
      <c r="AA21" s="1080"/>
      <c r="AB21" s="1080"/>
      <c r="AC21" s="1080"/>
      <c r="AD21" s="1080"/>
      <c r="AE21" s="1080"/>
      <c r="AF21" s="1080"/>
      <c r="AG21" s="1080"/>
      <c r="AH21" s="1080"/>
      <c r="AI21" s="1080"/>
      <c r="AJ21" s="1080"/>
      <c r="AK21" s="1080"/>
      <c r="AL21" s="1080"/>
      <c r="AM21" s="1080"/>
      <c r="AN21" s="1080"/>
      <c r="AO21" s="1080"/>
      <c r="AP21" s="1080"/>
      <c r="AQ21" s="1080"/>
      <c r="AR21" s="1080"/>
      <c r="AS21" s="1080"/>
      <c r="AT21" s="1080"/>
      <c r="AU21" s="1080"/>
      <c r="AV21" s="1080"/>
      <c r="AW21" s="1080"/>
      <c r="AX21" s="1080"/>
      <c r="AY21" s="1080"/>
      <c r="AZ21" s="1080"/>
      <c r="BA21" s="1080"/>
      <c r="BB21" s="1080"/>
      <c r="BC21" s="1080"/>
      <c r="BD21" s="1080"/>
      <c r="BE21" s="1080"/>
      <c r="BF21" s="1080"/>
      <c r="BG21" s="1085"/>
      <c r="BH21" s="1085"/>
      <c r="BI21" s="1080"/>
      <c r="BJ21" s="1080"/>
      <c r="BK21" s="1080"/>
      <c r="BL21" s="1080"/>
      <c r="BM21" s="1080"/>
      <c r="BN21" s="1080"/>
      <c r="BO21" s="1080"/>
      <c r="BP21" s="1080"/>
    </row>
    <row r="22" spans="1:75" s="861" customFormat="1" ht="71.25" customHeight="1" x14ac:dyDescent="0.25">
      <c r="A22" s="236"/>
      <c r="B22" s="936"/>
      <c r="C22" s="936"/>
      <c r="D22" s="1056"/>
      <c r="E22" s="4152"/>
      <c r="F22" s="4153"/>
      <c r="G22" s="3088">
        <v>3301051</v>
      </c>
      <c r="H22" s="3593">
        <v>25.1</v>
      </c>
      <c r="I22" s="3189" t="s">
        <v>704</v>
      </c>
      <c r="J22" s="3479" t="s">
        <v>705</v>
      </c>
      <c r="K22" s="3498">
        <v>50</v>
      </c>
      <c r="L22" s="4145">
        <v>50</v>
      </c>
      <c r="M22" s="4148" t="s">
        <v>706</v>
      </c>
      <c r="N22" s="3264" t="s">
        <v>707</v>
      </c>
      <c r="O22" s="2882" t="s">
        <v>708</v>
      </c>
      <c r="P22" s="3573">
        <f>SUM(U22:U27)/(Q22+Q62+Q87)</f>
        <v>0.41083317790144769</v>
      </c>
      <c r="Q22" s="4171">
        <f>SUM(U22:U27)</f>
        <v>47000000</v>
      </c>
      <c r="R22" s="3189" t="s">
        <v>709</v>
      </c>
      <c r="S22" s="4172" t="s">
        <v>710</v>
      </c>
      <c r="T22" s="1088" t="s">
        <v>711</v>
      </c>
      <c r="U22" s="1089">
        <v>16000000</v>
      </c>
      <c r="V22" s="1089">
        <v>15866666</v>
      </c>
      <c r="W22" s="1089">
        <v>15866666</v>
      </c>
      <c r="X22" s="1090">
        <v>20</v>
      </c>
      <c r="Y22" s="2273" t="s">
        <v>85</v>
      </c>
      <c r="Z22" s="3264">
        <v>4600</v>
      </c>
      <c r="AA22" s="2962">
        <v>1181</v>
      </c>
      <c r="AB22" s="3264">
        <v>3810</v>
      </c>
      <c r="AC22" s="2962">
        <v>1146</v>
      </c>
      <c r="AD22" s="3264">
        <v>0</v>
      </c>
      <c r="AE22" s="2962"/>
      <c r="AF22" s="3264">
        <v>5300</v>
      </c>
      <c r="AG22" s="2962">
        <v>1682</v>
      </c>
      <c r="AH22" s="3264">
        <v>2900</v>
      </c>
      <c r="AI22" s="2962">
        <v>645</v>
      </c>
      <c r="AJ22" s="3264">
        <v>0</v>
      </c>
      <c r="AK22" s="2962">
        <v>0</v>
      </c>
      <c r="AL22" s="3264">
        <v>10</v>
      </c>
      <c r="AM22" s="2962">
        <v>6</v>
      </c>
      <c r="AN22" s="3264">
        <v>6</v>
      </c>
      <c r="AO22" s="2962">
        <v>20</v>
      </c>
      <c r="AP22" s="3264">
        <v>0</v>
      </c>
      <c r="AQ22" s="2962">
        <v>0</v>
      </c>
      <c r="AR22" s="3264">
        <v>0</v>
      </c>
      <c r="AS22" s="2962">
        <v>0</v>
      </c>
      <c r="AT22" s="3264">
        <v>0</v>
      </c>
      <c r="AU22" s="2962">
        <v>0</v>
      </c>
      <c r="AV22" s="3264">
        <v>0</v>
      </c>
      <c r="AW22" s="2962">
        <v>0</v>
      </c>
      <c r="AX22" s="3264">
        <v>10</v>
      </c>
      <c r="AY22" s="2962">
        <v>5</v>
      </c>
      <c r="AZ22" s="3264">
        <v>10</v>
      </c>
      <c r="BA22" s="2962">
        <v>4</v>
      </c>
      <c r="BB22" s="3264">
        <v>10</v>
      </c>
      <c r="BC22" s="2962">
        <v>10</v>
      </c>
      <c r="BD22" s="3264">
        <v>8410</v>
      </c>
      <c r="BE22" s="2962">
        <f>AA22+AC22+AE22+AG22+AI22+AK22+AM22+AO22+AQ22+AS22+AU22+AW22+AY22+BA22+BC22</f>
        <v>4699</v>
      </c>
      <c r="BF22" s="2962">
        <v>3</v>
      </c>
      <c r="BG22" s="4180">
        <f>SUM(V22:V27)</f>
        <v>32133333</v>
      </c>
      <c r="BH22" s="4180">
        <f>SUM(W22:W27)</f>
        <v>32133333</v>
      </c>
      <c r="BI22" s="4183">
        <f>BH22/BG22</f>
        <v>1</v>
      </c>
      <c r="BJ22" s="2962">
        <v>20</v>
      </c>
      <c r="BK22" s="2962" t="s">
        <v>712</v>
      </c>
      <c r="BL22" s="4176">
        <v>43832</v>
      </c>
      <c r="BM22" s="4177"/>
      <c r="BN22" s="4176">
        <v>44195</v>
      </c>
      <c r="BO22" s="4177"/>
      <c r="BP22" s="3264" t="s">
        <v>693</v>
      </c>
    </row>
    <row r="23" spans="1:75" s="861" customFormat="1" ht="72" customHeight="1" x14ac:dyDescent="0.25">
      <c r="A23" s="236"/>
      <c r="B23" s="936"/>
      <c r="C23" s="936"/>
      <c r="D23" s="1061"/>
      <c r="E23" s="4149"/>
      <c r="F23" s="4154"/>
      <c r="G23" s="3088"/>
      <c r="H23" s="3593"/>
      <c r="I23" s="3189"/>
      <c r="J23" s="3479"/>
      <c r="K23" s="3498"/>
      <c r="L23" s="4146"/>
      <c r="M23" s="4148"/>
      <c r="N23" s="3264"/>
      <c r="O23" s="2882"/>
      <c r="P23" s="3573"/>
      <c r="Q23" s="4171"/>
      <c r="R23" s="3189"/>
      <c r="S23" s="4172"/>
      <c r="T23" s="1088" t="s">
        <v>713</v>
      </c>
      <c r="U23" s="1089">
        <v>7000000</v>
      </c>
      <c r="V23" s="1089">
        <v>5000000</v>
      </c>
      <c r="W23" s="1089">
        <v>5000000</v>
      </c>
      <c r="X23" s="1090">
        <v>20</v>
      </c>
      <c r="Y23" s="2273" t="s">
        <v>85</v>
      </c>
      <c r="Z23" s="3264"/>
      <c r="AA23" s="3399"/>
      <c r="AB23" s="3264"/>
      <c r="AC23" s="3399"/>
      <c r="AD23" s="3264"/>
      <c r="AE23" s="3399"/>
      <c r="AF23" s="3264"/>
      <c r="AG23" s="3399"/>
      <c r="AH23" s="3264"/>
      <c r="AI23" s="3399"/>
      <c r="AJ23" s="3264"/>
      <c r="AK23" s="3399"/>
      <c r="AL23" s="3264"/>
      <c r="AM23" s="3399"/>
      <c r="AN23" s="3264"/>
      <c r="AO23" s="3399"/>
      <c r="AP23" s="3264"/>
      <c r="AQ23" s="3399"/>
      <c r="AR23" s="3264"/>
      <c r="AS23" s="3399"/>
      <c r="AT23" s="3264"/>
      <c r="AU23" s="3399"/>
      <c r="AV23" s="3264"/>
      <c r="AW23" s="3399"/>
      <c r="AX23" s="3264"/>
      <c r="AY23" s="3399"/>
      <c r="AZ23" s="3264"/>
      <c r="BA23" s="3399"/>
      <c r="BB23" s="3264"/>
      <c r="BC23" s="3399"/>
      <c r="BD23" s="3264"/>
      <c r="BE23" s="3399"/>
      <c r="BF23" s="3399"/>
      <c r="BG23" s="4181"/>
      <c r="BH23" s="4181"/>
      <c r="BI23" s="4184"/>
      <c r="BJ23" s="3399"/>
      <c r="BK23" s="3399"/>
      <c r="BL23" s="4176"/>
      <c r="BM23" s="4178"/>
      <c r="BN23" s="4176"/>
      <c r="BO23" s="4178"/>
      <c r="BP23" s="3264"/>
    </row>
    <row r="24" spans="1:75" s="861" customFormat="1" ht="96" customHeight="1" x14ac:dyDescent="0.25">
      <c r="A24" s="236"/>
      <c r="B24" s="936"/>
      <c r="C24" s="936"/>
      <c r="D24" s="1061"/>
      <c r="E24" s="4149"/>
      <c r="F24" s="4154"/>
      <c r="G24" s="3088"/>
      <c r="H24" s="3593"/>
      <c r="I24" s="3189"/>
      <c r="J24" s="3479"/>
      <c r="K24" s="3498"/>
      <c r="L24" s="4146"/>
      <c r="M24" s="4148"/>
      <c r="N24" s="3264"/>
      <c r="O24" s="2882"/>
      <c r="P24" s="3573"/>
      <c r="Q24" s="4171"/>
      <c r="R24" s="3189"/>
      <c r="S24" s="4172"/>
      <c r="T24" s="1088" t="s">
        <v>714</v>
      </c>
      <c r="U24" s="1089">
        <v>8000000</v>
      </c>
      <c r="V24" s="1089"/>
      <c r="W24" s="1089"/>
      <c r="X24" s="1090">
        <v>20</v>
      </c>
      <c r="Y24" s="2273" t="s">
        <v>85</v>
      </c>
      <c r="Z24" s="3264"/>
      <c r="AA24" s="3399"/>
      <c r="AB24" s="3264"/>
      <c r="AC24" s="3399"/>
      <c r="AD24" s="3264"/>
      <c r="AE24" s="3399"/>
      <c r="AF24" s="3264"/>
      <c r="AG24" s="3399"/>
      <c r="AH24" s="3264"/>
      <c r="AI24" s="3399"/>
      <c r="AJ24" s="3264"/>
      <c r="AK24" s="3399"/>
      <c r="AL24" s="3264"/>
      <c r="AM24" s="3399"/>
      <c r="AN24" s="3264"/>
      <c r="AO24" s="3399"/>
      <c r="AP24" s="3264"/>
      <c r="AQ24" s="3399"/>
      <c r="AR24" s="3264"/>
      <c r="AS24" s="3399"/>
      <c r="AT24" s="3264"/>
      <c r="AU24" s="3399"/>
      <c r="AV24" s="3264"/>
      <c r="AW24" s="3399"/>
      <c r="AX24" s="3264"/>
      <c r="AY24" s="3399"/>
      <c r="AZ24" s="3264"/>
      <c r="BA24" s="3399"/>
      <c r="BB24" s="3264"/>
      <c r="BC24" s="3399"/>
      <c r="BD24" s="3264"/>
      <c r="BE24" s="3399"/>
      <c r="BF24" s="3399"/>
      <c r="BG24" s="4181"/>
      <c r="BH24" s="4181"/>
      <c r="BI24" s="4184"/>
      <c r="BJ24" s="3399"/>
      <c r="BK24" s="3399"/>
      <c r="BL24" s="4176"/>
      <c r="BM24" s="4178"/>
      <c r="BN24" s="4176"/>
      <c r="BO24" s="4178"/>
      <c r="BP24" s="3264"/>
    </row>
    <row r="25" spans="1:75" s="861" customFormat="1" ht="73.5" customHeight="1" x14ac:dyDescent="0.25">
      <c r="A25" s="236"/>
      <c r="B25" s="936"/>
      <c r="C25" s="936"/>
      <c r="D25" s="1061"/>
      <c r="E25" s="4149"/>
      <c r="F25" s="4154"/>
      <c r="G25" s="3088"/>
      <c r="H25" s="3593"/>
      <c r="I25" s="3189"/>
      <c r="J25" s="3479"/>
      <c r="K25" s="3498"/>
      <c r="L25" s="4146"/>
      <c r="M25" s="4148"/>
      <c r="N25" s="3264"/>
      <c r="O25" s="2882"/>
      <c r="P25" s="3573"/>
      <c r="Q25" s="4171"/>
      <c r="R25" s="3189"/>
      <c r="S25" s="4172"/>
      <c r="T25" s="1088" t="s">
        <v>715</v>
      </c>
      <c r="U25" s="1089">
        <v>7000000</v>
      </c>
      <c r="V25" s="1089">
        <v>5266667</v>
      </c>
      <c r="W25" s="1089">
        <v>5266667</v>
      </c>
      <c r="X25" s="1090">
        <v>20</v>
      </c>
      <c r="Y25" s="2273" t="s">
        <v>85</v>
      </c>
      <c r="Z25" s="3264"/>
      <c r="AA25" s="3399"/>
      <c r="AB25" s="3264"/>
      <c r="AC25" s="3399"/>
      <c r="AD25" s="3264"/>
      <c r="AE25" s="3399"/>
      <c r="AF25" s="3264"/>
      <c r="AG25" s="3399"/>
      <c r="AH25" s="3264"/>
      <c r="AI25" s="3399"/>
      <c r="AJ25" s="3264"/>
      <c r="AK25" s="3399"/>
      <c r="AL25" s="3264"/>
      <c r="AM25" s="3399"/>
      <c r="AN25" s="3264"/>
      <c r="AO25" s="3399"/>
      <c r="AP25" s="3264"/>
      <c r="AQ25" s="3399"/>
      <c r="AR25" s="3264"/>
      <c r="AS25" s="3399"/>
      <c r="AT25" s="3264"/>
      <c r="AU25" s="3399"/>
      <c r="AV25" s="3264"/>
      <c r="AW25" s="3399"/>
      <c r="AX25" s="3264"/>
      <c r="AY25" s="3399"/>
      <c r="AZ25" s="3264"/>
      <c r="BA25" s="3399"/>
      <c r="BB25" s="3264"/>
      <c r="BC25" s="3399"/>
      <c r="BD25" s="3264"/>
      <c r="BE25" s="3399"/>
      <c r="BF25" s="3399"/>
      <c r="BG25" s="4181"/>
      <c r="BH25" s="4181"/>
      <c r="BI25" s="4184"/>
      <c r="BJ25" s="3399"/>
      <c r="BK25" s="3399"/>
      <c r="BL25" s="4176"/>
      <c r="BM25" s="4178"/>
      <c r="BN25" s="4176"/>
      <c r="BO25" s="4178"/>
      <c r="BP25" s="3264"/>
    </row>
    <row r="26" spans="1:75" s="861" customFormat="1" ht="81" customHeight="1" x14ac:dyDescent="0.25">
      <c r="A26" s="236"/>
      <c r="B26" s="936"/>
      <c r="C26" s="936"/>
      <c r="D26" s="1061"/>
      <c r="E26" s="4149"/>
      <c r="F26" s="4154"/>
      <c r="G26" s="3088"/>
      <c r="H26" s="3593"/>
      <c r="I26" s="3189"/>
      <c r="J26" s="3479"/>
      <c r="K26" s="3498"/>
      <c r="L26" s="4146"/>
      <c r="M26" s="4148"/>
      <c r="N26" s="3264"/>
      <c r="O26" s="2882"/>
      <c r="P26" s="3573"/>
      <c r="Q26" s="4171"/>
      <c r="R26" s="3189"/>
      <c r="S26" s="4172"/>
      <c r="T26" s="1088" t="s">
        <v>716</v>
      </c>
      <c r="U26" s="1089">
        <v>9000000</v>
      </c>
      <c r="V26" s="1089">
        <v>6000000</v>
      </c>
      <c r="W26" s="1089">
        <v>6000000</v>
      </c>
      <c r="X26" s="1090">
        <v>20</v>
      </c>
      <c r="Y26" s="2273" t="s">
        <v>85</v>
      </c>
      <c r="Z26" s="3264"/>
      <c r="AA26" s="3399"/>
      <c r="AB26" s="3264"/>
      <c r="AC26" s="3399"/>
      <c r="AD26" s="3264"/>
      <c r="AE26" s="3399"/>
      <c r="AF26" s="3264"/>
      <c r="AG26" s="3399"/>
      <c r="AH26" s="3264"/>
      <c r="AI26" s="3399"/>
      <c r="AJ26" s="3264"/>
      <c r="AK26" s="3399"/>
      <c r="AL26" s="3264"/>
      <c r="AM26" s="3399"/>
      <c r="AN26" s="3264"/>
      <c r="AO26" s="3399"/>
      <c r="AP26" s="3264"/>
      <c r="AQ26" s="3399"/>
      <c r="AR26" s="3264"/>
      <c r="AS26" s="3399"/>
      <c r="AT26" s="3264"/>
      <c r="AU26" s="3399"/>
      <c r="AV26" s="3264"/>
      <c r="AW26" s="3399"/>
      <c r="AX26" s="3264"/>
      <c r="AY26" s="3399"/>
      <c r="AZ26" s="3264"/>
      <c r="BA26" s="3399"/>
      <c r="BB26" s="3264"/>
      <c r="BC26" s="3399"/>
      <c r="BD26" s="3264"/>
      <c r="BE26" s="3399"/>
      <c r="BF26" s="3399"/>
      <c r="BG26" s="4181"/>
      <c r="BH26" s="4181"/>
      <c r="BI26" s="4184"/>
      <c r="BJ26" s="3399"/>
      <c r="BK26" s="3399"/>
      <c r="BL26" s="4176"/>
      <c r="BM26" s="4178"/>
      <c r="BN26" s="4176"/>
      <c r="BO26" s="4178"/>
      <c r="BP26" s="3264"/>
    </row>
    <row r="27" spans="1:75" s="861" customFormat="1" ht="60" customHeight="1" x14ac:dyDescent="0.25">
      <c r="A27" s="236"/>
      <c r="B27" s="936"/>
      <c r="C27" s="936"/>
      <c r="D27" s="1072"/>
      <c r="E27" s="4150"/>
      <c r="F27" s="4151"/>
      <c r="G27" s="3088"/>
      <c r="H27" s="3593"/>
      <c r="I27" s="3189"/>
      <c r="J27" s="3479"/>
      <c r="K27" s="3498"/>
      <c r="L27" s="4147"/>
      <c r="M27" s="4148"/>
      <c r="N27" s="3264"/>
      <c r="O27" s="2882"/>
      <c r="P27" s="3573"/>
      <c r="Q27" s="4171"/>
      <c r="R27" s="3189"/>
      <c r="S27" s="4172"/>
      <c r="T27" s="1091" t="s">
        <v>717</v>
      </c>
      <c r="U27" s="1092">
        <v>0</v>
      </c>
      <c r="V27" s="1092"/>
      <c r="W27" s="1089"/>
      <c r="X27" s="1093"/>
      <c r="Y27" s="2273"/>
      <c r="Z27" s="3264"/>
      <c r="AA27" s="2963"/>
      <c r="AB27" s="3264"/>
      <c r="AC27" s="2963"/>
      <c r="AD27" s="3264"/>
      <c r="AE27" s="2963"/>
      <c r="AF27" s="3264"/>
      <c r="AG27" s="2963"/>
      <c r="AH27" s="3264"/>
      <c r="AI27" s="2963"/>
      <c r="AJ27" s="3264"/>
      <c r="AK27" s="2963"/>
      <c r="AL27" s="3264"/>
      <c r="AM27" s="2963"/>
      <c r="AN27" s="3264"/>
      <c r="AO27" s="2963"/>
      <c r="AP27" s="3264"/>
      <c r="AQ27" s="2963"/>
      <c r="AR27" s="3264"/>
      <c r="AS27" s="2963"/>
      <c r="AT27" s="3264"/>
      <c r="AU27" s="2963"/>
      <c r="AV27" s="3264"/>
      <c r="AW27" s="2963"/>
      <c r="AX27" s="3264"/>
      <c r="AY27" s="2963"/>
      <c r="AZ27" s="3264"/>
      <c r="BA27" s="2963"/>
      <c r="BB27" s="3264"/>
      <c r="BC27" s="2963"/>
      <c r="BD27" s="3264"/>
      <c r="BE27" s="2963"/>
      <c r="BF27" s="2963"/>
      <c r="BG27" s="4182"/>
      <c r="BH27" s="4182"/>
      <c r="BI27" s="3297"/>
      <c r="BJ27" s="2963"/>
      <c r="BK27" s="2963"/>
      <c r="BL27" s="4176"/>
      <c r="BM27" s="4179"/>
      <c r="BN27" s="4176"/>
      <c r="BO27" s="4179"/>
      <c r="BP27" s="3264"/>
    </row>
    <row r="28" spans="1:75" ht="15.75" x14ac:dyDescent="0.25">
      <c r="A28" s="862"/>
      <c r="B28" s="79"/>
      <c r="C28" s="79"/>
      <c r="D28" s="1074">
        <v>36</v>
      </c>
      <c r="E28" s="1075" t="s">
        <v>718</v>
      </c>
      <c r="F28" s="1075"/>
      <c r="G28" s="1094"/>
      <c r="H28" s="1094"/>
      <c r="I28" s="278"/>
      <c r="J28" s="278"/>
      <c r="K28" s="819"/>
      <c r="L28" s="1095"/>
      <c r="M28" s="278"/>
      <c r="N28" s="287"/>
      <c r="O28" s="278"/>
      <c r="P28" s="1096"/>
      <c r="Q28" s="1097"/>
      <c r="R28" s="278"/>
      <c r="S28" s="278"/>
      <c r="T28" s="1098"/>
      <c r="U28" s="1099"/>
      <c r="V28" s="1099"/>
      <c r="W28" s="1099"/>
      <c r="X28" s="1100"/>
      <c r="Y28" s="1101"/>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87"/>
      <c r="BB28" s="287"/>
      <c r="BC28" s="287"/>
      <c r="BD28" s="287"/>
      <c r="BE28" s="287"/>
      <c r="BF28" s="287"/>
      <c r="BG28" s="1102"/>
      <c r="BH28" s="1102"/>
      <c r="BI28" s="287"/>
      <c r="BJ28" s="287"/>
      <c r="BK28" s="1094"/>
      <c r="BL28" s="287"/>
      <c r="BM28" s="287"/>
      <c r="BN28" s="287"/>
      <c r="BO28" s="287"/>
      <c r="BP28" s="1103"/>
    </row>
    <row r="29" spans="1:75" ht="49.5" customHeight="1" x14ac:dyDescent="0.25">
      <c r="A29" s="862"/>
      <c r="B29" s="79"/>
      <c r="C29" s="79"/>
      <c r="D29" s="1104"/>
      <c r="E29" s="94"/>
      <c r="F29" s="95"/>
      <c r="G29" s="2793" t="s">
        <v>603</v>
      </c>
      <c r="H29" s="2721">
        <v>36.4</v>
      </c>
      <c r="I29" s="2585" t="s">
        <v>719</v>
      </c>
      <c r="J29" s="2707" t="s">
        <v>720</v>
      </c>
      <c r="K29" s="2581">
        <v>1</v>
      </c>
      <c r="L29" s="4173">
        <v>0.18</v>
      </c>
      <c r="M29" s="2707" t="s">
        <v>721</v>
      </c>
      <c r="N29" s="2584" t="s">
        <v>722</v>
      </c>
      <c r="O29" s="3346" t="s">
        <v>723</v>
      </c>
      <c r="P29" s="2587">
        <v>0.54545454545454541</v>
      </c>
      <c r="Q29" s="4185">
        <v>55000000</v>
      </c>
      <c r="R29" s="2742" t="s">
        <v>724</v>
      </c>
      <c r="S29" s="3784" t="s">
        <v>725</v>
      </c>
      <c r="T29" s="2608" t="s">
        <v>726</v>
      </c>
      <c r="U29" s="1063">
        <v>9000000</v>
      </c>
      <c r="V29" s="1063">
        <v>0</v>
      </c>
      <c r="W29" s="1063">
        <v>0</v>
      </c>
      <c r="X29" s="1105">
        <v>88</v>
      </c>
      <c r="Y29" s="2496" t="s">
        <v>411</v>
      </c>
      <c r="Z29" s="2793">
        <v>2000</v>
      </c>
      <c r="AA29" s="2583">
        <v>520</v>
      </c>
      <c r="AB29" s="2583">
        <v>1900</v>
      </c>
      <c r="AC29" s="2583">
        <v>260</v>
      </c>
      <c r="AD29" s="2583">
        <v>2500</v>
      </c>
      <c r="AE29" s="2583"/>
      <c r="AF29" s="2583">
        <v>700</v>
      </c>
      <c r="AG29" s="2583"/>
      <c r="AH29" s="2583">
        <v>700</v>
      </c>
      <c r="AI29" s="2583">
        <v>780</v>
      </c>
      <c r="AJ29" s="2583">
        <v>0</v>
      </c>
      <c r="AK29" s="2583"/>
      <c r="AL29" s="2583">
        <v>0</v>
      </c>
      <c r="AM29" s="2583"/>
      <c r="AN29" s="2583">
        <v>0</v>
      </c>
      <c r="AO29" s="2583"/>
      <c r="AP29" s="2583">
        <v>0</v>
      </c>
      <c r="AQ29" s="2583"/>
      <c r="AR29" s="2583">
        <v>0</v>
      </c>
      <c r="AS29" s="2583"/>
      <c r="AT29" s="2583">
        <v>0</v>
      </c>
      <c r="AU29" s="2583"/>
      <c r="AV29" s="2583">
        <v>0</v>
      </c>
      <c r="AW29" s="2583"/>
      <c r="AX29" s="2583">
        <v>0</v>
      </c>
      <c r="AY29" s="2583"/>
      <c r="AZ29" s="2583">
        <v>0</v>
      </c>
      <c r="BA29" s="2583"/>
      <c r="BB29" s="2583">
        <v>0</v>
      </c>
      <c r="BC29" s="2583"/>
      <c r="BD29" s="2583">
        <v>3900</v>
      </c>
      <c r="BE29" s="2583">
        <f>AA29+AC29</f>
        <v>780</v>
      </c>
      <c r="BF29" s="2583">
        <v>4</v>
      </c>
      <c r="BG29" s="4186">
        <f>SUM(V29:V38)</f>
        <v>27199999</v>
      </c>
      <c r="BH29" s="4186">
        <f>SUM(W29:W38)</f>
        <v>27199999</v>
      </c>
      <c r="BI29" s="3391">
        <f>BH29/BG29</f>
        <v>1</v>
      </c>
      <c r="BJ29" s="2583" t="s">
        <v>691</v>
      </c>
      <c r="BK29" s="3510" t="s">
        <v>727</v>
      </c>
      <c r="BL29" s="4190">
        <v>43832</v>
      </c>
      <c r="BM29" s="4190">
        <v>44082</v>
      </c>
      <c r="BN29" s="4190">
        <v>44195</v>
      </c>
      <c r="BO29" s="4190">
        <v>44187</v>
      </c>
      <c r="BP29" s="2720" t="s">
        <v>693</v>
      </c>
    </row>
    <row r="30" spans="1:75" ht="73.5" customHeight="1" x14ac:dyDescent="0.25">
      <c r="A30" s="862"/>
      <c r="B30" s="79"/>
      <c r="C30" s="79"/>
      <c r="D30" s="887"/>
      <c r="E30" s="79"/>
      <c r="F30" s="888"/>
      <c r="G30" s="2793"/>
      <c r="H30" s="2721"/>
      <c r="I30" s="2585"/>
      <c r="J30" s="2707"/>
      <c r="K30" s="2581"/>
      <c r="L30" s="4174"/>
      <c r="M30" s="2707"/>
      <c r="N30" s="2584"/>
      <c r="O30" s="3346"/>
      <c r="P30" s="2587"/>
      <c r="Q30" s="4185"/>
      <c r="R30" s="2742"/>
      <c r="S30" s="3784"/>
      <c r="T30" s="2608"/>
      <c r="U30" s="1063">
        <v>12000000</v>
      </c>
      <c r="V30" s="1063">
        <v>0</v>
      </c>
      <c r="W30" s="1063">
        <v>0</v>
      </c>
      <c r="X30" s="1105">
        <v>20</v>
      </c>
      <c r="Y30" s="2496" t="s">
        <v>728</v>
      </c>
      <c r="Z30" s="2793"/>
      <c r="AA30" s="2584"/>
      <c r="AB30" s="2583"/>
      <c r="AC30" s="2584"/>
      <c r="AD30" s="2583"/>
      <c r="AE30" s="2584"/>
      <c r="AF30" s="2583"/>
      <c r="AG30" s="2584"/>
      <c r="AH30" s="2583"/>
      <c r="AI30" s="2584"/>
      <c r="AJ30" s="2583"/>
      <c r="AK30" s="2584"/>
      <c r="AL30" s="2583"/>
      <c r="AM30" s="2584"/>
      <c r="AN30" s="2583"/>
      <c r="AO30" s="2584"/>
      <c r="AP30" s="2583"/>
      <c r="AQ30" s="2584"/>
      <c r="AR30" s="2583"/>
      <c r="AS30" s="2584"/>
      <c r="AT30" s="2583"/>
      <c r="AU30" s="2584"/>
      <c r="AV30" s="2583"/>
      <c r="AW30" s="2584"/>
      <c r="AX30" s="2583"/>
      <c r="AY30" s="2584"/>
      <c r="AZ30" s="2583"/>
      <c r="BA30" s="2584"/>
      <c r="BB30" s="2583"/>
      <c r="BC30" s="2584"/>
      <c r="BD30" s="2583"/>
      <c r="BE30" s="2584"/>
      <c r="BF30" s="2584"/>
      <c r="BG30" s="4187"/>
      <c r="BH30" s="4187"/>
      <c r="BI30" s="3392"/>
      <c r="BJ30" s="2584"/>
      <c r="BK30" s="3501"/>
      <c r="BL30" s="4190"/>
      <c r="BM30" s="4190"/>
      <c r="BN30" s="4190"/>
      <c r="BO30" s="4190"/>
      <c r="BP30" s="2720"/>
    </row>
    <row r="31" spans="1:75" ht="71.25" customHeight="1" x14ac:dyDescent="0.25">
      <c r="A31" s="862"/>
      <c r="B31" s="79"/>
      <c r="C31" s="79"/>
      <c r="D31" s="887"/>
      <c r="E31" s="79"/>
      <c r="F31" s="888"/>
      <c r="G31" s="2793"/>
      <c r="H31" s="2721"/>
      <c r="I31" s="2585"/>
      <c r="J31" s="2707"/>
      <c r="K31" s="2581"/>
      <c r="L31" s="4175"/>
      <c r="M31" s="2707"/>
      <c r="N31" s="2584"/>
      <c r="O31" s="3346"/>
      <c r="P31" s="2587"/>
      <c r="Q31" s="4185"/>
      <c r="R31" s="2742"/>
      <c r="S31" s="3784"/>
      <c r="T31" s="867" t="s">
        <v>729</v>
      </c>
      <c r="U31" s="1063">
        <v>9000000</v>
      </c>
      <c r="V31" s="1063">
        <v>5333333</v>
      </c>
      <c r="W31" s="1063">
        <v>5333333</v>
      </c>
      <c r="X31" s="1105">
        <v>88</v>
      </c>
      <c r="Y31" s="2496" t="s">
        <v>411</v>
      </c>
      <c r="Z31" s="2793"/>
      <c r="AA31" s="2584"/>
      <c r="AB31" s="2583"/>
      <c r="AC31" s="2584"/>
      <c r="AD31" s="2583"/>
      <c r="AE31" s="2584"/>
      <c r="AF31" s="2583"/>
      <c r="AG31" s="2584"/>
      <c r="AH31" s="2583"/>
      <c r="AI31" s="2584"/>
      <c r="AJ31" s="2583"/>
      <c r="AK31" s="2584"/>
      <c r="AL31" s="2583"/>
      <c r="AM31" s="2584"/>
      <c r="AN31" s="2583"/>
      <c r="AO31" s="2584"/>
      <c r="AP31" s="2583"/>
      <c r="AQ31" s="2584"/>
      <c r="AR31" s="2583"/>
      <c r="AS31" s="2584"/>
      <c r="AT31" s="2583"/>
      <c r="AU31" s="2584"/>
      <c r="AV31" s="2583"/>
      <c r="AW31" s="2584"/>
      <c r="AX31" s="2583"/>
      <c r="AY31" s="2584"/>
      <c r="AZ31" s="2583"/>
      <c r="BA31" s="2584"/>
      <c r="BB31" s="2583"/>
      <c r="BC31" s="2584"/>
      <c r="BD31" s="2583"/>
      <c r="BE31" s="2584"/>
      <c r="BF31" s="2584"/>
      <c r="BG31" s="4187"/>
      <c r="BH31" s="4187"/>
      <c r="BI31" s="3392"/>
      <c r="BJ31" s="2584"/>
      <c r="BK31" s="3501"/>
      <c r="BL31" s="4190"/>
      <c r="BM31" s="4190"/>
      <c r="BN31" s="4190"/>
      <c r="BO31" s="4190"/>
      <c r="BP31" s="2720"/>
    </row>
    <row r="32" spans="1:75" ht="103.5" customHeight="1" x14ac:dyDescent="0.25">
      <c r="A32" s="862"/>
      <c r="B32" s="79"/>
      <c r="C32" s="79"/>
      <c r="D32" s="887"/>
      <c r="E32" s="79"/>
      <c r="F32" s="888"/>
      <c r="G32" s="2618" t="s">
        <v>603</v>
      </c>
      <c r="H32" s="2620">
        <v>36.299999999999997</v>
      </c>
      <c r="I32" s="2608" t="s">
        <v>730</v>
      </c>
      <c r="J32" s="2717" t="s">
        <v>731</v>
      </c>
      <c r="K32" s="2625">
        <v>12</v>
      </c>
      <c r="L32" s="4191">
        <v>12</v>
      </c>
      <c r="M32" s="2707"/>
      <c r="N32" s="2584"/>
      <c r="O32" s="3346"/>
      <c r="P32" s="2587">
        <v>0.45454545454545453</v>
      </c>
      <c r="Q32" s="4185"/>
      <c r="R32" s="2742"/>
      <c r="S32" s="3784"/>
      <c r="T32" s="867" t="s">
        <v>732</v>
      </c>
      <c r="U32" s="1063">
        <v>3000000</v>
      </c>
      <c r="V32" s="1063">
        <v>3000000</v>
      </c>
      <c r="W32" s="1063">
        <v>3000000</v>
      </c>
      <c r="X32" s="1105">
        <v>20</v>
      </c>
      <c r="Y32" s="2496" t="s">
        <v>728</v>
      </c>
      <c r="Z32" s="2793"/>
      <c r="AA32" s="2584"/>
      <c r="AB32" s="2583"/>
      <c r="AC32" s="2584"/>
      <c r="AD32" s="2583"/>
      <c r="AE32" s="2584"/>
      <c r="AF32" s="2583"/>
      <c r="AG32" s="2584"/>
      <c r="AH32" s="2583"/>
      <c r="AI32" s="2584"/>
      <c r="AJ32" s="2583"/>
      <c r="AK32" s="2584"/>
      <c r="AL32" s="2583"/>
      <c r="AM32" s="2584"/>
      <c r="AN32" s="2583"/>
      <c r="AO32" s="2584"/>
      <c r="AP32" s="2583"/>
      <c r="AQ32" s="2584"/>
      <c r="AR32" s="2583"/>
      <c r="AS32" s="2584"/>
      <c r="AT32" s="2583"/>
      <c r="AU32" s="2584"/>
      <c r="AV32" s="2583"/>
      <c r="AW32" s="2584"/>
      <c r="AX32" s="2583"/>
      <c r="AY32" s="2584"/>
      <c r="AZ32" s="2583"/>
      <c r="BA32" s="2584"/>
      <c r="BB32" s="2583"/>
      <c r="BC32" s="2584"/>
      <c r="BD32" s="2583"/>
      <c r="BE32" s="2584"/>
      <c r="BF32" s="2584"/>
      <c r="BG32" s="4187"/>
      <c r="BH32" s="4187"/>
      <c r="BI32" s="3392"/>
      <c r="BJ32" s="2584"/>
      <c r="BK32" s="3501"/>
      <c r="BL32" s="4190"/>
      <c r="BM32" s="4190"/>
      <c r="BN32" s="4190"/>
      <c r="BO32" s="4190"/>
      <c r="BP32" s="2720"/>
    </row>
    <row r="33" spans="1:68" ht="77.25" customHeight="1" x14ac:dyDescent="0.25">
      <c r="A33" s="862"/>
      <c r="B33" s="79"/>
      <c r="C33" s="79"/>
      <c r="D33" s="887"/>
      <c r="E33" s="79"/>
      <c r="F33" s="888"/>
      <c r="G33" s="2618"/>
      <c r="H33" s="2620"/>
      <c r="I33" s="2608"/>
      <c r="J33" s="2717"/>
      <c r="K33" s="2625"/>
      <c r="L33" s="4192"/>
      <c r="M33" s="2707"/>
      <c r="N33" s="2584"/>
      <c r="O33" s="3346"/>
      <c r="P33" s="2587"/>
      <c r="Q33" s="4185"/>
      <c r="R33" s="2742"/>
      <c r="S33" s="3784"/>
      <c r="T33" s="867" t="s">
        <v>733</v>
      </c>
      <c r="U33" s="1063">
        <v>3720000</v>
      </c>
      <c r="V33" s="1063">
        <v>3720000</v>
      </c>
      <c r="W33" s="1063">
        <v>3720000</v>
      </c>
      <c r="X33" s="1105">
        <v>20</v>
      </c>
      <c r="Y33" s="2496" t="s">
        <v>728</v>
      </c>
      <c r="Z33" s="2793"/>
      <c r="AA33" s="2584"/>
      <c r="AB33" s="2583"/>
      <c r="AC33" s="2584"/>
      <c r="AD33" s="2583"/>
      <c r="AE33" s="2584"/>
      <c r="AF33" s="2583"/>
      <c r="AG33" s="2584"/>
      <c r="AH33" s="2583"/>
      <c r="AI33" s="2584"/>
      <c r="AJ33" s="2583"/>
      <c r="AK33" s="2584"/>
      <c r="AL33" s="2583"/>
      <c r="AM33" s="2584"/>
      <c r="AN33" s="2583"/>
      <c r="AO33" s="2584"/>
      <c r="AP33" s="2583"/>
      <c r="AQ33" s="2584"/>
      <c r="AR33" s="2583"/>
      <c r="AS33" s="2584"/>
      <c r="AT33" s="2583"/>
      <c r="AU33" s="2584"/>
      <c r="AV33" s="2583"/>
      <c r="AW33" s="2584"/>
      <c r="AX33" s="2583"/>
      <c r="AY33" s="2584"/>
      <c r="AZ33" s="2583"/>
      <c r="BA33" s="2584"/>
      <c r="BB33" s="2583"/>
      <c r="BC33" s="2584"/>
      <c r="BD33" s="2583"/>
      <c r="BE33" s="2584"/>
      <c r="BF33" s="2584"/>
      <c r="BG33" s="4187"/>
      <c r="BH33" s="4187"/>
      <c r="BI33" s="3392"/>
      <c r="BJ33" s="2584"/>
      <c r="BK33" s="3501"/>
      <c r="BL33" s="4190"/>
      <c r="BM33" s="4190"/>
      <c r="BN33" s="4190"/>
      <c r="BO33" s="4190"/>
      <c r="BP33" s="2720"/>
    </row>
    <row r="34" spans="1:68" ht="57.75" customHeight="1" x14ac:dyDescent="0.25">
      <c r="A34" s="862"/>
      <c r="B34" s="79"/>
      <c r="C34" s="79"/>
      <c r="D34" s="887"/>
      <c r="E34" s="79"/>
      <c r="F34" s="888"/>
      <c r="G34" s="2618"/>
      <c r="H34" s="2620"/>
      <c r="I34" s="2608"/>
      <c r="J34" s="2717"/>
      <c r="K34" s="2625"/>
      <c r="L34" s="4192"/>
      <c r="M34" s="2707"/>
      <c r="N34" s="2584"/>
      <c r="O34" s="3346"/>
      <c r="P34" s="2587"/>
      <c r="Q34" s="4185"/>
      <c r="R34" s="2742"/>
      <c r="S34" s="3784"/>
      <c r="T34" s="867" t="s">
        <v>734</v>
      </c>
      <c r="U34" s="1063">
        <v>1813333</v>
      </c>
      <c r="V34" s="1063">
        <v>1813333</v>
      </c>
      <c r="W34" s="1063">
        <v>1813333</v>
      </c>
      <c r="X34" s="1105">
        <v>20</v>
      </c>
      <c r="Y34" s="2496" t="s">
        <v>728</v>
      </c>
      <c r="Z34" s="2793"/>
      <c r="AA34" s="2584"/>
      <c r="AB34" s="2583"/>
      <c r="AC34" s="2584"/>
      <c r="AD34" s="2583"/>
      <c r="AE34" s="2584"/>
      <c r="AF34" s="2583"/>
      <c r="AG34" s="2584"/>
      <c r="AH34" s="2583"/>
      <c r="AI34" s="2584"/>
      <c r="AJ34" s="2583"/>
      <c r="AK34" s="2584"/>
      <c r="AL34" s="2583"/>
      <c r="AM34" s="2584"/>
      <c r="AN34" s="2583"/>
      <c r="AO34" s="2584"/>
      <c r="AP34" s="2583"/>
      <c r="AQ34" s="2584"/>
      <c r="AR34" s="2583"/>
      <c r="AS34" s="2584"/>
      <c r="AT34" s="2583"/>
      <c r="AU34" s="2584"/>
      <c r="AV34" s="2583"/>
      <c r="AW34" s="2584"/>
      <c r="AX34" s="2583"/>
      <c r="AY34" s="2584"/>
      <c r="AZ34" s="2583"/>
      <c r="BA34" s="2584"/>
      <c r="BB34" s="2583"/>
      <c r="BC34" s="2584"/>
      <c r="BD34" s="2583"/>
      <c r="BE34" s="2584"/>
      <c r="BF34" s="2584"/>
      <c r="BG34" s="4187"/>
      <c r="BH34" s="4187"/>
      <c r="BI34" s="3392"/>
      <c r="BJ34" s="2584"/>
      <c r="BK34" s="3501"/>
      <c r="BL34" s="4190"/>
      <c r="BM34" s="4190"/>
      <c r="BN34" s="4190"/>
      <c r="BO34" s="4190"/>
      <c r="BP34" s="2720"/>
    </row>
    <row r="35" spans="1:68" ht="75" customHeight="1" x14ac:dyDescent="0.25">
      <c r="A35" s="862"/>
      <c r="B35" s="79"/>
      <c r="C35" s="79"/>
      <c r="D35" s="887"/>
      <c r="E35" s="79"/>
      <c r="F35" s="888"/>
      <c r="G35" s="2618"/>
      <c r="H35" s="2620"/>
      <c r="I35" s="2608"/>
      <c r="J35" s="2717"/>
      <c r="K35" s="2625"/>
      <c r="L35" s="4192"/>
      <c r="M35" s="2707"/>
      <c r="N35" s="2584"/>
      <c r="O35" s="3346"/>
      <c r="P35" s="2587"/>
      <c r="Q35" s="4185"/>
      <c r="R35" s="2742"/>
      <c r="S35" s="3784"/>
      <c r="T35" s="867" t="s">
        <v>735</v>
      </c>
      <c r="U35" s="1063">
        <v>5000000</v>
      </c>
      <c r="V35" s="1063">
        <v>4000000</v>
      </c>
      <c r="W35" s="1063">
        <v>4000000</v>
      </c>
      <c r="X35" s="1105">
        <v>88</v>
      </c>
      <c r="Y35" s="2496" t="s">
        <v>411</v>
      </c>
      <c r="Z35" s="2793"/>
      <c r="AA35" s="2584"/>
      <c r="AB35" s="2583"/>
      <c r="AC35" s="2584"/>
      <c r="AD35" s="2583"/>
      <c r="AE35" s="2584"/>
      <c r="AF35" s="2583"/>
      <c r="AG35" s="2584"/>
      <c r="AH35" s="2583"/>
      <c r="AI35" s="2584"/>
      <c r="AJ35" s="2583"/>
      <c r="AK35" s="2584"/>
      <c r="AL35" s="2583"/>
      <c r="AM35" s="2584"/>
      <c r="AN35" s="2583"/>
      <c r="AO35" s="2584"/>
      <c r="AP35" s="2583"/>
      <c r="AQ35" s="2584"/>
      <c r="AR35" s="2583"/>
      <c r="AS35" s="2584"/>
      <c r="AT35" s="2583"/>
      <c r="AU35" s="2584"/>
      <c r="AV35" s="2583"/>
      <c r="AW35" s="2584"/>
      <c r="AX35" s="2583"/>
      <c r="AY35" s="2584"/>
      <c r="AZ35" s="2583"/>
      <c r="BA35" s="2584"/>
      <c r="BB35" s="2583"/>
      <c r="BC35" s="2584"/>
      <c r="BD35" s="2583"/>
      <c r="BE35" s="2584"/>
      <c r="BF35" s="2584"/>
      <c r="BG35" s="4187"/>
      <c r="BH35" s="4187"/>
      <c r="BI35" s="3392"/>
      <c r="BJ35" s="2584"/>
      <c r="BK35" s="3501"/>
      <c r="BL35" s="4190"/>
      <c r="BM35" s="4190"/>
      <c r="BN35" s="4190"/>
      <c r="BO35" s="4190"/>
      <c r="BP35" s="2720"/>
    </row>
    <row r="36" spans="1:68" ht="75" customHeight="1" x14ac:dyDescent="0.25">
      <c r="A36" s="862"/>
      <c r="B36" s="79"/>
      <c r="C36" s="79"/>
      <c r="D36" s="887"/>
      <c r="E36" s="79"/>
      <c r="F36" s="888"/>
      <c r="G36" s="2618"/>
      <c r="H36" s="2620"/>
      <c r="I36" s="2608"/>
      <c r="J36" s="2717"/>
      <c r="K36" s="2625"/>
      <c r="L36" s="4192"/>
      <c r="M36" s="2707"/>
      <c r="N36" s="2584"/>
      <c r="O36" s="3346"/>
      <c r="P36" s="2587"/>
      <c r="Q36" s="4185"/>
      <c r="R36" s="2742"/>
      <c r="S36" s="3784"/>
      <c r="T36" s="867" t="s">
        <v>736</v>
      </c>
      <c r="U36" s="1063">
        <v>11466667</v>
      </c>
      <c r="V36" s="1063">
        <v>9333333</v>
      </c>
      <c r="W36" s="1063">
        <v>9333333</v>
      </c>
      <c r="X36" s="1105">
        <v>20</v>
      </c>
      <c r="Y36" s="2496" t="s">
        <v>728</v>
      </c>
      <c r="Z36" s="2793"/>
      <c r="AA36" s="2584"/>
      <c r="AB36" s="2583"/>
      <c r="AC36" s="2584"/>
      <c r="AD36" s="2583"/>
      <c r="AE36" s="2584"/>
      <c r="AF36" s="2583"/>
      <c r="AG36" s="2584"/>
      <c r="AH36" s="2583"/>
      <c r="AI36" s="2584"/>
      <c r="AJ36" s="2583"/>
      <c r="AK36" s="2584"/>
      <c r="AL36" s="2583"/>
      <c r="AM36" s="2584"/>
      <c r="AN36" s="2583"/>
      <c r="AO36" s="2584"/>
      <c r="AP36" s="2583"/>
      <c r="AQ36" s="2584"/>
      <c r="AR36" s="2583"/>
      <c r="AS36" s="2584"/>
      <c r="AT36" s="2583"/>
      <c r="AU36" s="2584"/>
      <c r="AV36" s="2583"/>
      <c r="AW36" s="2584"/>
      <c r="AX36" s="2583"/>
      <c r="AY36" s="2584"/>
      <c r="AZ36" s="2583"/>
      <c r="BA36" s="2584"/>
      <c r="BB36" s="2583"/>
      <c r="BC36" s="2584"/>
      <c r="BD36" s="2583"/>
      <c r="BE36" s="2584"/>
      <c r="BF36" s="2584"/>
      <c r="BG36" s="4187"/>
      <c r="BH36" s="4187"/>
      <c r="BI36" s="3392"/>
      <c r="BJ36" s="2584"/>
      <c r="BK36" s="3501"/>
      <c r="BL36" s="4190"/>
      <c r="BM36" s="4190"/>
      <c r="BN36" s="4190"/>
      <c r="BO36" s="4190"/>
      <c r="BP36" s="2720"/>
    </row>
    <row r="37" spans="1:68" ht="90" customHeight="1" x14ac:dyDescent="0.25">
      <c r="A37" s="862"/>
      <c r="B37" s="79"/>
      <c r="C37" s="79"/>
      <c r="D37" s="887"/>
      <c r="E37" s="79"/>
      <c r="F37" s="888"/>
      <c r="G37" s="2618"/>
      <c r="H37" s="2620"/>
      <c r="I37" s="2608"/>
      <c r="J37" s="2717"/>
      <c r="K37" s="2625"/>
      <c r="L37" s="4192"/>
      <c r="M37" s="2707"/>
      <c r="N37" s="2584"/>
      <c r="O37" s="3346"/>
      <c r="P37" s="2587"/>
      <c r="Q37" s="4185"/>
      <c r="R37" s="2742"/>
      <c r="S37" s="3784"/>
      <c r="T37" s="867" t="s">
        <v>737</v>
      </c>
      <c r="U37" s="1063"/>
      <c r="V37" s="1063">
        <v>0</v>
      </c>
      <c r="W37" s="1063">
        <v>0</v>
      </c>
      <c r="X37" s="1105"/>
      <c r="Y37" s="2496"/>
      <c r="Z37" s="2793"/>
      <c r="AA37" s="2584"/>
      <c r="AB37" s="2583"/>
      <c r="AC37" s="2584"/>
      <c r="AD37" s="2583"/>
      <c r="AE37" s="2584"/>
      <c r="AF37" s="2583"/>
      <c r="AG37" s="2584"/>
      <c r="AH37" s="2583"/>
      <c r="AI37" s="2584"/>
      <c r="AJ37" s="2583"/>
      <c r="AK37" s="2584"/>
      <c r="AL37" s="2583"/>
      <c r="AM37" s="2584"/>
      <c r="AN37" s="2583"/>
      <c r="AO37" s="2584"/>
      <c r="AP37" s="2583"/>
      <c r="AQ37" s="2584"/>
      <c r="AR37" s="2583"/>
      <c r="AS37" s="2584"/>
      <c r="AT37" s="2583"/>
      <c r="AU37" s="2584"/>
      <c r="AV37" s="2583"/>
      <c r="AW37" s="2584"/>
      <c r="AX37" s="2583"/>
      <c r="AY37" s="2584"/>
      <c r="AZ37" s="2583"/>
      <c r="BA37" s="2584"/>
      <c r="BB37" s="2583"/>
      <c r="BC37" s="2584"/>
      <c r="BD37" s="2583"/>
      <c r="BE37" s="2584"/>
      <c r="BF37" s="2584"/>
      <c r="BG37" s="4187"/>
      <c r="BH37" s="4187"/>
      <c r="BI37" s="3392"/>
      <c r="BJ37" s="2584"/>
      <c r="BK37" s="3501"/>
      <c r="BL37" s="4190"/>
      <c r="BM37" s="4190"/>
      <c r="BN37" s="4190"/>
      <c r="BO37" s="4190"/>
      <c r="BP37" s="2720"/>
    </row>
    <row r="38" spans="1:68" ht="75" customHeight="1" x14ac:dyDescent="0.25">
      <c r="A38" s="862"/>
      <c r="B38" s="4189"/>
      <c r="C38" s="4189"/>
      <c r="D38" s="887"/>
      <c r="E38" s="4189"/>
      <c r="F38" s="2801"/>
      <c r="G38" s="2618"/>
      <c r="H38" s="2620"/>
      <c r="I38" s="2608"/>
      <c r="J38" s="2717"/>
      <c r="K38" s="2625"/>
      <c r="L38" s="4193"/>
      <c r="M38" s="2707"/>
      <c r="N38" s="2584"/>
      <c r="O38" s="3346"/>
      <c r="P38" s="2587"/>
      <c r="Q38" s="4185"/>
      <c r="R38" s="2742"/>
      <c r="S38" s="3784"/>
      <c r="T38" s="867" t="s">
        <v>738</v>
      </c>
      <c r="U38" s="1106"/>
      <c r="V38" s="1106"/>
      <c r="W38" s="1106">
        <v>0</v>
      </c>
      <c r="X38" s="1105"/>
      <c r="Y38" s="2496"/>
      <c r="Z38" s="2793"/>
      <c r="AA38" s="2720"/>
      <c r="AB38" s="2583"/>
      <c r="AC38" s="2720"/>
      <c r="AD38" s="2583"/>
      <c r="AE38" s="2720"/>
      <c r="AF38" s="2583"/>
      <c r="AG38" s="2720"/>
      <c r="AH38" s="2583"/>
      <c r="AI38" s="2720"/>
      <c r="AJ38" s="2583"/>
      <c r="AK38" s="2720"/>
      <c r="AL38" s="2583"/>
      <c r="AM38" s="2720"/>
      <c r="AN38" s="2583"/>
      <c r="AO38" s="2720"/>
      <c r="AP38" s="2583"/>
      <c r="AQ38" s="2720"/>
      <c r="AR38" s="2583"/>
      <c r="AS38" s="2720"/>
      <c r="AT38" s="2583"/>
      <c r="AU38" s="2720"/>
      <c r="AV38" s="2583"/>
      <c r="AW38" s="2720"/>
      <c r="AX38" s="2583"/>
      <c r="AY38" s="2720"/>
      <c r="AZ38" s="2583"/>
      <c r="BA38" s="2720"/>
      <c r="BB38" s="2583"/>
      <c r="BC38" s="2720"/>
      <c r="BD38" s="2583"/>
      <c r="BE38" s="2720"/>
      <c r="BF38" s="2720"/>
      <c r="BG38" s="4188"/>
      <c r="BH38" s="4188"/>
      <c r="BI38" s="3393"/>
      <c r="BJ38" s="2720"/>
      <c r="BK38" s="3553"/>
      <c r="BL38" s="4190"/>
      <c r="BM38" s="4190"/>
      <c r="BN38" s="4190"/>
      <c r="BO38" s="4190"/>
      <c r="BP38" s="2720"/>
    </row>
    <row r="39" spans="1:68" ht="57.75" customHeight="1" x14ac:dyDescent="0.25">
      <c r="A39" s="863"/>
      <c r="B39" s="4189"/>
      <c r="C39" s="4189"/>
      <c r="D39" s="887"/>
      <c r="E39" s="4189"/>
      <c r="F39" s="2801"/>
      <c r="G39" s="2618" t="s">
        <v>603</v>
      </c>
      <c r="H39" s="2777" t="s">
        <v>739</v>
      </c>
      <c r="I39" s="2608" t="s">
        <v>740</v>
      </c>
      <c r="J39" s="3069" t="s">
        <v>741</v>
      </c>
      <c r="K39" s="2625">
        <v>1</v>
      </c>
      <c r="L39" s="4145">
        <v>1</v>
      </c>
      <c r="M39" s="2717" t="s">
        <v>742</v>
      </c>
      <c r="N39" s="2618" t="s">
        <v>743</v>
      </c>
      <c r="O39" s="3608" t="s">
        <v>744</v>
      </c>
      <c r="P39" s="2609">
        <v>1</v>
      </c>
      <c r="Q39" s="4194">
        <v>79896166</v>
      </c>
      <c r="R39" s="2698" t="s">
        <v>745</v>
      </c>
      <c r="S39" s="3106" t="s">
        <v>746</v>
      </c>
      <c r="T39" s="867" t="s">
        <v>747</v>
      </c>
      <c r="U39" s="1063">
        <v>7000000</v>
      </c>
      <c r="V39" s="1106">
        <v>5600000</v>
      </c>
      <c r="W39" s="1063">
        <v>5600000</v>
      </c>
      <c r="X39" s="1105">
        <v>88</v>
      </c>
      <c r="Y39" s="2497" t="s">
        <v>411</v>
      </c>
      <c r="Z39" s="2793">
        <v>3900</v>
      </c>
      <c r="AA39" s="2583">
        <v>225</v>
      </c>
      <c r="AB39" s="2583">
        <v>3600</v>
      </c>
      <c r="AC39" s="2583">
        <v>225</v>
      </c>
      <c r="AD39" s="2583">
        <v>2000</v>
      </c>
      <c r="AE39" s="2583"/>
      <c r="AF39" s="2583">
        <v>4000</v>
      </c>
      <c r="AG39" s="2583"/>
      <c r="AH39" s="2583">
        <v>1000</v>
      </c>
      <c r="AI39" s="2583">
        <v>450</v>
      </c>
      <c r="AJ39" s="2583">
        <v>500</v>
      </c>
      <c r="AK39" s="2583"/>
      <c r="AL39" s="2583">
        <v>0</v>
      </c>
      <c r="AM39" s="2583"/>
      <c r="AN39" s="2583">
        <v>0</v>
      </c>
      <c r="AO39" s="2583"/>
      <c r="AP39" s="2583">
        <v>0</v>
      </c>
      <c r="AQ39" s="2583"/>
      <c r="AR39" s="2583">
        <v>0</v>
      </c>
      <c r="AS39" s="2583"/>
      <c r="AT39" s="2583">
        <v>0</v>
      </c>
      <c r="AU39" s="2583"/>
      <c r="AV39" s="2583">
        <v>0</v>
      </c>
      <c r="AW39" s="2583"/>
      <c r="AX39" s="2583">
        <v>0</v>
      </c>
      <c r="AY39" s="2583"/>
      <c r="AZ39" s="2583">
        <v>0</v>
      </c>
      <c r="BA39" s="2583"/>
      <c r="BB39" s="2583">
        <v>0</v>
      </c>
      <c r="BC39" s="2583"/>
      <c r="BD39" s="2583">
        <v>7500</v>
      </c>
      <c r="BE39" s="2583">
        <f>AA39+AC39</f>
        <v>450</v>
      </c>
      <c r="BF39" s="2583">
        <v>12</v>
      </c>
      <c r="BG39" s="4186">
        <f>SUM(V39:V47)</f>
        <v>73513266</v>
      </c>
      <c r="BH39" s="4186">
        <f>SUM(W39:W47)</f>
        <v>73513266</v>
      </c>
      <c r="BI39" s="3391">
        <f>BH39/BG39</f>
        <v>1</v>
      </c>
      <c r="BJ39" s="2583" t="s">
        <v>691</v>
      </c>
      <c r="BK39" s="2583" t="s">
        <v>727</v>
      </c>
      <c r="BL39" s="4190">
        <v>43832</v>
      </c>
      <c r="BM39" s="4203">
        <v>44067</v>
      </c>
      <c r="BN39" s="4190">
        <v>44195</v>
      </c>
      <c r="BO39" s="4203">
        <v>44190</v>
      </c>
      <c r="BP39" s="2583" t="s">
        <v>693</v>
      </c>
    </row>
    <row r="40" spans="1:68" ht="65.25" customHeight="1" x14ac:dyDescent="0.25">
      <c r="A40" s="863"/>
      <c r="B40" s="79"/>
      <c r="C40" s="79"/>
      <c r="D40" s="887"/>
      <c r="E40" s="79"/>
      <c r="F40" s="888"/>
      <c r="G40" s="2618"/>
      <c r="H40" s="2777"/>
      <c r="I40" s="2608"/>
      <c r="J40" s="3069"/>
      <c r="K40" s="2625"/>
      <c r="L40" s="4146"/>
      <c r="M40" s="2717"/>
      <c r="N40" s="2618"/>
      <c r="O40" s="3608"/>
      <c r="P40" s="2609"/>
      <c r="Q40" s="4194"/>
      <c r="R40" s="2698"/>
      <c r="S40" s="3106"/>
      <c r="T40" s="2645" t="s">
        <v>748</v>
      </c>
      <c r="U40" s="1107">
        <v>7000000</v>
      </c>
      <c r="V40" s="1920">
        <v>5600000</v>
      </c>
      <c r="W40" s="1107">
        <v>5600000</v>
      </c>
      <c r="X40" s="1108">
        <v>88</v>
      </c>
      <c r="Y40" s="2498" t="s">
        <v>411</v>
      </c>
      <c r="Z40" s="2794"/>
      <c r="AA40" s="2584"/>
      <c r="AB40" s="2584"/>
      <c r="AC40" s="2584"/>
      <c r="AD40" s="2584"/>
      <c r="AE40" s="2584"/>
      <c r="AF40" s="2584"/>
      <c r="AG40" s="2584"/>
      <c r="AH40" s="2584"/>
      <c r="AI40" s="2584"/>
      <c r="AJ40" s="2584"/>
      <c r="AK40" s="2584"/>
      <c r="AL40" s="2584"/>
      <c r="AM40" s="2584"/>
      <c r="AN40" s="2584"/>
      <c r="AO40" s="2584"/>
      <c r="AP40" s="2584"/>
      <c r="AQ40" s="2584"/>
      <c r="AR40" s="2584"/>
      <c r="AS40" s="2584"/>
      <c r="AT40" s="2584"/>
      <c r="AU40" s="2584"/>
      <c r="AV40" s="2584"/>
      <c r="AW40" s="2584"/>
      <c r="AX40" s="2584"/>
      <c r="AY40" s="2584"/>
      <c r="AZ40" s="2584"/>
      <c r="BA40" s="2584"/>
      <c r="BB40" s="2584"/>
      <c r="BC40" s="2584"/>
      <c r="BD40" s="2584"/>
      <c r="BE40" s="2584"/>
      <c r="BF40" s="2584"/>
      <c r="BG40" s="4187"/>
      <c r="BH40" s="4187"/>
      <c r="BI40" s="3392"/>
      <c r="BJ40" s="2584"/>
      <c r="BK40" s="2584"/>
      <c r="BL40" s="4202"/>
      <c r="BM40" s="2794"/>
      <c r="BN40" s="4202"/>
      <c r="BO40" s="2794"/>
      <c r="BP40" s="2584"/>
    </row>
    <row r="41" spans="1:68" ht="38.25" customHeight="1" x14ac:dyDescent="0.25">
      <c r="A41" s="863"/>
      <c r="B41" s="79"/>
      <c r="C41" s="79"/>
      <c r="D41" s="887"/>
      <c r="E41" s="79"/>
      <c r="F41" s="888"/>
      <c r="G41" s="2618"/>
      <c r="H41" s="2777"/>
      <c r="I41" s="2608"/>
      <c r="J41" s="3069"/>
      <c r="K41" s="2625"/>
      <c r="L41" s="4146"/>
      <c r="M41" s="2717"/>
      <c r="N41" s="2618"/>
      <c r="O41" s="3608"/>
      <c r="P41" s="2609"/>
      <c r="Q41" s="4194"/>
      <c r="R41" s="2698"/>
      <c r="S41" s="3106"/>
      <c r="T41" s="2837"/>
      <c r="U41" s="1063">
        <v>7200000</v>
      </c>
      <c r="V41" s="1921">
        <v>7200000</v>
      </c>
      <c r="W41" s="1063">
        <f>+V41</f>
        <v>7200000</v>
      </c>
      <c r="X41" s="1105">
        <v>20</v>
      </c>
      <c r="Y41" s="2494" t="s">
        <v>300</v>
      </c>
      <c r="Z41" s="2794"/>
      <c r="AA41" s="2584"/>
      <c r="AB41" s="2584"/>
      <c r="AC41" s="2584"/>
      <c r="AD41" s="2584"/>
      <c r="AE41" s="2584"/>
      <c r="AF41" s="2584"/>
      <c r="AG41" s="2584"/>
      <c r="AH41" s="2584"/>
      <c r="AI41" s="2584"/>
      <c r="AJ41" s="2584"/>
      <c r="AK41" s="2584"/>
      <c r="AL41" s="2584"/>
      <c r="AM41" s="2584"/>
      <c r="AN41" s="2584"/>
      <c r="AO41" s="2584"/>
      <c r="AP41" s="2584"/>
      <c r="AQ41" s="2584"/>
      <c r="AR41" s="2584"/>
      <c r="AS41" s="2584"/>
      <c r="AT41" s="2584"/>
      <c r="AU41" s="2584"/>
      <c r="AV41" s="2584"/>
      <c r="AW41" s="2584"/>
      <c r="AX41" s="2584"/>
      <c r="AY41" s="2584"/>
      <c r="AZ41" s="2584"/>
      <c r="BA41" s="2584"/>
      <c r="BB41" s="2584"/>
      <c r="BC41" s="2584"/>
      <c r="BD41" s="2584"/>
      <c r="BE41" s="2584"/>
      <c r="BF41" s="2584"/>
      <c r="BG41" s="4187"/>
      <c r="BH41" s="4187"/>
      <c r="BI41" s="3392"/>
      <c r="BJ41" s="2584"/>
      <c r="BK41" s="2584"/>
      <c r="BL41" s="4202"/>
      <c r="BM41" s="2794"/>
      <c r="BN41" s="4202"/>
      <c r="BO41" s="2794"/>
      <c r="BP41" s="2584"/>
    </row>
    <row r="42" spans="1:68" ht="69.75" customHeight="1" x14ac:dyDescent="0.25">
      <c r="A42" s="863"/>
      <c r="B42" s="79"/>
      <c r="C42" s="79"/>
      <c r="D42" s="887"/>
      <c r="E42" s="79"/>
      <c r="F42" s="888"/>
      <c r="G42" s="2618"/>
      <c r="H42" s="2777"/>
      <c r="I42" s="2608"/>
      <c r="J42" s="3069"/>
      <c r="K42" s="2625"/>
      <c r="L42" s="4146"/>
      <c r="M42" s="2717"/>
      <c r="N42" s="2618"/>
      <c r="O42" s="3608"/>
      <c r="P42" s="2609"/>
      <c r="Q42" s="4194"/>
      <c r="R42" s="2698"/>
      <c r="S42" s="3106"/>
      <c r="T42" s="866" t="s">
        <v>749</v>
      </c>
      <c r="U42" s="1109">
        <v>31000000</v>
      </c>
      <c r="V42" s="1922">
        <v>27417100</v>
      </c>
      <c r="W42" s="1109">
        <v>27417100</v>
      </c>
      <c r="X42" s="1110">
        <v>88</v>
      </c>
      <c r="Y42" s="2499" t="s">
        <v>411</v>
      </c>
      <c r="Z42" s="2794"/>
      <c r="AA42" s="2584"/>
      <c r="AB42" s="2584"/>
      <c r="AC42" s="2584"/>
      <c r="AD42" s="2584"/>
      <c r="AE42" s="2584"/>
      <c r="AF42" s="2584"/>
      <c r="AG42" s="2584"/>
      <c r="AH42" s="2584"/>
      <c r="AI42" s="2584"/>
      <c r="AJ42" s="2584"/>
      <c r="AK42" s="2584"/>
      <c r="AL42" s="2584"/>
      <c r="AM42" s="2584"/>
      <c r="AN42" s="2584"/>
      <c r="AO42" s="2584"/>
      <c r="AP42" s="2584"/>
      <c r="AQ42" s="2584"/>
      <c r="AR42" s="2584"/>
      <c r="AS42" s="2584"/>
      <c r="AT42" s="2584"/>
      <c r="AU42" s="2584"/>
      <c r="AV42" s="2584"/>
      <c r="AW42" s="2584"/>
      <c r="AX42" s="2584"/>
      <c r="AY42" s="2584"/>
      <c r="AZ42" s="2584"/>
      <c r="BA42" s="2584"/>
      <c r="BB42" s="2584"/>
      <c r="BC42" s="2584"/>
      <c r="BD42" s="2584"/>
      <c r="BE42" s="2584"/>
      <c r="BF42" s="2584"/>
      <c r="BG42" s="4187"/>
      <c r="BH42" s="4187"/>
      <c r="BI42" s="3392"/>
      <c r="BJ42" s="2584"/>
      <c r="BK42" s="2584"/>
      <c r="BL42" s="4202"/>
      <c r="BM42" s="2794"/>
      <c r="BN42" s="4202"/>
      <c r="BO42" s="2794"/>
      <c r="BP42" s="2584"/>
    </row>
    <row r="43" spans="1:68" ht="52.5" customHeight="1" x14ac:dyDescent="0.25">
      <c r="A43" s="863"/>
      <c r="B43" s="79"/>
      <c r="C43" s="79"/>
      <c r="D43" s="887"/>
      <c r="E43" s="79"/>
      <c r="F43" s="888"/>
      <c r="G43" s="2618"/>
      <c r="H43" s="2777"/>
      <c r="I43" s="2608"/>
      <c r="J43" s="3069"/>
      <c r="K43" s="2625"/>
      <c r="L43" s="4146"/>
      <c r="M43" s="2717"/>
      <c r="N43" s="2618"/>
      <c r="O43" s="3608"/>
      <c r="P43" s="2609"/>
      <c r="Q43" s="4194"/>
      <c r="R43" s="2698"/>
      <c r="S43" s="3106"/>
      <c r="T43" s="867" t="s">
        <v>750</v>
      </c>
      <c r="U43" s="1111">
        <v>5000000</v>
      </c>
      <c r="V43" s="1922">
        <v>5000000</v>
      </c>
      <c r="W43" s="1109">
        <v>5000000</v>
      </c>
      <c r="X43" s="1110">
        <v>88</v>
      </c>
      <c r="Y43" s="2499" t="s">
        <v>411</v>
      </c>
      <c r="Z43" s="2794"/>
      <c r="AA43" s="2584"/>
      <c r="AB43" s="2584"/>
      <c r="AC43" s="2584"/>
      <c r="AD43" s="2584"/>
      <c r="AE43" s="2584"/>
      <c r="AF43" s="2584"/>
      <c r="AG43" s="2584"/>
      <c r="AH43" s="2584"/>
      <c r="AI43" s="2584"/>
      <c r="AJ43" s="2584"/>
      <c r="AK43" s="2584"/>
      <c r="AL43" s="2584"/>
      <c r="AM43" s="2584"/>
      <c r="AN43" s="2584"/>
      <c r="AO43" s="2584"/>
      <c r="AP43" s="2584"/>
      <c r="AQ43" s="2584"/>
      <c r="AR43" s="2584"/>
      <c r="AS43" s="2584"/>
      <c r="AT43" s="2584"/>
      <c r="AU43" s="2584"/>
      <c r="AV43" s="2584"/>
      <c r="AW43" s="2584"/>
      <c r="AX43" s="2584"/>
      <c r="AY43" s="2584"/>
      <c r="AZ43" s="2584"/>
      <c r="BA43" s="2584"/>
      <c r="BB43" s="2584"/>
      <c r="BC43" s="2584"/>
      <c r="BD43" s="2584"/>
      <c r="BE43" s="2584"/>
      <c r="BF43" s="2584"/>
      <c r="BG43" s="4187"/>
      <c r="BH43" s="4187"/>
      <c r="BI43" s="3392"/>
      <c r="BJ43" s="2584"/>
      <c r="BK43" s="2584"/>
      <c r="BL43" s="4202"/>
      <c r="BM43" s="2794"/>
      <c r="BN43" s="4202"/>
      <c r="BO43" s="2794"/>
      <c r="BP43" s="2584"/>
    </row>
    <row r="44" spans="1:68" ht="107.25" customHeight="1" x14ac:dyDescent="0.25">
      <c r="A44" s="863"/>
      <c r="B44" s="79"/>
      <c r="C44" s="79"/>
      <c r="D44" s="887"/>
      <c r="E44" s="79"/>
      <c r="F44" s="888"/>
      <c r="G44" s="2618"/>
      <c r="H44" s="2777"/>
      <c r="I44" s="2608"/>
      <c r="J44" s="3069"/>
      <c r="K44" s="2625"/>
      <c r="L44" s="4146"/>
      <c r="M44" s="2717"/>
      <c r="N44" s="2618"/>
      <c r="O44" s="3608"/>
      <c r="P44" s="2609"/>
      <c r="Q44" s="4194"/>
      <c r="R44" s="2698"/>
      <c r="S44" s="3106"/>
      <c r="T44" s="867" t="s">
        <v>751</v>
      </c>
      <c r="U44" s="1112">
        <v>782666</v>
      </c>
      <c r="V44" s="1923">
        <v>782666</v>
      </c>
      <c r="W44" s="1112">
        <v>782666</v>
      </c>
      <c r="X44" s="1113">
        <v>20</v>
      </c>
      <c r="Y44" s="2500" t="s">
        <v>85</v>
      </c>
      <c r="Z44" s="2794"/>
      <c r="AA44" s="2584"/>
      <c r="AB44" s="2584"/>
      <c r="AC44" s="2584"/>
      <c r="AD44" s="2584"/>
      <c r="AE44" s="2584"/>
      <c r="AF44" s="2584"/>
      <c r="AG44" s="2584"/>
      <c r="AH44" s="2584"/>
      <c r="AI44" s="2584"/>
      <c r="AJ44" s="2584"/>
      <c r="AK44" s="2584"/>
      <c r="AL44" s="2584"/>
      <c r="AM44" s="2584"/>
      <c r="AN44" s="2584"/>
      <c r="AO44" s="2584"/>
      <c r="AP44" s="2584"/>
      <c r="AQ44" s="2584"/>
      <c r="AR44" s="2584"/>
      <c r="AS44" s="2584"/>
      <c r="AT44" s="2584"/>
      <c r="AU44" s="2584"/>
      <c r="AV44" s="2584"/>
      <c r="AW44" s="2584"/>
      <c r="AX44" s="2584"/>
      <c r="AY44" s="2584"/>
      <c r="AZ44" s="2584"/>
      <c r="BA44" s="2584"/>
      <c r="BB44" s="2584"/>
      <c r="BC44" s="2584"/>
      <c r="BD44" s="2584"/>
      <c r="BE44" s="2584"/>
      <c r="BF44" s="2584"/>
      <c r="BG44" s="4187"/>
      <c r="BH44" s="4187"/>
      <c r="BI44" s="3392"/>
      <c r="BJ44" s="2584"/>
      <c r="BK44" s="2584"/>
      <c r="BL44" s="4202"/>
      <c r="BM44" s="2794"/>
      <c r="BN44" s="4202"/>
      <c r="BO44" s="2794"/>
      <c r="BP44" s="2584"/>
    </row>
    <row r="45" spans="1:68" ht="56.25" customHeight="1" x14ac:dyDescent="0.25">
      <c r="A45" s="863"/>
      <c r="B45" s="79"/>
      <c r="C45" s="79"/>
      <c r="D45" s="887"/>
      <c r="E45" s="79"/>
      <c r="F45" s="888"/>
      <c r="G45" s="2618"/>
      <c r="H45" s="2777"/>
      <c r="I45" s="2608"/>
      <c r="J45" s="3069"/>
      <c r="K45" s="2625"/>
      <c r="L45" s="4146"/>
      <c r="M45" s="2717"/>
      <c r="N45" s="2618"/>
      <c r="O45" s="3608"/>
      <c r="P45" s="2609"/>
      <c r="Q45" s="4194"/>
      <c r="R45" s="2698"/>
      <c r="S45" s="3106"/>
      <c r="T45" s="867" t="s">
        <v>752</v>
      </c>
      <c r="U45" s="1112">
        <v>7460000</v>
      </c>
      <c r="V45" s="1923">
        <v>7460000</v>
      </c>
      <c r="W45" s="1112">
        <v>7460000</v>
      </c>
      <c r="X45" s="1113">
        <v>20</v>
      </c>
      <c r="Y45" s="2500" t="s">
        <v>85</v>
      </c>
      <c r="Z45" s="2794"/>
      <c r="AA45" s="2584"/>
      <c r="AB45" s="2584"/>
      <c r="AC45" s="2584"/>
      <c r="AD45" s="2584"/>
      <c r="AE45" s="2584"/>
      <c r="AF45" s="2584"/>
      <c r="AG45" s="2584"/>
      <c r="AH45" s="2584"/>
      <c r="AI45" s="2584"/>
      <c r="AJ45" s="2584"/>
      <c r="AK45" s="2584"/>
      <c r="AL45" s="2584"/>
      <c r="AM45" s="2584"/>
      <c r="AN45" s="2584"/>
      <c r="AO45" s="2584"/>
      <c r="AP45" s="2584"/>
      <c r="AQ45" s="2584"/>
      <c r="AR45" s="2584"/>
      <c r="AS45" s="2584"/>
      <c r="AT45" s="2584"/>
      <c r="AU45" s="2584"/>
      <c r="AV45" s="2584"/>
      <c r="AW45" s="2584"/>
      <c r="AX45" s="2584"/>
      <c r="AY45" s="2584"/>
      <c r="AZ45" s="2584"/>
      <c r="BA45" s="2584"/>
      <c r="BB45" s="2584"/>
      <c r="BC45" s="2584"/>
      <c r="BD45" s="2584"/>
      <c r="BE45" s="2584"/>
      <c r="BF45" s="2584"/>
      <c r="BG45" s="4187"/>
      <c r="BH45" s="4187"/>
      <c r="BI45" s="3392"/>
      <c r="BJ45" s="2584"/>
      <c r="BK45" s="2584"/>
      <c r="BL45" s="4202"/>
      <c r="BM45" s="2794"/>
      <c r="BN45" s="4202"/>
      <c r="BO45" s="2794"/>
      <c r="BP45" s="2584"/>
    </row>
    <row r="46" spans="1:68" ht="66" customHeight="1" x14ac:dyDescent="0.25">
      <c r="A46" s="863"/>
      <c r="B46" s="79"/>
      <c r="C46" s="79"/>
      <c r="D46" s="887"/>
      <c r="E46" s="79"/>
      <c r="F46" s="888"/>
      <c r="G46" s="2618"/>
      <c r="H46" s="2777"/>
      <c r="I46" s="2608"/>
      <c r="J46" s="3069"/>
      <c r="K46" s="2625"/>
      <c r="L46" s="4146"/>
      <c r="M46" s="2717"/>
      <c r="N46" s="2618"/>
      <c r="O46" s="3608"/>
      <c r="P46" s="2609"/>
      <c r="Q46" s="4194"/>
      <c r="R46" s="2698"/>
      <c r="S46" s="3106"/>
      <c r="T46" s="867" t="s">
        <v>753</v>
      </c>
      <c r="U46" s="1111">
        <v>5500000</v>
      </c>
      <c r="V46" s="1924">
        <v>5500000</v>
      </c>
      <c r="W46" s="1111">
        <v>5500000</v>
      </c>
      <c r="X46" s="1113">
        <v>20</v>
      </c>
      <c r="Y46" s="2500" t="s">
        <v>85</v>
      </c>
      <c r="Z46" s="2794"/>
      <c r="AA46" s="2584"/>
      <c r="AB46" s="2584"/>
      <c r="AC46" s="2584"/>
      <c r="AD46" s="2584"/>
      <c r="AE46" s="2584"/>
      <c r="AF46" s="2584"/>
      <c r="AG46" s="2584"/>
      <c r="AH46" s="2584"/>
      <c r="AI46" s="2584"/>
      <c r="AJ46" s="2584"/>
      <c r="AK46" s="2584"/>
      <c r="AL46" s="2584"/>
      <c r="AM46" s="2584"/>
      <c r="AN46" s="2584"/>
      <c r="AO46" s="2584"/>
      <c r="AP46" s="2584"/>
      <c r="AQ46" s="2584"/>
      <c r="AR46" s="2584"/>
      <c r="AS46" s="2584"/>
      <c r="AT46" s="2584"/>
      <c r="AU46" s="2584"/>
      <c r="AV46" s="2584"/>
      <c r="AW46" s="2584"/>
      <c r="AX46" s="2584"/>
      <c r="AY46" s="2584"/>
      <c r="AZ46" s="2584"/>
      <c r="BA46" s="2584"/>
      <c r="BB46" s="2584"/>
      <c r="BC46" s="2584"/>
      <c r="BD46" s="2584"/>
      <c r="BE46" s="2584"/>
      <c r="BF46" s="2584"/>
      <c r="BG46" s="4187"/>
      <c r="BH46" s="4187"/>
      <c r="BI46" s="3392"/>
      <c r="BJ46" s="2584"/>
      <c r="BK46" s="2584"/>
      <c r="BL46" s="4202"/>
      <c r="BM46" s="2794"/>
      <c r="BN46" s="4202"/>
      <c r="BO46" s="2794"/>
      <c r="BP46" s="2584"/>
    </row>
    <row r="47" spans="1:68" ht="65.25" customHeight="1" x14ac:dyDescent="0.25">
      <c r="A47" s="863"/>
      <c r="B47" s="79"/>
      <c r="C47" s="79"/>
      <c r="D47" s="887"/>
      <c r="E47" s="79"/>
      <c r="F47" s="888"/>
      <c r="G47" s="2618"/>
      <c r="H47" s="2777"/>
      <c r="I47" s="2608"/>
      <c r="J47" s="3069"/>
      <c r="K47" s="2625"/>
      <c r="L47" s="4147"/>
      <c r="M47" s="2717"/>
      <c r="N47" s="3276"/>
      <c r="O47" s="3594"/>
      <c r="P47" s="2728"/>
      <c r="Q47" s="4195"/>
      <c r="R47" s="2788"/>
      <c r="S47" s="3851"/>
      <c r="T47" s="865" t="s">
        <v>754</v>
      </c>
      <c r="U47" s="1114">
        <v>8953500</v>
      </c>
      <c r="V47" s="1925">
        <v>8953500</v>
      </c>
      <c r="W47" s="1114">
        <v>8953500</v>
      </c>
      <c r="X47" s="1115">
        <v>20</v>
      </c>
      <c r="Y47" s="2501" t="s">
        <v>85</v>
      </c>
      <c r="Z47" s="2794"/>
      <c r="AA47" s="3349"/>
      <c r="AB47" s="2584"/>
      <c r="AC47" s="3349"/>
      <c r="AD47" s="2584"/>
      <c r="AE47" s="3349"/>
      <c r="AF47" s="2584"/>
      <c r="AG47" s="3349"/>
      <c r="AH47" s="2584"/>
      <c r="AI47" s="3349"/>
      <c r="AJ47" s="2584"/>
      <c r="AK47" s="3349"/>
      <c r="AL47" s="2584"/>
      <c r="AM47" s="3349"/>
      <c r="AN47" s="2584"/>
      <c r="AO47" s="3349"/>
      <c r="AP47" s="2584"/>
      <c r="AQ47" s="3349"/>
      <c r="AR47" s="2584"/>
      <c r="AS47" s="3349"/>
      <c r="AT47" s="2584"/>
      <c r="AU47" s="3349"/>
      <c r="AV47" s="2584"/>
      <c r="AW47" s="3349"/>
      <c r="AX47" s="2584"/>
      <c r="AY47" s="3349"/>
      <c r="AZ47" s="2584"/>
      <c r="BA47" s="3349"/>
      <c r="BB47" s="2584"/>
      <c r="BC47" s="3349"/>
      <c r="BD47" s="2584"/>
      <c r="BE47" s="3349"/>
      <c r="BF47" s="3349"/>
      <c r="BG47" s="4204"/>
      <c r="BH47" s="4204"/>
      <c r="BI47" s="4205"/>
      <c r="BJ47" s="3349"/>
      <c r="BK47" s="3349"/>
      <c r="BL47" s="4202"/>
      <c r="BM47" s="2794"/>
      <c r="BN47" s="4202"/>
      <c r="BO47" s="2794"/>
      <c r="BP47" s="2584"/>
    </row>
    <row r="48" spans="1:68" ht="52.5" customHeight="1" x14ac:dyDescent="0.25">
      <c r="A48" s="863"/>
      <c r="B48" s="79"/>
      <c r="C48" s="79"/>
      <c r="D48" s="887"/>
      <c r="E48" s="79"/>
      <c r="F48" s="888"/>
      <c r="G48" s="3922" t="s">
        <v>603</v>
      </c>
      <c r="H48" s="2777">
        <v>36.700000000000003</v>
      </c>
      <c r="I48" s="2717" t="s">
        <v>755</v>
      </c>
      <c r="J48" s="3106" t="s">
        <v>756</v>
      </c>
      <c r="K48" s="2873">
        <v>1</v>
      </c>
      <c r="L48" s="4199">
        <v>1</v>
      </c>
      <c r="M48" s="3106" t="s">
        <v>757</v>
      </c>
      <c r="N48" s="2626" t="s">
        <v>758</v>
      </c>
      <c r="O48" s="2698" t="s">
        <v>759</v>
      </c>
      <c r="P48" s="3731">
        <v>1</v>
      </c>
      <c r="Q48" s="4206">
        <v>430000000</v>
      </c>
      <c r="R48" s="2698" t="s">
        <v>760</v>
      </c>
      <c r="S48" s="2717" t="s">
        <v>761</v>
      </c>
      <c r="T48" s="867" t="s">
        <v>762</v>
      </c>
      <c r="U48" s="1063">
        <v>14000000</v>
      </c>
      <c r="V48" s="1063">
        <v>8866666</v>
      </c>
      <c r="W48" s="1063">
        <v>8866666</v>
      </c>
      <c r="X48" s="1105">
        <v>88</v>
      </c>
      <c r="Y48" s="2494" t="s">
        <v>411</v>
      </c>
      <c r="Z48" s="2626">
        <v>8900</v>
      </c>
      <c r="AA48" s="2626">
        <v>13640</v>
      </c>
      <c r="AB48" s="2626">
        <v>8600</v>
      </c>
      <c r="AC48" s="2626">
        <v>12590</v>
      </c>
      <c r="AD48" s="2626">
        <v>12000</v>
      </c>
      <c r="AE48" s="2626">
        <v>25000</v>
      </c>
      <c r="AF48" s="2626">
        <v>4000</v>
      </c>
      <c r="AG48" s="2626">
        <v>950</v>
      </c>
      <c r="AH48" s="2626">
        <v>1500</v>
      </c>
      <c r="AI48" s="2626">
        <v>280</v>
      </c>
      <c r="AJ48" s="2626">
        <v>0</v>
      </c>
      <c r="AK48" s="2626"/>
      <c r="AL48" s="2626">
        <v>0</v>
      </c>
      <c r="AM48" s="2626"/>
      <c r="AN48" s="2626">
        <v>0</v>
      </c>
      <c r="AO48" s="2626"/>
      <c r="AP48" s="2626">
        <v>0</v>
      </c>
      <c r="AQ48" s="2626"/>
      <c r="AR48" s="2626">
        <v>0</v>
      </c>
      <c r="AS48" s="2626"/>
      <c r="AT48" s="2626">
        <v>0</v>
      </c>
      <c r="AU48" s="2626"/>
      <c r="AV48" s="2626">
        <v>0</v>
      </c>
      <c r="AW48" s="2626"/>
      <c r="AX48" s="2626">
        <v>0</v>
      </c>
      <c r="AY48" s="2626"/>
      <c r="AZ48" s="2626">
        <v>0</v>
      </c>
      <c r="BA48" s="2626"/>
      <c r="BB48" s="2626">
        <v>0</v>
      </c>
      <c r="BC48" s="2626"/>
      <c r="BD48" s="2626">
        <v>17500</v>
      </c>
      <c r="BE48" s="2626">
        <f>AA48+AC48</f>
        <v>26230</v>
      </c>
      <c r="BF48" s="2626">
        <v>21</v>
      </c>
      <c r="BG48" s="4208">
        <f>SUM(V48:V61)</f>
        <v>408228779</v>
      </c>
      <c r="BH48" s="4208">
        <f>SUM(W48:W61)</f>
        <v>408228779</v>
      </c>
      <c r="BI48" s="4212">
        <f>BH48/BG48</f>
        <v>1</v>
      </c>
      <c r="BJ48" s="2626" t="s">
        <v>691</v>
      </c>
      <c r="BK48" s="3167" t="s">
        <v>727</v>
      </c>
      <c r="BL48" s="4214">
        <v>43832</v>
      </c>
      <c r="BM48" s="4211">
        <v>44068</v>
      </c>
      <c r="BN48" s="4211">
        <v>44195</v>
      </c>
      <c r="BO48" s="4211">
        <v>44190</v>
      </c>
      <c r="BP48" s="2626" t="s">
        <v>693</v>
      </c>
    </row>
    <row r="49" spans="1:68" ht="80.25" customHeight="1" x14ac:dyDescent="0.25">
      <c r="A49" s="863"/>
      <c r="B49" s="79"/>
      <c r="C49" s="79"/>
      <c r="D49" s="887"/>
      <c r="E49" s="79"/>
      <c r="F49" s="888"/>
      <c r="G49" s="3922"/>
      <c r="H49" s="2777"/>
      <c r="I49" s="2717"/>
      <c r="J49" s="3106"/>
      <c r="K49" s="2873"/>
      <c r="L49" s="4200"/>
      <c r="M49" s="3106"/>
      <c r="N49" s="2626"/>
      <c r="O49" s="2698"/>
      <c r="P49" s="3731"/>
      <c r="Q49" s="4206"/>
      <c r="R49" s="2698"/>
      <c r="S49" s="2717"/>
      <c r="T49" s="867" t="s">
        <v>763</v>
      </c>
      <c r="U49" s="1063">
        <v>30573500</v>
      </c>
      <c r="V49" s="1063">
        <f>16573500+6600000</f>
        <v>23173500</v>
      </c>
      <c r="W49" s="1063">
        <f>16573500+6600000</f>
        <v>23173500</v>
      </c>
      <c r="X49" s="1105">
        <v>20</v>
      </c>
      <c r="Y49" s="2494" t="s">
        <v>85</v>
      </c>
      <c r="Z49" s="2626"/>
      <c r="AA49" s="2626"/>
      <c r="AB49" s="2626"/>
      <c r="AC49" s="2626"/>
      <c r="AD49" s="2626"/>
      <c r="AE49" s="2626"/>
      <c r="AF49" s="2626"/>
      <c r="AG49" s="2626"/>
      <c r="AH49" s="2626"/>
      <c r="AI49" s="2626"/>
      <c r="AJ49" s="2626"/>
      <c r="AK49" s="2626"/>
      <c r="AL49" s="2626"/>
      <c r="AM49" s="2626"/>
      <c r="AN49" s="2626"/>
      <c r="AO49" s="2626"/>
      <c r="AP49" s="2626"/>
      <c r="AQ49" s="2626"/>
      <c r="AR49" s="2626"/>
      <c r="AS49" s="2626"/>
      <c r="AT49" s="2626"/>
      <c r="AU49" s="2626"/>
      <c r="AV49" s="2626"/>
      <c r="AW49" s="2626"/>
      <c r="AX49" s="2626"/>
      <c r="AY49" s="2626"/>
      <c r="AZ49" s="2626"/>
      <c r="BA49" s="2626"/>
      <c r="BB49" s="2626"/>
      <c r="BC49" s="2626"/>
      <c r="BD49" s="2626"/>
      <c r="BE49" s="2626"/>
      <c r="BF49" s="2626"/>
      <c r="BG49" s="4208"/>
      <c r="BH49" s="4208"/>
      <c r="BI49" s="4212"/>
      <c r="BJ49" s="2626"/>
      <c r="BK49" s="3019"/>
      <c r="BL49" s="4215"/>
      <c r="BM49" s="2626"/>
      <c r="BN49" s="4211"/>
      <c r="BO49" s="2626"/>
      <c r="BP49" s="2626"/>
    </row>
    <row r="50" spans="1:68" ht="120" customHeight="1" x14ac:dyDescent="0.25">
      <c r="A50" s="863"/>
      <c r="B50" s="79"/>
      <c r="C50" s="79"/>
      <c r="D50" s="887"/>
      <c r="E50" s="79"/>
      <c r="F50" s="888"/>
      <c r="G50" s="3922"/>
      <c r="H50" s="2777"/>
      <c r="I50" s="2717"/>
      <c r="J50" s="3106"/>
      <c r="K50" s="2873"/>
      <c r="L50" s="4200"/>
      <c r="M50" s="3106"/>
      <c r="N50" s="2626"/>
      <c r="O50" s="2698"/>
      <c r="P50" s="3731"/>
      <c r="Q50" s="4206"/>
      <c r="R50" s="2698"/>
      <c r="S50" s="2717"/>
      <c r="T50" s="867" t="s">
        <v>764</v>
      </c>
      <c r="U50" s="1063">
        <v>7000000</v>
      </c>
      <c r="V50" s="1089">
        <v>5600000</v>
      </c>
      <c r="W50" s="1089">
        <v>5600000</v>
      </c>
      <c r="X50" s="1105">
        <v>20</v>
      </c>
      <c r="Y50" s="2494" t="s">
        <v>85</v>
      </c>
      <c r="Z50" s="2626"/>
      <c r="AA50" s="2626"/>
      <c r="AB50" s="2626"/>
      <c r="AC50" s="2626"/>
      <c r="AD50" s="2626"/>
      <c r="AE50" s="2626"/>
      <c r="AF50" s="2626"/>
      <c r="AG50" s="2626"/>
      <c r="AH50" s="2626"/>
      <c r="AI50" s="2626"/>
      <c r="AJ50" s="2626"/>
      <c r="AK50" s="2626"/>
      <c r="AL50" s="2626"/>
      <c r="AM50" s="2626"/>
      <c r="AN50" s="2626"/>
      <c r="AO50" s="2626"/>
      <c r="AP50" s="2626"/>
      <c r="AQ50" s="2626"/>
      <c r="AR50" s="2626"/>
      <c r="AS50" s="2626"/>
      <c r="AT50" s="2626"/>
      <c r="AU50" s="2626"/>
      <c r="AV50" s="2626"/>
      <c r="AW50" s="2626"/>
      <c r="AX50" s="2626"/>
      <c r="AY50" s="2626"/>
      <c r="AZ50" s="2626"/>
      <c r="BA50" s="2626"/>
      <c r="BB50" s="2626"/>
      <c r="BC50" s="2626"/>
      <c r="BD50" s="2626"/>
      <c r="BE50" s="2626"/>
      <c r="BF50" s="2626"/>
      <c r="BG50" s="4208"/>
      <c r="BH50" s="4208"/>
      <c r="BI50" s="4212"/>
      <c r="BJ50" s="2626"/>
      <c r="BK50" s="3019"/>
      <c r="BL50" s="4215"/>
      <c r="BM50" s="2626"/>
      <c r="BN50" s="4211"/>
      <c r="BO50" s="2626"/>
      <c r="BP50" s="2626"/>
    </row>
    <row r="51" spans="1:68" ht="48" customHeight="1" x14ac:dyDescent="0.25">
      <c r="A51" s="863"/>
      <c r="B51" s="79"/>
      <c r="C51" s="79"/>
      <c r="D51" s="887"/>
      <c r="E51" s="79"/>
      <c r="F51" s="888"/>
      <c r="G51" s="3922"/>
      <c r="H51" s="2777"/>
      <c r="I51" s="2717"/>
      <c r="J51" s="3106"/>
      <c r="K51" s="2873"/>
      <c r="L51" s="4200"/>
      <c r="M51" s="3106"/>
      <c r="N51" s="2626"/>
      <c r="O51" s="2698"/>
      <c r="P51" s="3731"/>
      <c r="Q51" s="4206"/>
      <c r="R51" s="2698"/>
      <c r="S51" s="2717"/>
      <c r="T51" s="2608" t="s">
        <v>765</v>
      </c>
      <c r="U51" s="1063">
        <v>288670834</v>
      </c>
      <c r="V51" s="1116">
        <v>288670834</v>
      </c>
      <c r="W51" s="1116">
        <v>288670834</v>
      </c>
      <c r="X51" s="1105">
        <v>20</v>
      </c>
      <c r="Y51" s="2494" t="s">
        <v>85</v>
      </c>
      <c r="Z51" s="2626"/>
      <c r="AA51" s="2626"/>
      <c r="AB51" s="2626"/>
      <c r="AC51" s="2626"/>
      <c r="AD51" s="2626"/>
      <c r="AE51" s="2626"/>
      <c r="AF51" s="2626"/>
      <c r="AG51" s="2626"/>
      <c r="AH51" s="2626"/>
      <c r="AI51" s="2626"/>
      <c r="AJ51" s="2626"/>
      <c r="AK51" s="2626"/>
      <c r="AL51" s="2626"/>
      <c r="AM51" s="2626"/>
      <c r="AN51" s="2626"/>
      <c r="AO51" s="2626"/>
      <c r="AP51" s="2626"/>
      <c r="AQ51" s="2626"/>
      <c r="AR51" s="2626"/>
      <c r="AS51" s="2626"/>
      <c r="AT51" s="2626"/>
      <c r="AU51" s="2626"/>
      <c r="AV51" s="2626"/>
      <c r="AW51" s="2626"/>
      <c r="AX51" s="2626"/>
      <c r="AY51" s="2626"/>
      <c r="AZ51" s="2626"/>
      <c r="BA51" s="2626"/>
      <c r="BB51" s="2626"/>
      <c r="BC51" s="2626"/>
      <c r="BD51" s="2626"/>
      <c r="BE51" s="2626"/>
      <c r="BF51" s="2626"/>
      <c r="BG51" s="4208"/>
      <c r="BH51" s="4208"/>
      <c r="BI51" s="4212"/>
      <c r="BJ51" s="2626"/>
      <c r="BK51" s="3019"/>
      <c r="BL51" s="4215"/>
      <c r="BM51" s="2626"/>
      <c r="BN51" s="4211"/>
      <c r="BO51" s="2626"/>
      <c r="BP51" s="2626"/>
    </row>
    <row r="52" spans="1:68" ht="42.75" customHeight="1" x14ac:dyDescent="0.25">
      <c r="A52" s="863"/>
      <c r="B52" s="79"/>
      <c r="C52" s="79"/>
      <c r="D52" s="887"/>
      <c r="E52" s="79"/>
      <c r="F52" s="888"/>
      <c r="G52" s="3922"/>
      <c r="H52" s="2777"/>
      <c r="I52" s="2717"/>
      <c r="J52" s="3106"/>
      <c r="K52" s="2873"/>
      <c r="L52" s="4200"/>
      <c r="M52" s="3106"/>
      <c r="N52" s="2626"/>
      <c r="O52" s="2698"/>
      <c r="P52" s="3731"/>
      <c r="Q52" s="4206"/>
      <c r="R52" s="2698"/>
      <c r="S52" s="2717"/>
      <c r="T52" s="2608"/>
      <c r="U52" s="1106">
        <v>31000000</v>
      </c>
      <c r="V52" s="1106">
        <v>28578779</v>
      </c>
      <c r="W52" s="1106">
        <v>28578779</v>
      </c>
      <c r="X52" s="1105">
        <v>88</v>
      </c>
      <c r="Y52" s="2494" t="s">
        <v>411</v>
      </c>
      <c r="Z52" s="2626"/>
      <c r="AA52" s="2626"/>
      <c r="AB52" s="2626"/>
      <c r="AC52" s="2626"/>
      <c r="AD52" s="2626"/>
      <c r="AE52" s="2626"/>
      <c r="AF52" s="2626"/>
      <c r="AG52" s="2626"/>
      <c r="AH52" s="2626"/>
      <c r="AI52" s="2626"/>
      <c r="AJ52" s="2626"/>
      <c r="AK52" s="2626"/>
      <c r="AL52" s="2626"/>
      <c r="AM52" s="2626"/>
      <c r="AN52" s="2626"/>
      <c r="AO52" s="2626"/>
      <c r="AP52" s="2626"/>
      <c r="AQ52" s="2626"/>
      <c r="AR52" s="2626"/>
      <c r="AS52" s="2626"/>
      <c r="AT52" s="2626"/>
      <c r="AU52" s="2626"/>
      <c r="AV52" s="2626"/>
      <c r="AW52" s="2626"/>
      <c r="AX52" s="2626"/>
      <c r="AY52" s="2626"/>
      <c r="AZ52" s="2626"/>
      <c r="BA52" s="2626"/>
      <c r="BB52" s="2626"/>
      <c r="BC52" s="2626"/>
      <c r="BD52" s="2626"/>
      <c r="BE52" s="2626"/>
      <c r="BF52" s="2626"/>
      <c r="BG52" s="4208"/>
      <c r="BH52" s="4208"/>
      <c r="BI52" s="4212"/>
      <c r="BJ52" s="2626"/>
      <c r="BK52" s="3019"/>
      <c r="BL52" s="4215"/>
      <c r="BM52" s="2626"/>
      <c r="BN52" s="4211"/>
      <c r="BO52" s="2626"/>
      <c r="BP52" s="2626"/>
    </row>
    <row r="53" spans="1:68" ht="107.25" customHeight="1" x14ac:dyDescent="0.25">
      <c r="A53" s="863"/>
      <c r="B53" s="79"/>
      <c r="C53" s="79"/>
      <c r="D53" s="887"/>
      <c r="E53" s="79"/>
      <c r="F53" s="888"/>
      <c r="G53" s="3922"/>
      <c r="H53" s="2777"/>
      <c r="I53" s="2717"/>
      <c r="J53" s="3106"/>
      <c r="K53" s="2873"/>
      <c r="L53" s="4200"/>
      <c r="M53" s="3106"/>
      <c r="N53" s="2626"/>
      <c r="O53" s="2698"/>
      <c r="P53" s="3731"/>
      <c r="Q53" s="4206"/>
      <c r="R53" s="2698"/>
      <c r="S53" s="2717"/>
      <c r="T53" s="867" t="s">
        <v>766</v>
      </c>
      <c r="U53" s="1063">
        <v>21093333</v>
      </c>
      <c r="V53" s="1116">
        <v>17360000</v>
      </c>
      <c r="W53" s="1116">
        <v>17360000</v>
      </c>
      <c r="X53" s="1105">
        <v>20</v>
      </c>
      <c r="Y53" s="2494" t="s">
        <v>85</v>
      </c>
      <c r="Z53" s="2626"/>
      <c r="AA53" s="2626"/>
      <c r="AB53" s="2626"/>
      <c r="AC53" s="2626"/>
      <c r="AD53" s="2626"/>
      <c r="AE53" s="2626"/>
      <c r="AF53" s="2626"/>
      <c r="AG53" s="2626"/>
      <c r="AH53" s="2626"/>
      <c r="AI53" s="2626"/>
      <c r="AJ53" s="2626"/>
      <c r="AK53" s="2626"/>
      <c r="AL53" s="2626"/>
      <c r="AM53" s="2626"/>
      <c r="AN53" s="2626"/>
      <c r="AO53" s="2626"/>
      <c r="AP53" s="2626"/>
      <c r="AQ53" s="2626"/>
      <c r="AR53" s="2626"/>
      <c r="AS53" s="2626"/>
      <c r="AT53" s="2626"/>
      <c r="AU53" s="2626"/>
      <c r="AV53" s="2626"/>
      <c r="AW53" s="2626"/>
      <c r="AX53" s="2626"/>
      <c r="AY53" s="2626"/>
      <c r="AZ53" s="2626"/>
      <c r="BA53" s="2626"/>
      <c r="BB53" s="2626"/>
      <c r="BC53" s="2626"/>
      <c r="BD53" s="2626"/>
      <c r="BE53" s="2626"/>
      <c r="BF53" s="2626"/>
      <c r="BG53" s="4208"/>
      <c r="BH53" s="4208"/>
      <c r="BI53" s="4212"/>
      <c r="BJ53" s="2626"/>
      <c r="BK53" s="3019"/>
      <c r="BL53" s="4215"/>
      <c r="BM53" s="2626"/>
      <c r="BN53" s="4211"/>
      <c r="BO53" s="2626"/>
      <c r="BP53" s="2626"/>
    </row>
    <row r="54" spans="1:68" ht="57.75" customHeight="1" x14ac:dyDescent="0.25">
      <c r="A54" s="863"/>
      <c r="B54" s="79"/>
      <c r="C54" s="79"/>
      <c r="D54" s="887"/>
      <c r="E54" s="79"/>
      <c r="F54" s="888"/>
      <c r="G54" s="3922"/>
      <c r="H54" s="2777"/>
      <c r="I54" s="2717"/>
      <c r="J54" s="3106"/>
      <c r="K54" s="2873"/>
      <c r="L54" s="4200"/>
      <c r="M54" s="3106"/>
      <c r="N54" s="2626"/>
      <c r="O54" s="2698"/>
      <c r="P54" s="3731"/>
      <c r="Q54" s="4206"/>
      <c r="R54" s="2698"/>
      <c r="S54" s="2717"/>
      <c r="T54" s="867" t="s">
        <v>767</v>
      </c>
      <c r="U54" s="1063">
        <v>5000000</v>
      </c>
      <c r="V54" s="1063">
        <v>5000000</v>
      </c>
      <c r="W54" s="1063">
        <v>5000000</v>
      </c>
      <c r="X54" s="1105">
        <v>88</v>
      </c>
      <c r="Y54" s="2494" t="s">
        <v>411</v>
      </c>
      <c r="Z54" s="2626"/>
      <c r="AA54" s="2626"/>
      <c r="AB54" s="2626"/>
      <c r="AC54" s="2626"/>
      <c r="AD54" s="2626"/>
      <c r="AE54" s="2626"/>
      <c r="AF54" s="2626"/>
      <c r="AG54" s="2626"/>
      <c r="AH54" s="2626"/>
      <c r="AI54" s="2626"/>
      <c r="AJ54" s="2626"/>
      <c r="AK54" s="2626"/>
      <c r="AL54" s="2626"/>
      <c r="AM54" s="2626"/>
      <c r="AN54" s="2626"/>
      <c r="AO54" s="2626"/>
      <c r="AP54" s="2626"/>
      <c r="AQ54" s="2626"/>
      <c r="AR54" s="2626"/>
      <c r="AS54" s="2626"/>
      <c r="AT54" s="2626"/>
      <c r="AU54" s="2626"/>
      <c r="AV54" s="2626"/>
      <c r="AW54" s="2626"/>
      <c r="AX54" s="2626"/>
      <c r="AY54" s="2626"/>
      <c r="AZ54" s="2626"/>
      <c r="BA54" s="2626"/>
      <c r="BB54" s="2626"/>
      <c r="BC54" s="2626"/>
      <c r="BD54" s="2626"/>
      <c r="BE54" s="2626"/>
      <c r="BF54" s="2626"/>
      <c r="BG54" s="4208"/>
      <c r="BH54" s="4208"/>
      <c r="BI54" s="4212"/>
      <c r="BJ54" s="2626"/>
      <c r="BK54" s="3019"/>
      <c r="BL54" s="4215"/>
      <c r="BM54" s="2626"/>
      <c r="BN54" s="4211"/>
      <c r="BO54" s="2626"/>
      <c r="BP54" s="2626"/>
    </row>
    <row r="55" spans="1:68" ht="63.75" customHeight="1" x14ac:dyDescent="0.25">
      <c r="A55" s="863"/>
      <c r="B55" s="79"/>
      <c r="C55" s="79"/>
      <c r="D55" s="887"/>
      <c r="E55" s="79"/>
      <c r="F55" s="888"/>
      <c r="G55" s="3922"/>
      <c r="H55" s="2777"/>
      <c r="I55" s="2717"/>
      <c r="J55" s="3106"/>
      <c r="K55" s="2873"/>
      <c r="L55" s="4200"/>
      <c r="M55" s="3106"/>
      <c r="N55" s="2626"/>
      <c r="O55" s="2698"/>
      <c r="P55" s="3731"/>
      <c r="Q55" s="4206"/>
      <c r="R55" s="2698"/>
      <c r="S55" s="2717"/>
      <c r="T55" s="867" t="s">
        <v>768</v>
      </c>
      <c r="U55" s="1063">
        <v>1075000</v>
      </c>
      <c r="V55" s="1063">
        <v>1075000</v>
      </c>
      <c r="W55" s="1063">
        <v>1075000</v>
      </c>
      <c r="X55" s="1105">
        <v>20</v>
      </c>
      <c r="Y55" s="2494" t="s">
        <v>85</v>
      </c>
      <c r="Z55" s="2626"/>
      <c r="AA55" s="2626"/>
      <c r="AB55" s="2626"/>
      <c r="AC55" s="2626"/>
      <c r="AD55" s="2626"/>
      <c r="AE55" s="2626"/>
      <c r="AF55" s="2626"/>
      <c r="AG55" s="2626"/>
      <c r="AH55" s="2626"/>
      <c r="AI55" s="2626"/>
      <c r="AJ55" s="2626"/>
      <c r="AK55" s="2626"/>
      <c r="AL55" s="2626"/>
      <c r="AM55" s="2626"/>
      <c r="AN55" s="2626"/>
      <c r="AO55" s="2626"/>
      <c r="AP55" s="2626"/>
      <c r="AQ55" s="2626"/>
      <c r="AR55" s="2626"/>
      <c r="AS55" s="2626"/>
      <c r="AT55" s="2626"/>
      <c r="AU55" s="2626"/>
      <c r="AV55" s="2626"/>
      <c r="AW55" s="2626"/>
      <c r="AX55" s="2626"/>
      <c r="AY55" s="2626"/>
      <c r="AZ55" s="2626"/>
      <c r="BA55" s="2626"/>
      <c r="BB55" s="2626"/>
      <c r="BC55" s="2626"/>
      <c r="BD55" s="2626"/>
      <c r="BE55" s="2626"/>
      <c r="BF55" s="2626"/>
      <c r="BG55" s="4208"/>
      <c r="BH55" s="4208"/>
      <c r="BI55" s="4212"/>
      <c r="BJ55" s="2626"/>
      <c r="BK55" s="3019"/>
      <c r="BL55" s="4215"/>
      <c r="BM55" s="2626"/>
      <c r="BN55" s="4211"/>
      <c r="BO55" s="2626"/>
      <c r="BP55" s="2626"/>
    </row>
    <row r="56" spans="1:68" ht="105" customHeight="1" x14ac:dyDescent="0.25">
      <c r="A56" s="863"/>
      <c r="B56" s="79"/>
      <c r="C56" s="79"/>
      <c r="D56" s="887"/>
      <c r="E56" s="79"/>
      <c r="F56" s="888"/>
      <c r="G56" s="3922"/>
      <c r="H56" s="2777"/>
      <c r="I56" s="2717"/>
      <c r="J56" s="3106"/>
      <c r="K56" s="2873"/>
      <c r="L56" s="4200"/>
      <c r="M56" s="3106"/>
      <c r="N56" s="2626"/>
      <c r="O56" s="2698"/>
      <c r="P56" s="3731"/>
      <c r="Q56" s="4206"/>
      <c r="R56" s="2698"/>
      <c r="S56" s="2717"/>
      <c r="T56" s="867" t="s">
        <v>769</v>
      </c>
      <c r="U56" s="1117">
        <v>3200000</v>
      </c>
      <c r="V56" s="1117">
        <v>3200000</v>
      </c>
      <c r="W56" s="1117">
        <v>3200000</v>
      </c>
      <c r="X56" s="1105">
        <v>20</v>
      </c>
      <c r="Y56" s="2494" t="s">
        <v>85</v>
      </c>
      <c r="Z56" s="2626"/>
      <c r="AA56" s="2626"/>
      <c r="AB56" s="2626"/>
      <c r="AC56" s="2626"/>
      <c r="AD56" s="2626"/>
      <c r="AE56" s="2626"/>
      <c r="AF56" s="2626"/>
      <c r="AG56" s="2626"/>
      <c r="AH56" s="2626"/>
      <c r="AI56" s="2626"/>
      <c r="AJ56" s="2626"/>
      <c r="AK56" s="2626"/>
      <c r="AL56" s="2626"/>
      <c r="AM56" s="2626"/>
      <c r="AN56" s="2626"/>
      <c r="AO56" s="2626"/>
      <c r="AP56" s="2626"/>
      <c r="AQ56" s="2626"/>
      <c r="AR56" s="2626"/>
      <c r="AS56" s="2626"/>
      <c r="AT56" s="2626"/>
      <c r="AU56" s="2626"/>
      <c r="AV56" s="2626"/>
      <c r="AW56" s="2626"/>
      <c r="AX56" s="2626"/>
      <c r="AY56" s="2626"/>
      <c r="AZ56" s="2626"/>
      <c r="BA56" s="2626"/>
      <c r="BB56" s="2626"/>
      <c r="BC56" s="2626"/>
      <c r="BD56" s="2626"/>
      <c r="BE56" s="2626"/>
      <c r="BF56" s="2626"/>
      <c r="BG56" s="4208"/>
      <c r="BH56" s="4208"/>
      <c r="BI56" s="4212"/>
      <c r="BJ56" s="2626"/>
      <c r="BK56" s="3019"/>
      <c r="BL56" s="4215"/>
      <c r="BM56" s="2626"/>
      <c r="BN56" s="4211"/>
      <c r="BO56" s="2626"/>
      <c r="BP56" s="2626"/>
    </row>
    <row r="57" spans="1:68" ht="69" customHeight="1" x14ac:dyDescent="0.25">
      <c r="A57" s="863"/>
      <c r="B57" s="79"/>
      <c r="C57" s="79"/>
      <c r="D57" s="887"/>
      <c r="E57" s="79"/>
      <c r="F57" s="888"/>
      <c r="G57" s="3922"/>
      <c r="H57" s="2777"/>
      <c r="I57" s="2717"/>
      <c r="J57" s="3106"/>
      <c r="K57" s="2873"/>
      <c r="L57" s="4200"/>
      <c r="M57" s="3106"/>
      <c r="N57" s="2626"/>
      <c r="O57" s="2698"/>
      <c r="P57" s="3731"/>
      <c r="Q57" s="4206"/>
      <c r="R57" s="2698"/>
      <c r="S57" s="2717"/>
      <c r="T57" s="867" t="s">
        <v>770</v>
      </c>
      <c r="U57" s="1117">
        <v>3658667</v>
      </c>
      <c r="V57" s="1117">
        <v>3658667</v>
      </c>
      <c r="W57" s="1117">
        <v>3658667</v>
      </c>
      <c r="X57" s="1105">
        <v>20</v>
      </c>
      <c r="Y57" s="2494" t="s">
        <v>85</v>
      </c>
      <c r="Z57" s="2626"/>
      <c r="AA57" s="2626"/>
      <c r="AB57" s="2626"/>
      <c r="AC57" s="2626"/>
      <c r="AD57" s="2626"/>
      <c r="AE57" s="2626"/>
      <c r="AF57" s="2626"/>
      <c r="AG57" s="2626"/>
      <c r="AH57" s="2626"/>
      <c r="AI57" s="2626"/>
      <c r="AJ57" s="2626"/>
      <c r="AK57" s="2626"/>
      <c r="AL57" s="2626"/>
      <c r="AM57" s="2626"/>
      <c r="AN57" s="2626"/>
      <c r="AO57" s="2626"/>
      <c r="AP57" s="2626"/>
      <c r="AQ57" s="2626"/>
      <c r="AR57" s="2626"/>
      <c r="AS57" s="2626"/>
      <c r="AT57" s="2626"/>
      <c r="AU57" s="2626"/>
      <c r="AV57" s="2626"/>
      <c r="AW57" s="2626"/>
      <c r="AX57" s="2626"/>
      <c r="AY57" s="2626"/>
      <c r="AZ57" s="2626"/>
      <c r="BA57" s="2626"/>
      <c r="BB57" s="2626"/>
      <c r="BC57" s="2626"/>
      <c r="BD57" s="2626"/>
      <c r="BE57" s="2626"/>
      <c r="BF57" s="2626"/>
      <c r="BG57" s="4208"/>
      <c r="BH57" s="4208"/>
      <c r="BI57" s="4212"/>
      <c r="BJ57" s="2626"/>
      <c r="BK57" s="3019"/>
      <c r="BL57" s="4215"/>
      <c r="BM57" s="2626"/>
      <c r="BN57" s="4211"/>
      <c r="BO57" s="2626"/>
      <c r="BP57" s="2626"/>
    </row>
    <row r="58" spans="1:68" ht="75" customHeight="1" x14ac:dyDescent="0.25">
      <c r="A58" s="863"/>
      <c r="B58" s="79"/>
      <c r="C58" s="79"/>
      <c r="D58" s="887"/>
      <c r="E58" s="79"/>
      <c r="F58" s="888"/>
      <c r="G58" s="3922"/>
      <c r="H58" s="2777"/>
      <c r="I58" s="2717"/>
      <c r="J58" s="3106"/>
      <c r="K58" s="2873"/>
      <c r="L58" s="4200"/>
      <c r="M58" s="3106"/>
      <c r="N58" s="2626"/>
      <c r="O58" s="2698"/>
      <c r="P58" s="3731"/>
      <c r="Q58" s="4206"/>
      <c r="R58" s="2698"/>
      <c r="S58" s="2717"/>
      <c r="T58" s="867" t="s">
        <v>771</v>
      </c>
      <c r="U58" s="1117">
        <v>3136000</v>
      </c>
      <c r="V58" s="1117">
        <v>3136000</v>
      </c>
      <c r="W58" s="1117">
        <v>3136000</v>
      </c>
      <c r="X58" s="1105">
        <v>20</v>
      </c>
      <c r="Y58" s="2494" t="s">
        <v>85</v>
      </c>
      <c r="Z58" s="2626"/>
      <c r="AA58" s="2626"/>
      <c r="AB58" s="2626"/>
      <c r="AC58" s="2626"/>
      <c r="AD58" s="2626"/>
      <c r="AE58" s="2626"/>
      <c r="AF58" s="2626"/>
      <c r="AG58" s="2626"/>
      <c r="AH58" s="2626"/>
      <c r="AI58" s="2626"/>
      <c r="AJ58" s="2626"/>
      <c r="AK58" s="2626"/>
      <c r="AL58" s="2626"/>
      <c r="AM58" s="2626"/>
      <c r="AN58" s="2626"/>
      <c r="AO58" s="2626"/>
      <c r="AP58" s="2626"/>
      <c r="AQ58" s="2626"/>
      <c r="AR58" s="2626"/>
      <c r="AS58" s="2626"/>
      <c r="AT58" s="2626"/>
      <c r="AU58" s="2626"/>
      <c r="AV58" s="2626"/>
      <c r="AW58" s="2626"/>
      <c r="AX58" s="2626"/>
      <c r="AY58" s="2626"/>
      <c r="AZ58" s="2626"/>
      <c r="BA58" s="2626"/>
      <c r="BB58" s="2626"/>
      <c r="BC58" s="2626"/>
      <c r="BD58" s="2626"/>
      <c r="BE58" s="2626"/>
      <c r="BF58" s="2626"/>
      <c r="BG58" s="4208"/>
      <c r="BH58" s="4208"/>
      <c r="BI58" s="4212"/>
      <c r="BJ58" s="2626"/>
      <c r="BK58" s="3019"/>
      <c r="BL58" s="4215"/>
      <c r="BM58" s="2626"/>
      <c r="BN58" s="4211"/>
      <c r="BO58" s="2626"/>
      <c r="BP58" s="2626"/>
    </row>
    <row r="59" spans="1:68" ht="120" customHeight="1" x14ac:dyDescent="0.25">
      <c r="A59" s="863"/>
      <c r="B59" s="79"/>
      <c r="C59" s="79"/>
      <c r="D59" s="887"/>
      <c r="E59" s="79"/>
      <c r="F59" s="888"/>
      <c r="G59" s="3922"/>
      <c r="H59" s="2777"/>
      <c r="I59" s="2717"/>
      <c r="J59" s="3106"/>
      <c r="K59" s="2873"/>
      <c r="L59" s="4200"/>
      <c r="M59" s="3106"/>
      <c r="N59" s="2626"/>
      <c r="O59" s="2698"/>
      <c r="P59" s="3731"/>
      <c r="Q59" s="4206"/>
      <c r="R59" s="2698"/>
      <c r="S59" s="2717"/>
      <c r="T59" s="867" t="s">
        <v>772</v>
      </c>
      <c r="U59" s="1117">
        <v>3136000</v>
      </c>
      <c r="V59" s="1117">
        <v>3136000</v>
      </c>
      <c r="W59" s="1117">
        <v>3136000</v>
      </c>
      <c r="X59" s="1105">
        <v>20</v>
      </c>
      <c r="Y59" s="2494" t="s">
        <v>85</v>
      </c>
      <c r="Z59" s="2626"/>
      <c r="AA59" s="2626"/>
      <c r="AB59" s="2626"/>
      <c r="AC59" s="2626"/>
      <c r="AD59" s="2626"/>
      <c r="AE59" s="2626"/>
      <c r="AF59" s="2626"/>
      <c r="AG59" s="2626"/>
      <c r="AH59" s="2626"/>
      <c r="AI59" s="2626"/>
      <c r="AJ59" s="2626"/>
      <c r="AK59" s="2626"/>
      <c r="AL59" s="2626"/>
      <c r="AM59" s="2626"/>
      <c r="AN59" s="2626"/>
      <c r="AO59" s="2626"/>
      <c r="AP59" s="2626"/>
      <c r="AQ59" s="2626"/>
      <c r="AR59" s="2626"/>
      <c r="AS59" s="2626"/>
      <c r="AT59" s="2626"/>
      <c r="AU59" s="2626"/>
      <c r="AV59" s="2626"/>
      <c r="AW59" s="2626"/>
      <c r="AX59" s="2626"/>
      <c r="AY59" s="2626"/>
      <c r="AZ59" s="2626"/>
      <c r="BA59" s="2626"/>
      <c r="BB59" s="2626"/>
      <c r="BC59" s="2626"/>
      <c r="BD59" s="2626"/>
      <c r="BE59" s="2626"/>
      <c r="BF59" s="2626"/>
      <c r="BG59" s="4208"/>
      <c r="BH59" s="4208"/>
      <c r="BI59" s="4212"/>
      <c r="BJ59" s="2626"/>
      <c r="BK59" s="3019"/>
      <c r="BL59" s="4215"/>
      <c r="BM59" s="2626"/>
      <c r="BN59" s="4211"/>
      <c r="BO59" s="2626"/>
      <c r="BP59" s="2626"/>
    </row>
    <row r="60" spans="1:68" ht="120" customHeight="1" x14ac:dyDescent="0.25">
      <c r="A60" s="863"/>
      <c r="B60" s="79"/>
      <c r="C60" s="79"/>
      <c r="D60" s="887"/>
      <c r="E60" s="79"/>
      <c r="F60" s="888"/>
      <c r="G60" s="3922"/>
      <c r="H60" s="2777"/>
      <c r="I60" s="2717"/>
      <c r="J60" s="3106"/>
      <c r="K60" s="2873"/>
      <c r="L60" s="4200"/>
      <c r="M60" s="3106"/>
      <c r="N60" s="2626"/>
      <c r="O60" s="2698"/>
      <c r="P60" s="3731"/>
      <c r="Q60" s="4206"/>
      <c r="R60" s="2698"/>
      <c r="S60" s="2717"/>
      <c r="T60" s="867" t="s">
        <v>773</v>
      </c>
      <c r="U60" s="1117">
        <v>2150000</v>
      </c>
      <c r="V60" s="1117">
        <v>2150000</v>
      </c>
      <c r="W60" s="1117">
        <v>2150000</v>
      </c>
      <c r="X60" s="1105">
        <v>20</v>
      </c>
      <c r="Y60" s="2494" t="s">
        <v>85</v>
      </c>
      <c r="Z60" s="2626"/>
      <c r="AA60" s="2626"/>
      <c r="AB60" s="2626"/>
      <c r="AC60" s="2626"/>
      <c r="AD60" s="2626"/>
      <c r="AE60" s="2626"/>
      <c r="AF60" s="2626"/>
      <c r="AG60" s="2626"/>
      <c r="AH60" s="2626"/>
      <c r="AI60" s="2626"/>
      <c r="AJ60" s="2626"/>
      <c r="AK60" s="2626"/>
      <c r="AL60" s="2626"/>
      <c r="AM60" s="2626"/>
      <c r="AN60" s="2626"/>
      <c r="AO60" s="2626"/>
      <c r="AP60" s="2626"/>
      <c r="AQ60" s="2626"/>
      <c r="AR60" s="2626"/>
      <c r="AS60" s="2626"/>
      <c r="AT60" s="2626"/>
      <c r="AU60" s="2626"/>
      <c r="AV60" s="2626"/>
      <c r="AW60" s="2626"/>
      <c r="AX60" s="2626"/>
      <c r="AY60" s="2626"/>
      <c r="AZ60" s="2626"/>
      <c r="BA60" s="2626"/>
      <c r="BB60" s="2626"/>
      <c r="BC60" s="2626"/>
      <c r="BD60" s="2626"/>
      <c r="BE60" s="2626"/>
      <c r="BF60" s="2626"/>
      <c r="BG60" s="4208"/>
      <c r="BH60" s="4208"/>
      <c r="BI60" s="4212"/>
      <c r="BJ60" s="2626"/>
      <c r="BK60" s="3019"/>
      <c r="BL60" s="4215"/>
      <c r="BM60" s="2626"/>
      <c r="BN60" s="4211"/>
      <c r="BO60" s="2626"/>
      <c r="BP60" s="2626"/>
    </row>
    <row r="61" spans="1:68" ht="105" customHeight="1" x14ac:dyDescent="0.25">
      <c r="A61" s="121"/>
      <c r="B61" s="4"/>
      <c r="C61" s="4"/>
      <c r="D61" s="122"/>
      <c r="E61" s="4"/>
      <c r="F61" s="123"/>
      <c r="G61" s="4196"/>
      <c r="H61" s="4197"/>
      <c r="I61" s="2863"/>
      <c r="J61" s="3851"/>
      <c r="K61" s="4198"/>
      <c r="L61" s="4201"/>
      <c r="M61" s="3851"/>
      <c r="N61" s="3167"/>
      <c r="O61" s="2788"/>
      <c r="P61" s="3683"/>
      <c r="Q61" s="4207"/>
      <c r="R61" s="2788"/>
      <c r="S61" s="2863"/>
      <c r="T61" s="865" t="s">
        <v>774</v>
      </c>
      <c r="U61" s="1118">
        <v>16306666</v>
      </c>
      <c r="V61" s="1118">
        <v>14623333</v>
      </c>
      <c r="W61" s="1118">
        <v>14623333</v>
      </c>
      <c r="X61" s="1108">
        <v>20</v>
      </c>
      <c r="Y61" s="2502" t="s">
        <v>85</v>
      </c>
      <c r="Z61" s="3167"/>
      <c r="AA61" s="3167"/>
      <c r="AB61" s="3167"/>
      <c r="AC61" s="3167"/>
      <c r="AD61" s="3167"/>
      <c r="AE61" s="3167"/>
      <c r="AF61" s="3167"/>
      <c r="AG61" s="3167"/>
      <c r="AH61" s="3167"/>
      <c r="AI61" s="3167"/>
      <c r="AJ61" s="3167"/>
      <c r="AK61" s="3167"/>
      <c r="AL61" s="3167"/>
      <c r="AM61" s="3167"/>
      <c r="AN61" s="3167"/>
      <c r="AO61" s="3167"/>
      <c r="AP61" s="3167"/>
      <c r="AQ61" s="3167"/>
      <c r="AR61" s="3167"/>
      <c r="AS61" s="3167"/>
      <c r="AT61" s="3167"/>
      <c r="AU61" s="3167"/>
      <c r="AV61" s="3167"/>
      <c r="AW61" s="3167"/>
      <c r="AX61" s="3167"/>
      <c r="AY61" s="3167"/>
      <c r="AZ61" s="3167"/>
      <c r="BA61" s="3167"/>
      <c r="BB61" s="3167"/>
      <c r="BC61" s="3167"/>
      <c r="BD61" s="3167"/>
      <c r="BE61" s="3167"/>
      <c r="BF61" s="3167"/>
      <c r="BG61" s="4209"/>
      <c r="BH61" s="4209"/>
      <c r="BI61" s="4213"/>
      <c r="BJ61" s="3167"/>
      <c r="BK61" s="3168"/>
      <c r="BL61" s="4216"/>
      <c r="BM61" s="3167"/>
      <c r="BN61" s="4214"/>
      <c r="BO61" s="3167"/>
      <c r="BP61" s="3167"/>
    </row>
    <row r="62" spans="1:68" ht="60" customHeight="1" x14ac:dyDescent="0.25">
      <c r="A62" s="121"/>
      <c r="B62" s="4"/>
      <c r="C62" s="4"/>
      <c r="D62" s="122"/>
      <c r="E62" s="4"/>
      <c r="F62" s="123"/>
      <c r="G62" s="2618" t="s">
        <v>603</v>
      </c>
      <c r="H62" s="2777">
        <v>36.9</v>
      </c>
      <c r="I62" s="2717" t="s">
        <v>775</v>
      </c>
      <c r="J62" s="2717" t="s">
        <v>776</v>
      </c>
      <c r="K62" s="2625">
        <v>1</v>
      </c>
      <c r="L62" s="4145">
        <v>1</v>
      </c>
      <c r="M62" s="3106" t="s">
        <v>706</v>
      </c>
      <c r="N62" s="2626" t="s">
        <v>707</v>
      </c>
      <c r="O62" s="2698" t="s">
        <v>708</v>
      </c>
      <c r="P62" s="3731">
        <f>(U63+U64+U65+U66+U67+U68+U69+U70+U71+U72)/(Q62+Q87+Q22)</f>
        <v>0.35315627309133768</v>
      </c>
      <c r="Q62" s="4210">
        <v>40401666</v>
      </c>
      <c r="R62" s="2698" t="s">
        <v>709</v>
      </c>
      <c r="S62" s="2717" t="s">
        <v>710</v>
      </c>
      <c r="T62" s="867" t="s">
        <v>777</v>
      </c>
      <c r="U62" s="1119">
        <v>0</v>
      </c>
      <c r="V62" s="1119">
        <v>0</v>
      </c>
      <c r="W62" s="1119">
        <v>0</v>
      </c>
      <c r="X62" s="1090"/>
      <c r="Y62" s="2273"/>
      <c r="Z62" s="2625">
        <v>4600</v>
      </c>
      <c r="AA62" s="2710">
        <v>1181</v>
      </c>
      <c r="AB62" s="2625">
        <v>3810</v>
      </c>
      <c r="AC62" s="2625">
        <v>1146</v>
      </c>
      <c r="AD62" s="2625">
        <v>0</v>
      </c>
      <c r="AE62" s="2813"/>
      <c r="AF62" s="2625">
        <v>5300</v>
      </c>
      <c r="AG62" s="2813">
        <v>1682</v>
      </c>
      <c r="AH62" s="2625">
        <v>2900</v>
      </c>
      <c r="AI62" s="2813">
        <v>645</v>
      </c>
      <c r="AJ62" s="2625">
        <v>0</v>
      </c>
      <c r="AK62" s="2813"/>
      <c r="AL62" s="2625">
        <v>10</v>
      </c>
      <c r="AM62" s="2813">
        <v>6</v>
      </c>
      <c r="AN62" s="2625">
        <v>0</v>
      </c>
      <c r="AO62" s="2813">
        <v>6</v>
      </c>
      <c r="AP62" s="2625">
        <v>0</v>
      </c>
      <c r="AQ62" s="2813"/>
      <c r="AR62" s="2625">
        <v>0</v>
      </c>
      <c r="AS62" s="2813"/>
      <c r="AT62" s="2625">
        <v>0</v>
      </c>
      <c r="AU62" s="2813"/>
      <c r="AV62" s="2625">
        <v>0</v>
      </c>
      <c r="AW62" s="2813"/>
      <c r="AX62" s="2625">
        <v>0</v>
      </c>
      <c r="AY62" s="2813"/>
      <c r="AZ62" s="2625">
        <v>10</v>
      </c>
      <c r="BA62" s="2813">
        <v>4</v>
      </c>
      <c r="BB62" s="2625">
        <v>10</v>
      </c>
      <c r="BC62" s="2813">
        <v>1</v>
      </c>
      <c r="BD62" s="2626">
        <v>8410</v>
      </c>
      <c r="BE62" s="3167"/>
      <c r="BF62" s="3167">
        <v>5</v>
      </c>
      <c r="BG62" s="4209">
        <f>SUM(V62:V72)</f>
        <v>40401666</v>
      </c>
      <c r="BH62" s="4209">
        <f>SUM(W62:W72)</f>
        <v>40401666</v>
      </c>
      <c r="BI62" s="4213">
        <f>BH62/BG62</f>
        <v>1</v>
      </c>
      <c r="BJ62" s="3167" t="s">
        <v>691</v>
      </c>
      <c r="BK62" s="3167" t="s">
        <v>712</v>
      </c>
      <c r="BL62" s="4214">
        <v>43832</v>
      </c>
      <c r="BM62" s="4214">
        <v>43832</v>
      </c>
      <c r="BN62" s="4214">
        <v>44195</v>
      </c>
      <c r="BO62" s="4214">
        <v>44195</v>
      </c>
      <c r="BP62" s="3167" t="s">
        <v>693</v>
      </c>
    </row>
    <row r="63" spans="1:68" s="861" customFormat="1" ht="66.75" customHeight="1" x14ac:dyDescent="0.25">
      <c r="A63" s="1120"/>
      <c r="B63" s="71"/>
      <c r="C63" s="71"/>
      <c r="D63" s="339"/>
      <c r="E63" s="71"/>
      <c r="F63" s="340"/>
      <c r="G63" s="2618"/>
      <c r="H63" s="2777"/>
      <c r="I63" s="2717"/>
      <c r="J63" s="2717"/>
      <c r="K63" s="2625"/>
      <c r="L63" s="4146"/>
      <c r="M63" s="3106"/>
      <c r="N63" s="2626"/>
      <c r="O63" s="2698"/>
      <c r="P63" s="3731"/>
      <c r="Q63" s="4210"/>
      <c r="R63" s="2698"/>
      <c r="S63" s="2717"/>
      <c r="T63" s="1121" t="s">
        <v>713</v>
      </c>
      <c r="U63" s="1117">
        <v>11720000</v>
      </c>
      <c r="V63" s="1117">
        <v>11720000</v>
      </c>
      <c r="W63" s="1117">
        <v>11720000</v>
      </c>
      <c r="X63" s="1105">
        <v>20</v>
      </c>
      <c r="Y63" s="2494" t="s">
        <v>85</v>
      </c>
      <c r="Z63" s="2625"/>
      <c r="AA63" s="2710"/>
      <c r="AB63" s="2625"/>
      <c r="AC63" s="2625"/>
      <c r="AD63" s="2625"/>
      <c r="AE63" s="2782"/>
      <c r="AF63" s="2625"/>
      <c r="AG63" s="2782"/>
      <c r="AH63" s="2625"/>
      <c r="AI63" s="2782"/>
      <c r="AJ63" s="2625"/>
      <c r="AK63" s="2782"/>
      <c r="AL63" s="2625"/>
      <c r="AM63" s="2782"/>
      <c r="AN63" s="2625"/>
      <c r="AO63" s="2782"/>
      <c r="AP63" s="2625"/>
      <c r="AQ63" s="2782"/>
      <c r="AR63" s="2625"/>
      <c r="AS63" s="2782"/>
      <c r="AT63" s="2625"/>
      <c r="AU63" s="2782"/>
      <c r="AV63" s="2625"/>
      <c r="AW63" s="2782"/>
      <c r="AX63" s="2625"/>
      <c r="AY63" s="2782"/>
      <c r="AZ63" s="2625"/>
      <c r="BA63" s="2782"/>
      <c r="BB63" s="2625"/>
      <c r="BC63" s="2782"/>
      <c r="BD63" s="2626"/>
      <c r="BE63" s="3019"/>
      <c r="BF63" s="3019"/>
      <c r="BG63" s="4228"/>
      <c r="BH63" s="4228"/>
      <c r="BI63" s="4230"/>
      <c r="BJ63" s="3019"/>
      <c r="BK63" s="3019"/>
      <c r="BL63" s="4215"/>
      <c r="BM63" s="4215"/>
      <c r="BN63" s="4215"/>
      <c r="BO63" s="4215"/>
      <c r="BP63" s="3019"/>
    </row>
    <row r="64" spans="1:68" s="861" customFormat="1" ht="50.25" customHeight="1" x14ac:dyDescent="0.25">
      <c r="A64" s="1120"/>
      <c r="B64" s="71"/>
      <c r="C64" s="71"/>
      <c r="D64" s="339"/>
      <c r="E64" s="71"/>
      <c r="F64" s="340"/>
      <c r="G64" s="2618"/>
      <c r="H64" s="2777"/>
      <c r="I64" s="2717"/>
      <c r="J64" s="2717"/>
      <c r="K64" s="2625"/>
      <c r="L64" s="4146"/>
      <c r="M64" s="3106"/>
      <c r="N64" s="2626"/>
      <c r="O64" s="2698"/>
      <c r="P64" s="3731"/>
      <c r="Q64" s="4210"/>
      <c r="R64" s="2698"/>
      <c r="S64" s="2717"/>
      <c r="T64" s="1121" t="s">
        <v>714</v>
      </c>
      <c r="U64" s="1117">
        <v>10453333</v>
      </c>
      <c r="V64" s="1117">
        <v>10453333</v>
      </c>
      <c r="W64" s="1117">
        <v>10453333</v>
      </c>
      <c r="X64" s="1105">
        <v>20</v>
      </c>
      <c r="Y64" s="2494" t="s">
        <v>85</v>
      </c>
      <c r="Z64" s="2625"/>
      <c r="AA64" s="2710"/>
      <c r="AB64" s="2625"/>
      <c r="AC64" s="2625"/>
      <c r="AD64" s="2625"/>
      <c r="AE64" s="2782"/>
      <c r="AF64" s="2625"/>
      <c r="AG64" s="2782"/>
      <c r="AH64" s="2625"/>
      <c r="AI64" s="2782"/>
      <c r="AJ64" s="2625"/>
      <c r="AK64" s="2782"/>
      <c r="AL64" s="2625"/>
      <c r="AM64" s="2782"/>
      <c r="AN64" s="2625"/>
      <c r="AO64" s="2782"/>
      <c r="AP64" s="2625"/>
      <c r="AQ64" s="2782"/>
      <c r="AR64" s="2625"/>
      <c r="AS64" s="2782"/>
      <c r="AT64" s="2625"/>
      <c r="AU64" s="2782"/>
      <c r="AV64" s="2625"/>
      <c r="AW64" s="2782"/>
      <c r="AX64" s="2625"/>
      <c r="AY64" s="2782"/>
      <c r="AZ64" s="2625"/>
      <c r="BA64" s="2782"/>
      <c r="BB64" s="2625"/>
      <c r="BC64" s="2782"/>
      <c r="BD64" s="2626"/>
      <c r="BE64" s="3019"/>
      <c r="BF64" s="3019"/>
      <c r="BG64" s="4228"/>
      <c r="BH64" s="4228"/>
      <c r="BI64" s="4230"/>
      <c r="BJ64" s="3019"/>
      <c r="BK64" s="3019"/>
      <c r="BL64" s="4215"/>
      <c r="BM64" s="4215"/>
      <c r="BN64" s="4215"/>
      <c r="BO64" s="4215"/>
      <c r="BP64" s="3019"/>
    </row>
    <row r="65" spans="1:131" s="861" customFormat="1" ht="91.5" customHeight="1" x14ac:dyDescent="0.25">
      <c r="A65" s="1120"/>
      <c r="B65" s="71"/>
      <c r="C65" s="71"/>
      <c r="D65" s="339"/>
      <c r="E65" s="71"/>
      <c r="F65" s="340"/>
      <c r="G65" s="2618"/>
      <c r="H65" s="2777"/>
      <c r="I65" s="2717"/>
      <c r="J65" s="2717"/>
      <c r="K65" s="2625"/>
      <c r="L65" s="4146"/>
      <c r="M65" s="3106"/>
      <c r="N65" s="2626"/>
      <c r="O65" s="2698"/>
      <c r="P65" s="3731"/>
      <c r="Q65" s="4210"/>
      <c r="R65" s="2698"/>
      <c r="S65" s="2717"/>
      <c r="T65" s="1121" t="s">
        <v>715</v>
      </c>
      <c r="U65" s="1117">
        <v>1080000</v>
      </c>
      <c r="V65" s="1117">
        <v>1080000</v>
      </c>
      <c r="W65" s="1117">
        <v>1080000</v>
      </c>
      <c r="X65" s="1105">
        <v>20</v>
      </c>
      <c r="Y65" s="2494" t="s">
        <v>85</v>
      </c>
      <c r="Z65" s="2625"/>
      <c r="AA65" s="2710"/>
      <c r="AB65" s="2625"/>
      <c r="AC65" s="2625"/>
      <c r="AD65" s="2625"/>
      <c r="AE65" s="2782"/>
      <c r="AF65" s="2625"/>
      <c r="AG65" s="2782"/>
      <c r="AH65" s="2625"/>
      <c r="AI65" s="2782"/>
      <c r="AJ65" s="2625"/>
      <c r="AK65" s="2782"/>
      <c r="AL65" s="2625"/>
      <c r="AM65" s="2782"/>
      <c r="AN65" s="2625"/>
      <c r="AO65" s="2782"/>
      <c r="AP65" s="2625"/>
      <c r="AQ65" s="2782"/>
      <c r="AR65" s="2625"/>
      <c r="AS65" s="2782"/>
      <c r="AT65" s="2625"/>
      <c r="AU65" s="2782"/>
      <c r="AV65" s="2625"/>
      <c r="AW65" s="2782"/>
      <c r="AX65" s="2625"/>
      <c r="AY65" s="2782"/>
      <c r="AZ65" s="2625"/>
      <c r="BA65" s="2782"/>
      <c r="BB65" s="2625"/>
      <c r="BC65" s="2782"/>
      <c r="BD65" s="2626"/>
      <c r="BE65" s="3019"/>
      <c r="BF65" s="3019"/>
      <c r="BG65" s="4228"/>
      <c r="BH65" s="4228"/>
      <c r="BI65" s="4230"/>
      <c r="BJ65" s="3019"/>
      <c r="BK65" s="3019"/>
      <c r="BL65" s="4215"/>
      <c r="BM65" s="4215"/>
      <c r="BN65" s="4215"/>
      <c r="BO65" s="4215"/>
      <c r="BP65" s="3019"/>
    </row>
    <row r="66" spans="1:131" s="861" customFormat="1" ht="79.5" customHeight="1" x14ac:dyDescent="0.25">
      <c r="A66" s="1120"/>
      <c r="B66" s="71"/>
      <c r="C66" s="71"/>
      <c r="D66" s="339"/>
      <c r="E66" s="71"/>
      <c r="F66" s="340"/>
      <c r="G66" s="2618"/>
      <c r="H66" s="2777"/>
      <c r="I66" s="2717"/>
      <c r="J66" s="2717"/>
      <c r="K66" s="2625"/>
      <c r="L66" s="4146"/>
      <c r="M66" s="3106"/>
      <c r="N66" s="2626"/>
      <c r="O66" s="2698"/>
      <c r="P66" s="3731"/>
      <c r="Q66" s="4210"/>
      <c r="R66" s="2698"/>
      <c r="S66" s="2717"/>
      <c r="T66" s="1121" t="s">
        <v>716</v>
      </c>
      <c r="U66" s="1117">
        <v>16200000</v>
      </c>
      <c r="V66" s="1117">
        <v>16200000</v>
      </c>
      <c r="W66" s="1117">
        <v>16200000</v>
      </c>
      <c r="X66" s="1105">
        <v>20</v>
      </c>
      <c r="Y66" s="2494" t="s">
        <v>85</v>
      </c>
      <c r="Z66" s="2625"/>
      <c r="AA66" s="2710"/>
      <c r="AB66" s="2625"/>
      <c r="AC66" s="2625"/>
      <c r="AD66" s="2625"/>
      <c r="AE66" s="2782"/>
      <c r="AF66" s="2625"/>
      <c r="AG66" s="2782"/>
      <c r="AH66" s="2625"/>
      <c r="AI66" s="2782"/>
      <c r="AJ66" s="2625"/>
      <c r="AK66" s="2782"/>
      <c r="AL66" s="2625"/>
      <c r="AM66" s="2782"/>
      <c r="AN66" s="2625"/>
      <c r="AO66" s="2782"/>
      <c r="AP66" s="2625"/>
      <c r="AQ66" s="2782"/>
      <c r="AR66" s="2625"/>
      <c r="AS66" s="2782"/>
      <c r="AT66" s="2625"/>
      <c r="AU66" s="2782"/>
      <c r="AV66" s="2625"/>
      <c r="AW66" s="2782"/>
      <c r="AX66" s="2625"/>
      <c r="AY66" s="2782"/>
      <c r="AZ66" s="2625"/>
      <c r="BA66" s="2782"/>
      <c r="BB66" s="2625"/>
      <c r="BC66" s="2782"/>
      <c r="BD66" s="2626"/>
      <c r="BE66" s="3019"/>
      <c r="BF66" s="3019"/>
      <c r="BG66" s="4228"/>
      <c r="BH66" s="4228"/>
      <c r="BI66" s="4230"/>
      <c r="BJ66" s="3019"/>
      <c r="BK66" s="3019"/>
      <c r="BL66" s="4215"/>
      <c r="BM66" s="4215"/>
      <c r="BN66" s="4215"/>
      <c r="BO66" s="4215"/>
      <c r="BP66" s="3019"/>
      <c r="BQ66" s="71"/>
    </row>
    <row r="67" spans="1:131" s="861" customFormat="1" ht="54.75" customHeight="1" x14ac:dyDescent="0.25">
      <c r="A67" s="1120"/>
      <c r="B67" s="71"/>
      <c r="C67" s="71"/>
      <c r="D67" s="339"/>
      <c r="E67" s="71"/>
      <c r="F67" s="340"/>
      <c r="G67" s="2618"/>
      <c r="H67" s="2777"/>
      <c r="I67" s="2717"/>
      <c r="J67" s="2717"/>
      <c r="K67" s="2625"/>
      <c r="L67" s="4146"/>
      <c r="M67" s="3106"/>
      <c r="N67" s="2626"/>
      <c r="O67" s="2698"/>
      <c r="P67" s="3731"/>
      <c r="Q67" s="4210"/>
      <c r="R67" s="2698"/>
      <c r="S67" s="2717"/>
      <c r="T67" s="1121" t="s">
        <v>717</v>
      </c>
      <c r="U67" s="1117">
        <v>948333</v>
      </c>
      <c r="V67" s="1117">
        <v>948333</v>
      </c>
      <c r="W67" s="1117">
        <v>948333</v>
      </c>
      <c r="X67" s="1105">
        <v>20</v>
      </c>
      <c r="Y67" s="2494" t="s">
        <v>85</v>
      </c>
      <c r="Z67" s="2625"/>
      <c r="AA67" s="2710"/>
      <c r="AB67" s="2625"/>
      <c r="AC67" s="2625"/>
      <c r="AD67" s="2625"/>
      <c r="AE67" s="2782"/>
      <c r="AF67" s="2625"/>
      <c r="AG67" s="2782"/>
      <c r="AH67" s="2625"/>
      <c r="AI67" s="2782"/>
      <c r="AJ67" s="2625"/>
      <c r="AK67" s="2782"/>
      <c r="AL67" s="2625"/>
      <c r="AM67" s="2782"/>
      <c r="AN67" s="2625"/>
      <c r="AO67" s="2782"/>
      <c r="AP67" s="2625"/>
      <c r="AQ67" s="2782"/>
      <c r="AR67" s="2625"/>
      <c r="AS67" s="2782"/>
      <c r="AT67" s="2625"/>
      <c r="AU67" s="2782"/>
      <c r="AV67" s="2625"/>
      <c r="AW67" s="2782"/>
      <c r="AX67" s="2625"/>
      <c r="AY67" s="2782"/>
      <c r="AZ67" s="2625"/>
      <c r="BA67" s="2782"/>
      <c r="BB67" s="2625"/>
      <c r="BC67" s="2782"/>
      <c r="BD67" s="2626"/>
      <c r="BE67" s="3019"/>
      <c r="BF67" s="3019"/>
      <c r="BG67" s="4228"/>
      <c r="BH67" s="4228"/>
      <c r="BI67" s="4230"/>
      <c r="BJ67" s="3019"/>
      <c r="BK67" s="3019"/>
      <c r="BL67" s="4215"/>
      <c r="BM67" s="4215"/>
      <c r="BN67" s="4215"/>
      <c r="BO67" s="4215"/>
      <c r="BP67" s="3019"/>
      <c r="BQ67" s="71"/>
    </row>
    <row r="68" spans="1:131" s="861" customFormat="1" ht="48.75" customHeight="1" x14ac:dyDescent="0.25">
      <c r="A68" s="1120"/>
      <c r="B68" s="71"/>
      <c r="C68" s="71"/>
      <c r="D68" s="339"/>
      <c r="E68" s="71"/>
      <c r="F68" s="340"/>
      <c r="G68" s="2618"/>
      <c r="H68" s="2777"/>
      <c r="I68" s="2717"/>
      <c r="J68" s="2717"/>
      <c r="K68" s="2625"/>
      <c r="L68" s="4146"/>
      <c r="M68" s="3106"/>
      <c r="N68" s="2626"/>
      <c r="O68" s="2698"/>
      <c r="P68" s="3731"/>
      <c r="Q68" s="4210"/>
      <c r="R68" s="2698"/>
      <c r="S68" s="2717"/>
      <c r="T68" s="918" t="s">
        <v>778</v>
      </c>
      <c r="U68" s="1119">
        <v>0</v>
      </c>
      <c r="V68" s="1119">
        <v>0</v>
      </c>
      <c r="W68" s="1119">
        <v>0</v>
      </c>
      <c r="X68" s="1090">
        <v>88</v>
      </c>
      <c r="Y68" s="2273" t="s">
        <v>411</v>
      </c>
      <c r="Z68" s="2625"/>
      <c r="AA68" s="2710"/>
      <c r="AB68" s="2625"/>
      <c r="AC68" s="2625"/>
      <c r="AD68" s="2625"/>
      <c r="AE68" s="2782"/>
      <c r="AF68" s="2625"/>
      <c r="AG68" s="2782"/>
      <c r="AH68" s="2625"/>
      <c r="AI68" s="2782"/>
      <c r="AJ68" s="2625"/>
      <c r="AK68" s="2782"/>
      <c r="AL68" s="2625"/>
      <c r="AM68" s="2782"/>
      <c r="AN68" s="2625"/>
      <c r="AO68" s="2782"/>
      <c r="AP68" s="2625"/>
      <c r="AQ68" s="2782"/>
      <c r="AR68" s="2625"/>
      <c r="AS68" s="2782"/>
      <c r="AT68" s="2625"/>
      <c r="AU68" s="2782"/>
      <c r="AV68" s="2625"/>
      <c r="AW68" s="2782"/>
      <c r="AX68" s="2625"/>
      <c r="AY68" s="2782"/>
      <c r="AZ68" s="2625"/>
      <c r="BA68" s="2782"/>
      <c r="BB68" s="2625"/>
      <c r="BC68" s="2782"/>
      <c r="BD68" s="2626"/>
      <c r="BE68" s="3019"/>
      <c r="BF68" s="3019"/>
      <c r="BG68" s="4228"/>
      <c r="BH68" s="4228"/>
      <c r="BI68" s="4230"/>
      <c r="BJ68" s="3019"/>
      <c r="BK68" s="3019"/>
      <c r="BL68" s="4215"/>
      <c r="BM68" s="4215"/>
      <c r="BN68" s="4215"/>
      <c r="BO68" s="4215"/>
      <c r="BP68" s="3019"/>
      <c r="BQ68" s="71"/>
    </row>
    <row r="69" spans="1:131" s="861" customFormat="1" ht="66" customHeight="1" x14ac:dyDescent="0.25">
      <c r="A69" s="1120"/>
      <c r="B69" s="71"/>
      <c r="C69" s="71"/>
      <c r="D69" s="339"/>
      <c r="E69" s="71"/>
      <c r="F69" s="340"/>
      <c r="G69" s="2618"/>
      <c r="H69" s="2777"/>
      <c r="I69" s="2717"/>
      <c r="J69" s="2717"/>
      <c r="K69" s="2625"/>
      <c r="L69" s="4146"/>
      <c r="M69" s="3106"/>
      <c r="N69" s="2626"/>
      <c r="O69" s="2698"/>
      <c r="P69" s="3731"/>
      <c r="Q69" s="4210"/>
      <c r="R69" s="2698"/>
      <c r="S69" s="2717"/>
      <c r="T69" s="918" t="s">
        <v>779</v>
      </c>
      <c r="U69" s="1119">
        <v>0</v>
      </c>
      <c r="V69" s="1119">
        <v>0</v>
      </c>
      <c r="W69" s="1119">
        <v>0</v>
      </c>
      <c r="X69" s="1090">
        <v>88</v>
      </c>
      <c r="Y69" s="2273" t="s">
        <v>411</v>
      </c>
      <c r="Z69" s="2625"/>
      <c r="AA69" s="2710"/>
      <c r="AB69" s="2625"/>
      <c r="AC69" s="2625"/>
      <c r="AD69" s="2625"/>
      <c r="AE69" s="2782"/>
      <c r="AF69" s="2625"/>
      <c r="AG69" s="2782"/>
      <c r="AH69" s="2625"/>
      <c r="AI69" s="2782"/>
      <c r="AJ69" s="2625"/>
      <c r="AK69" s="2782"/>
      <c r="AL69" s="2625"/>
      <c r="AM69" s="2782"/>
      <c r="AN69" s="2625"/>
      <c r="AO69" s="2782"/>
      <c r="AP69" s="2625"/>
      <c r="AQ69" s="2782"/>
      <c r="AR69" s="2625"/>
      <c r="AS69" s="2782"/>
      <c r="AT69" s="2625"/>
      <c r="AU69" s="2782"/>
      <c r="AV69" s="2625"/>
      <c r="AW69" s="2782"/>
      <c r="AX69" s="2625"/>
      <c r="AY69" s="2782"/>
      <c r="AZ69" s="2625"/>
      <c r="BA69" s="2782"/>
      <c r="BB69" s="2625"/>
      <c r="BC69" s="2782"/>
      <c r="BD69" s="2626"/>
      <c r="BE69" s="3019"/>
      <c r="BF69" s="3019"/>
      <c r="BG69" s="4228"/>
      <c r="BH69" s="4228"/>
      <c r="BI69" s="4230"/>
      <c r="BJ69" s="3019"/>
      <c r="BK69" s="3019"/>
      <c r="BL69" s="4215"/>
      <c r="BM69" s="4215"/>
      <c r="BN69" s="4215"/>
      <c r="BO69" s="4215"/>
      <c r="BP69" s="3019"/>
      <c r="BQ69" s="71"/>
    </row>
    <row r="70" spans="1:131" s="861" customFormat="1" ht="63.75" customHeight="1" x14ac:dyDescent="0.25">
      <c r="A70" s="1120"/>
      <c r="B70" s="71"/>
      <c r="C70" s="71"/>
      <c r="D70" s="339"/>
      <c r="E70" s="71"/>
      <c r="F70" s="340"/>
      <c r="G70" s="2618"/>
      <c r="H70" s="2777"/>
      <c r="I70" s="2717"/>
      <c r="J70" s="2717"/>
      <c r="K70" s="2625"/>
      <c r="L70" s="4146"/>
      <c r="M70" s="3106"/>
      <c r="N70" s="2626"/>
      <c r="O70" s="2698"/>
      <c r="P70" s="3731"/>
      <c r="Q70" s="4210"/>
      <c r="R70" s="2698"/>
      <c r="S70" s="2717"/>
      <c r="T70" s="918" t="s">
        <v>780</v>
      </c>
      <c r="U70" s="1119">
        <v>0</v>
      </c>
      <c r="V70" s="1119">
        <v>0</v>
      </c>
      <c r="W70" s="1119">
        <v>0</v>
      </c>
      <c r="X70" s="1090">
        <v>20</v>
      </c>
      <c r="Y70" s="2273" t="s">
        <v>85</v>
      </c>
      <c r="Z70" s="2625"/>
      <c r="AA70" s="2710"/>
      <c r="AB70" s="2625"/>
      <c r="AC70" s="2625"/>
      <c r="AD70" s="2625"/>
      <c r="AE70" s="2782"/>
      <c r="AF70" s="2625"/>
      <c r="AG70" s="2782"/>
      <c r="AH70" s="2625"/>
      <c r="AI70" s="2782"/>
      <c r="AJ70" s="2625"/>
      <c r="AK70" s="2782"/>
      <c r="AL70" s="2625"/>
      <c r="AM70" s="2782"/>
      <c r="AN70" s="2625"/>
      <c r="AO70" s="2782"/>
      <c r="AP70" s="2625"/>
      <c r="AQ70" s="2782"/>
      <c r="AR70" s="2625"/>
      <c r="AS70" s="2782"/>
      <c r="AT70" s="2625"/>
      <c r="AU70" s="2782"/>
      <c r="AV70" s="2625"/>
      <c r="AW70" s="2782"/>
      <c r="AX70" s="2625"/>
      <c r="AY70" s="2782"/>
      <c r="AZ70" s="2625"/>
      <c r="BA70" s="2782"/>
      <c r="BB70" s="2625"/>
      <c r="BC70" s="2782"/>
      <c r="BD70" s="2626"/>
      <c r="BE70" s="3019"/>
      <c r="BF70" s="3019"/>
      <c r="BG70" s="4228"/>
      <c r="BH70" s="4228"/>
      <c r="BI70" s="4230"/>
      <c r="BJ70" s="3019"/>
      <c r="BK70" s="3019"/>
      <c r="BL70" s="4215"/>
      <c r="BM70" s="4215"/>
      <c r="BN70" s="4215"/>
      <c r="BO70" s="4215"/>
      <c r="BP70" s="3019"/>
      <c r="BQ70" s="71"/>
    </row>
    <row r="71" spans="1:131" s="861" customFormat="1" ht="58.5" customHeight="1" x14ac:dyDescent="0.25">
      <c r="A71" s="1120"/>
      <c r="B71" s="71"/>
      <c r="C71" s="71"/>
      <c r="D71" s="339"/>
      <c r="E71" s="71"/>
      <c r="F71" s="340"/>
      <c r="G71" s="2618"/>
      <c r="H71" s="2777"/>
      <c r="I71" s="2717"/>
      <c r="J71" s="2717"/>
      <c r="K71" s="2625"/>
      <c r="L71" s="4146"/>
      <c r="M71" s="3106"/>
      <c r="N71" s="2626"/>
      <c r="O71" s="2698"/>
      <c r="P71" s="3731"/>
      <c r="Q71" s="4210"/>
      <c r="R71" s="2698"/>
      <c r="S71" s="2717"/>
      <c r="T71" s="918" t="s">
        <v>781</v>
      </c>
      <c r="U71" s="1119">
        <v>0</v>
      </c>
      <c r="V71" s="1119">
        <v>0</v>
      </c>
      <c r="W71" s="1119">
        <v>0</v>
      </c>
      <c r="X71" s="1090">
        <v>20</v>
      </c>
      <c r="Y71" s="2273" t="s">
        <v>85</v>
      </c>
      <c r="Z71" s="2625"/>
      <c r="AA71" s="2710"/>
      <c r="AB71" s="2625"/>
      <c r="AC71" s="2625"/>
      <c r="AD71" s="2625"/>
      <c r="AE71" s="2782"/>
      <c r="AF71" s="2625"/>
      <c r="AG71" s="2782"/>
      <c r="AH71" s="2625"/>
      <c r="AI71" s="2782"/>
      <c r="AJ71" s="2625"/>
      <c r="AK71" s="2782"/>
      <c r="AL71" s="2625"/>
      <c r="AM71" s="2782"/>
      <c r="AN71" s="2625"/>
      <c r="AO71" s="2782"/>
      <c r="AP71" s="2625"/>
      <c r="AQ71" s="2782"/>
      <c r="AR71" s="2625"/>
      <c r="AS71" s="2782"/>
      <c r="AT71" s="2625"/>
      <c r="AU71" s="2782"/>
      <c r="AV71" s="2625"/>
      <c r="AW71" s="2782"/>
      <c r="AX71" s="2625"/>
      <c r="AY71" s="2782"/>
      <c r="AZ71" s="2625"/>
      <c r="BA71" s="2782"/>
      <c r="BB71" s="2625"/>
      <c r="BC71" s="2782"/>
      <c r="BD71" s="2626"/>
      <c r="BE71" s="3019"/>
      <c r="BF71" s="3019"/>
      <c r="BG71" s="4228"/>
      <c r="BH71" s="4228"/>
      <c r="BI71" s="4230"/>
      <c r="BJ71" s="3019"/>
      <c r="BK71" s="3019"/>
      <c r="BL71" s="4215"/>
      <c r="BM71" s="4215"/>
      <c r="BN71" s="4215"/>
      <c r="BO71" s="4215"/>
      <c r="BP71" s="3019"/>
      <c r="BQ71" s="71"/>
    </row>
    <row r="72" spans="1:131" s="861" customFormat="1" ht="40.5" customHeight="1" x14ac:dyDescent="0.25">
      <c r="A72" s="1120"/>
      <c r="B72" s="71"/>
      <c r="C72" s="71"/>
      <c r="D72" s="339"/>
      <c r="E72" s="71"/>
      <c r="F72" s="340"/>
      <c r="G72" s="2618"/>
      <c r="H72" s="2777"/>
      <c r="I72" s="2717"/>
      <c r="J72" s="2717"/>
      <c r="K72" s="2625"/>
      <c r="L72" s="4147"/>
      <c r="M72" s="3106"/>
      <c r="N72" s="2626"/>
      <c r="O72" s="2698"/>
      <c r="P72" s="3731"/>
      <c r="Q72" s="4210"/>
      <c r="R72" s="2698"/>
      <c r="S72" s="2717"/>
      <c r="T72" s="918" t="s">
        <v>782</v>
      </c>
      <c r="U72" s="1119">
        <v>0</v>
      </c>
      <c r="V72" s="1119">
        <v>0</v>
      </c>
      <c r="W72" s="1119">
        <v>0</v>
      </c>
      <c r="X72" s="1093">
        <v>20</v>
      </c>
      <c r="Y72" s="2503" t="s">
        <v>85</v>
      </c>
      <c r="Z72" s="2625"/>
      <c r="AA72" s="2710"/>
      <c r="AB72" s="2625"/>
      <c r="AC72" s="2625"/>
      <c r="AD72" s="2625"/>
      <c r="AE72" s="2783"/>
      <c r="AF72" s="2625"/>
      <c r="AG72" s="2783"/>
      <c r="AH72" s="2625"/>
      <c r="AI72" s="2783"/>
      <c r="AJ72" s="2625"/>
      <c r="AK72" s="2783"/>
      <c r="AL72" s="2625"/>
      <c r="AM72" s="2783"/>
      <c r="AN72" s="2625"/>
      <c r="AO72" s="2783"/>
      <c r="AP72" s="2625"/>
      <c r="AQ72" s="2783"/>
      <c r="AR72" s="2625"/>
      <c r="AS72" s="2783"/>
      <c r="AT72" s="2625"/>
      <c r="AU72" s="2783"/>
      <c r="AV72" s="2625"/>
      <c r="AW72" s="2783"/>
      <c r="AX72" s="2625"/>
      <c r="AY72" s="2783"/>
      <c r="AZ72" s="2625"/>
      <c r="BA72" s="2783"/>
      <c r="BB72" s="2625"/>
      <c r="BC72" s="2783"/>
      <c r="BD72" s="2626"/>
      <c r="BE72" s="3168"/>
      <c r="BF72" s="3168"/>
      <c r="BG72" s="4229"/>
      <c r="BH72" s="4229"/>
      <c r="BI72" s="4231"/>
      <c r="BJ72" s="3168"/>
      <c r="BK72" s="3168"/>
      <c r="BL72" s="4216"/>
      <c r="BM72" s="4216"/>
      <c r="BN72" s="4216"/>
      <c r="BO72" s="4216"/>
      <c r="BP72" s="3168"/>
      <c r="BQ72" s="71"/>
    </row>
    <row r="73" spans="1:131" s="861" customFormat="1" ht="93.75" customHeight="1" x14ac:dyDescent="0.25">
      <c r="A73" s="1120"/>
      <c r="B73" s="71"/>
      <c r="C73" s="71"/>
      <c r="D73" s="339"/>
      <c r="E73" s="71"/>
      <c r="F73" s="340"/>
      <c r="G73" s="4224" t="s">
        <v>603</v>
      </c>
      <c r="H73" s="3695">
        <v>36.200000000000003</v>
      </c>
      <c r="I73" s="4220" t="s">
        <v>783</v>
      </c>
      <c r="J73" s="4220" t="s">
        <v>784</v>
      </c>
      <c r="K73" s="4225">
        <v>12</v>
      </c>
      <c r="L73" s="4226">
        <v>12</v>
      </c>
      <c r="M73" s="4220" t="s">
        <v>785</v>
      </c>
      <c r="N73" s="4227" t="s">
        <v>786</v>
      </c>
      <c r="O73" s="4217" t="s">
        <v>787</v>
      </c>
      <c r="P73" s="4242">
        <f>(U73+U74+U75)/(Q92+Q73)</f>
        <v>0.34210526315789475</v>
      </c>
      <c r="Q73" s="4256">
        <v>13000000</v>
      </c>
      <c r="R73" s="4217" t="s">
        <v>788</v>
      </c>
      <c r="S73" s="4220" t="s">
        <v>789</v>
      </c>
      <c r="T73" s="927" t="s">
        <v>790</v>
      </c>
      <c r="U73" s="1122">
        <v>6000000</v>
      </c>
      <c r="V73" s="1119">
        <v>5000000</v>
      </c>
      <c r="W73" s="1063">
        <v>5000000</v>
      </c>
      <c r="X73" s="1090">
        <v>88</v>
      </c>
      <c r="Y73" s="2273" t="s">
        <v>74</v>
      </c>
      <c r="Z73" s="4221">
        <v>4500</v>
      </c>
      <c r="AA73" s="4223">
        <v>89</v>
      </c>
      <c r="AB73" s="4223">
        <v>4500</v>
      </c>
      <c r="AC73" s="4223">
        <v>40</v>
      </c>
      <c r="AD73" s="4223">
        <v>1560</v>
      </c>
      <c r="AE73" s="4223"/>
      <c r="AF73" s="4223">
        <v>1560</v>
      </c>
      <c r="AG73" s="4223">
        <v>29</v>
      </c>
      <c r="AH73" s="4223">
        <v>1560</v>
      </c>
      <c r="AI73" s="4223">
        <v>100</v>
      </c>
      <c r="AJ73" s="4246">
        <v>2000</v>
      </c>
      <c r="AK73" s="4246"/>
      <c r="AL73" s="4246">
        <v>400</v>
      </c>
      <c r="AM73" s="4246"/>
      <c r="AN73" s="4246">
        <v>400</v>
      </c>
      <c r="AO73" s="4246"/>
      <c r="AP73" s="4246">
        <v>400</v>
      </c>
      <c r="AQ73" s="4246"/>
      <c r="AR73" s="4246">
        <v>50</v>
      </c>
      <c r="AS73" s="4246"/>
      <c r="AT73" s="4246">
        <v>50</v>
      </c>
      <c r="AU73" s="4246"/>
      <c r="AV73" s="4246">
        <v>70</v>
      </c>
      <c r="AW73" s="4246"/>
      <c r="AX73" s="4246">
        <v>50</v>
      </c>
      <c r="AY73" s="4246"/>
      <c r="AZ73" s="4246">
        <v>500</v>
      </c>
      <c r="BA73" s="4246"/>
      <c r="BB73" s="4246">
        <v>400</v>
      </c>
      <c r="BC73" s="4246"/>
      <c r="BD73" s="4238">
        <v>9000</v>
      </c>
      <c r="BE73" s="4238">
        <f>AA73+AC73</f>
        <v>129</v>
      </c>
      <c r="BF73" s="4238">
        <v>2</v>
      </c>
      <c r="BG73" s="4241">
        <f>SUM(V73:V75)</f>
        <v>8400000</v>
      </c>
      <c r="BH73" s="4241">
        <f>SUM(W73:W75)</f>
        <v>8400000</v>
      </c>
      <c r="BI73" s="4242">
        <f>BH73/BG73</f>
        <v>1</v>
      </c>
      <c r="BJ73" s="4238">
        <v>88</v>
      </c>
      <c r="BK73" s="4243" t="s">
        <v>692</v>
      </c>
      <c r="BL73" s="4253">
        <v>44033</v>
      </c>
      <c r="BM73" s="4232">
        <v>44090</v>
      </c>
      <c r="BN73" s="4232">
        <v>44195</v>
      </c>
      <c r="BO73" s="4232">
        <v>44185</v>
      </c>
      <c r="BP73" s="4227" t="s">
        <v>693</v>
      </c>
      <c r="BQ73" s="71"/>
    </row>
    <row r="74" spans="1:131" s="861" customFormat="1" ht="52.5" customHeight="1" x14ac:dyDescent="0.25">
      <c r="A74" s="1120"/>
      <c r="B74" s="71"/>
      <c r="C74" s="71"/>
      <c r="D74" s="339"/>
      <c r="E74" s="71"/>
      <c r="F74" s="340"/>
      <c r="G74" s="3396"/>
      <c r="H74" s="2722"/>
      <c r="I74" s="3648"/>
      <c r="J74" s="3648"/>
      <c r="K74" s="3650"/>
      <c r="L74" s="4127"/>
      <c r="M74" s="3648"/>
      <c r="N74" s="3225"/>
      <c r="O74" s="4218"/>
      <c r="P74" s="4166"/>
      <c r="Q74" s="4257"/>
      <c r="R74" s="4218"/>
      <c r="S74" s="3648"/>
      <c r="T74" s="927" t="s">
        <v>791</v>
      </c>
      <c r="U74" s="1122">
        <v>6000000</v>
      </c>
      <c r="V74" s="1119">
        <v>3400000</v>
      </c>
      <c r="W74" s="1063">
        <v>3400000</v>
      </c>
      <c r="X74" s="1090">
        <v>88</v>
      </c>
      <c r="Y74" s="2273" t="s">
        <v>74</v>
      </c>
      <c r="Z74" s="4222"/>
      <c r="AA74" s="4133"/>
      <c r="AB74" s="4133"/>
      <c r="AC74" s="4133"/>
      <c r="AD74" s="4133"/>
      <c r="AE74" s="4133"/>
      <c r="AF74" s="4133"/>
      <c r="AG74" s="4133"/>
      <c r="AH74" s="4133"/>
      <c r="AI74" s="4133"/>
      <c r="AJ74" s="3052"/>
      <c r="AK74" s="3052"/>
      <c r="AL74" s="3052"/>
      <c r="AM74" s="3052"/>
      <c r="AN74" s="3052"/>
      <c r="AO74" s="3052"/>
      <c r="AP74" s="3052"/>
      <c r="AQ74" s="3052"/>
      <c r="AR74" s="3052"/>
      <c r="AS74" s="3052"/>
      <c r="AT74" s="3052"/>
      <c r="AU74" s="3052"/>
      <c r="AV74" s="3052"/>
      <c r="AW74" s="3052"/>
      <c r="AX74" s="3052"/>
      <c r="AY74" s="3052"/>
      <c r="AZ74" s="3052"/>
      <c r="BA74" s="3052"/>
      <c r="BB74" s="3052"/>
      <c r="BC74" s="3052"/>
      <c r="BD74" s="4239"/>
      <c r="BE74" s="4239"/>
      <c r="BF74" s="4239"/>
      <c r="BG74" s="4143"/>
      <c r="BH74" s="4143"/>
      <c r="BI74" s="4166"/>
      <c r="BJ74" s="4239"/>
      <c r="BK74" s="4244"/>
      <c r="BL74" s="4254"/>
      <c r="BM74" s="4233"/>
      <c r="BN74" s="4233"/>
      <c r="BO74" s="4233"/>
      <c r="BP74" s="3225"/>
      <c r="BQ74" s="71"/>
    </row>
    <row r="75" spans="1:131" s="861" customFormat="1" ht="43.5" customHeight="1" x14ac:dyDescent="0.25">
      <c r="A75" s="1120"/>
      <c r="B75" s="71"/>
      <c r="C75" s="71"/>
      <c r="D75" s="339"/>
      <c r="E75" s="71"/>
      <c r="F75" s="340"/>
      <c r="G75" s="3397"/>
      <c r="H75" s="2723"/>
      <c r="I75" s="3649"/>
      <c r="J75" s="3649"/>
      <c r="K75" s="3577"/>
      <c r="L75" s="4128"/>
      <c r="M75" s="3649"/>
      <c r="N75" s="3384"/>
      <c r="O75" s="4219"/>
      <c r="P75" s="4167"/>
      <c r="Q75" s="4258"/>
      <c r="R75" s="4219"/>
      <c r="S75" s="3649"/>
      <c r="T75" s="927" t="s">
        <v>701</v>
      </c>
      <c r="U75" s="1123">
        <v>1000000</v>
      </c>
      <c r="V75" s="1123"/>
      <c r="W75" s="1123"/>
      <c r="X75" s="1093">
        <v>88</v>
      </c>
      <c r="Y75" s="2503" t="s">
        <v>74</v>
      </c>
      <c r="Z75" s="4222"/>
      <c r="AA75" s="4134"/>
      <c r="AB75" s="4134"/>
      <c r="AC75" s="4134"/>
      <c r="AD75" s="4134"/>
      <c r="AE75" s="4134"/>
      <c r="AF75" s="4134"/>
      <c r="AG75" s="4134"/>
      <c r="AH75" s="4134"/>
      <c r="AI75" s="4134"/>
      <c r="AJ75" s="3456"/>
      <c r="AK75" s="3456"/>
      <c r="AL75" s="3456"/>
      <c r="AM75" s="3456"/>
      <c r="AN75" s="3456"/>
      <c r="AO75" s="3456"/>
      <c r="AP75" s="3456"/>
      <c r="AQ75" s="3456"/>
      <c r="AR75" s="3456"/>
      <c r="AS75" s="3456"/>
      <c r="AT75" s="3456"/>
      <c r="AU75" s="3456"/>
      <c r="AV75" s="3456"/>
      <c r="AW75" s="3456"/>
      <c r="AX75" s="3456"/>
      <c r="AY75" s="3456"/>
      <c r="AZ75" s="3456"/>
      <c r="BA75" s="3456"/>
      <c r="BB75" s="3456"/>
      <c r="BC75" s="3456"/>
      <c r="BD75" s="4240"/>
      <c r="BE75" s="4240"/>
      <c r="BF75" s="4240"/>
      <c r="BG75" s="4144"/>
      <c r="BH75" s="4144"/>
      <c r="BI75" s="4167"/>
      <c r="BJ75" s="4240"/>
      <c r="BK75" s="4245"/>
      <c r="BL75" s="4255"/>
      <c r="BM75" s="4234"/>
      <c r="BN75" s="4234"/>
      <c r="BO75" s="4234"/>
      <c r="BP75" s="3384"/>
      <c r="BQ75" s="71"/>
    </row>
    <row r="76" spans="1:131" s="1128" customFormat="1" ht="45" customHeight="1" x14ac:dyDescent="0.25">
      <c r="A76" s="121"/>
      <c r="B76" s="4"/>
      <c r="C76" s="4"/>
      <c r="D76" s="3415"/>
      <c r="E76" s="4235"/>
      <c r="F76" s="3417"/>
      <c r="G76" s="4236">
        <v>4102022</v>
      </c>
      <c r="H76" s="2592">
        <v>36.1</v>
      </c>
      <c r="I76" s="3816" t="s">
        <v>792</v>
      </c>
      <c r="J76" s="3816" t="s">
        <v>793</v>
      </c>
      <c r="K76" s="4251">
        <v>6</v>
      </c>
      <c r="L76" s="4252">
        <v>12</v>
      </c>
      <c r="M76" s="4251" t="s">
        <v>794</v>
      </c>
      <c r="N76" s="3815" t="s">
        <v>795</v>
      </c>
      <c r="O76" s="4248" t="s">
        <v>796</v>
      </c>
      <c r="P76" s="4249" t="e">
        <f>(U81+#REF!)/(Q76+Q188)</f>
        <v>#REF!</v>
      </c>
      <c r="Q76" s="4250">
        <v>55000000</v>
      </c>
      <c r="R76" s="4248" t="s">
        <v>797</v>
      </c>
      <c r="S76" s="3816" t="s">
        <v>798</v>
      </c>
      <c r="T76" s="908" t="s">
        <v>799</v>
      </c>
      <c r="U76" s="1125"/>
      <c r="V76" s="1125"/>
      <c r="W76" s="1126">
        <v>0</v>
      </c>
      <c r="X76" s="1127"/>
      <c r="Y76" s="2272"/>
      <c r="Z76" s="4247">
        <v>2080</v>
      </c>
      <c r="AA76" s="4247"/>
      <c r="AB76" s="4247">
        <v>1920</v>
      </c>
      <c r="AC76" s="4247"/>
      <c r="AD76" s="4247">
        <v>2500</v>
      </c>
      <c r="AE76" s="4247"/>
      <c r="AF76" s="4247">
        <v>1500</v>
      </c>
      <c r="AG76" s="4247"/>
      <c r="AH76" s="4247">
        <v>0</v>
      </c>
      <c r="AI76" s="4247"/>
      <c r="AJ76" s="4247">
        <v>0</v>
      </c>
      <c r="AK76" s="4247"/>
      <c r="AL76" s="4247">
        <v>40</v>
      </c>
      <c r="AM76" s="4247"/>
      <c r="AN76" s="4247">
        <v>40</v>
      </c>
      <c r="AO76" s="4247"/>
      <c r="AP76" s="4247">
        <v>0</v>
      </c>
      <c r="AQ76" s="4247"/>
      <c r="AR76" s="4247">
        <v>0</v>
      </c>
      <c r="AS76" s="4247"/>
      <c r="AT76" s="4247">
        <v>0</v>
      </c>
      <c r="AU76" s="4247"/>
      <c r="AV76" s="4247">
        <v>0</v>
      </c>
      <c r="AW76" s="4247"/>
      <c r="AX76" s="4247">
        <v>40</v>
      </c>
      <c r="AY76" s="4247"/>
      <c r="AZ76" s="4247">
        <v>0</v>
      </c>
      <c r="BA76" s="4247"/>
      <c r="BB76" s="4247">
        <v>0</v>
      </c>
      <c r="BC76" s="4247"/>
      <c r="BD76" s="4247">
        <v>4000</v>
      </c>
      <c r="BE76" s="4247">
        <f>AA76+AC76</f>
        <v>0</v>
      </c>
      <c r="BF76" s="4247"/>
      <c r="BG76" s="4260">
        <f>SUM(V76:V81)</f>
        <v>9813333</v>
      </c>
      <c r="BH76" s="4260">
        <f>SUM(W76:W81)</f>
        <v>9813333</v>
      </c>
      <c r="BI76" s="4249">
        <f>BH76/BG76</f>
        <v>1</v>
      </c>
      <c r="BJ76" s="4247" t="s">
        <v>691</v>
      </c>
      <c r="BK76" s="4269" t="s">
        <v>727</v>
      </c>
      <c r="BL76" s="4270">
        <v>44033</v>
      </c>
      <c r="BM76" s="4270"/>
      <c r="BN76" s="4270">
        <v>44195</v>
      </c>
      <c r="BO76" s="4270"/>
      <c r="BP76" s="4259" t="s">
        <v>693</v>
      </c>
      <c r="BQ76" s="4"/>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row>
    <row r="77" spans="1:131" s="1128" customFormat="1" ht="64.5" customHeight="1" x14ac:dyDescent="0.25">
      <c r="A77" s="121"/>
      <c r="B77" s="4"/>
      <c r="C77" s="4"/>
      <c r="D77" s="3415"/>
      <c r="E77" s="4235"/>
      <c r="F77" s="3417"/>
      <c r="G77" s="4237"/>
      <c r="H77" s="2592"/>
      <c r="I77" s="3816"/>
      <c r="J77" s="3816"/>
      <c r="K77" s="4251"/>
      <c r="L77" s="4252"/>
      <c r="M77" s="4251"/>
      <c r="N77" s="3815"/>
      <c r="O77" s="4248"/>
      <c r="P77" s="4249"/>
      <c r="Q77" s="4250"/>
      <c r="R77" s="4248"/>
      <c r="S77" s="3816"/>
      <c r="T77" s="926" t="s">
        <v>800</v>
      </c>
      <c r="U77" s="1125"/>
      <c r="V77" s="1125"/>
      <c r="W77" s="1126">
        <v>0</v>
      </c>
      <c r="X77" s="1127"/>
      <c r="Y77" s="2272"/>
      <c r="Z77" s="4247"/>
      <c r="AA77" s="4247"/>
      <c r="AB77" s="4247"/>
      <c r="AC77" s="4247"/>
      <c r="AD77" s="4247"/>
      <c r="AE77" s="4247"/>
      <c r="AF77" s="4247"/>
      <c r="AG77" s="4247"/>
      <c r="AH77" s="4247"/>
      <c r="AI77" s="4247"/>
      <c r="AJ77" s="4247"/>
      <c r="AK77" s="4247"/>
      <c r="AL77" s="4247"/>
      <c r="AM77" s="4247"/>
      <c r="AN77" s="4247"/>
      <c r="AO77" s="4247"/>
      <c r="AP77" s="4247"/>
      <c r="AQ77" s="4247"/>
      <c r="AR77" s="4247"/>
      <c r="AS77" s="4247"/>
      <c r="AT77" s="4247"/>
      <c r="AU77" s="4247"/>
      <c r="AV77" s="4247"/>
      <c r="AW77" s="4247"/>
      <c r="AX77" s="4247"/>
      <c r="AY77" s="4247"/>
      <c r="AZ77" s="4247"/>
      <c r="BA77" s="4247"/>
      <c r="BB77" s="4247"/>
      <c r="BC77" s="4247"/>
      <c r="BD77" s="4247"/>
      <c r="BE77" s="4247"/>
      <c r="BF77" s="4247"/>
      <c r="BG77" s="4260"/>
      <c r="BH77" s="4260"/>
      <c r="BI77" s="4249"/>
      <c r="BJ77" s="4247"/>
      <c r="BK77" s="4269"/>
      <c r="BL77" s="4270"/>
      <c r="BM77" s="4270"/>
      <c r="BN77" s="4270"/>
      <c r="BO77" s="4270"/>
      <c r="BP77" s="4259"/>
      <c r="BQ77" s="4"/>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row>
    <row r="78" spans="1:131" s="1128" customFormat="1" ht="80.25" customHeight="1" x14ac:dyDescent="0.25">
      <c r="A78" s="121"/>
      <c r="B78" s="4"/>
      <c r="C78" s="4"/>
      <c r="D78" s="3415"/>
      <c r="E78" s="4235"/>
      <c r="F78" s="3417"/>
      <c r="G78" s="4237"/>
      <c r="H78" s="2592"/>
      <c r="I78" s="3816"/>
      <c r="J78" s="3816"/>
      <c r="K78" s="4251"/>
      <c r="L78" s="4252"/>
      <c r="M78" s="4251"/>
      <c r="N78" s="3815"/>
      <c r="O78" s="4248"/>
      <c r="P78" s="4249"/>
      <c r="Q78" s="4250"/>
      <c r="R78" s="4248"/>
      <c r="S78" s="3816"/>
      <c r="T78" s="926" t="s">
        <v>801</v>
      </c>
      <c r="U78" s="1125">
        <v>0</v>
      </c>
      <c r="V78" s="1125"/>
      <c r="W78" s="1126">
        <v>0</v>
      </c>
      <c r="X78" s="1129"/>
      <c r="Y78" s="2504"/>
      <c r="Z78" s="4247"/>
      <c r="AA78" s="4247"/>
      <c r="AB78" s="4247"/>
      <c r="AC78" s="4247"/>
      <c r="AD78" s="4247"/>
      <c r="AE78" s="4247"/>
      <c r="AF78" s="4247"/>
      <c r="AG78" s="4247"/>
      <c r="AH78" s="4247"/>
      <c r="AI78" s="4247"/>
      <c r="AJ78" s="4247"/>
      <c r="AK78" s="4247"/>
      <c r="AL78" s="4247"/>
      <c r="AM78" s="4247"/>
      <c r="AN78" s="4247"/>
      <c r="AO78" s="4247"/>
      <c r="AP78" s="4247"/>
      <c r="AQ78" s="4247"/>
      <c r="AR78" s="4247"/>
      <c r="AS78" s="4247"/>
      <c r="AT78" s="4247"/>
      <c r="AU78" s="4247"/>
      <c r="AV78" s="4247"/>
      <c r="AW78" s="4247"/>
      <c r="AX78" s="4247"/>
      <c r="AY78" s="4247"/>
      <c r="AZ78" s="4247"/>
      <c r="BA78" s="4247"/>
      <c r="BB78" s="4247"/>
      <c r="BC78" s="4247"/>
      <c r="BD78" s="4247"/>
      <c r="BE78" s="4247"/>
      <c r="BF78" s="4247"/>
      <c r="BG78" s="4260"/>
      <c r="BH78" s="4260"/>
      <c r="BI78" s="4249"/>
      <c r="BJ78" s="4247"/>
      <c r="BK78" s="4269"/>
      <c r="BL78" s="4270"/>
      <c r="BM78" s="4270"/>
      <c r="BN78" s="4270"/>
      <c r="BO78" s="4270"/>
      <c r="BP78" s="4259"/>
      <c r="BQ78" s="4"/>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row>
    <row r="79" spans="1:131" s="1128" customFormat="1" ht="57" customHeight="1" x14ac:dyDescent="0.25">
      <c r="A79" s="121"/>
      <c r="B79" s="4"/>
      <c r="C79" s="4"/>
      <c r="D79" s="3415"/>
      <c r="E79" s="4235"/>
      <c r="F79" s="3417"/>
      <c r="G79" s="4237"/>
      <c r="H79" s="2592"/>
      <c r="I79" s="3816"/>
      <c r="J79" s="3816"/>
      <c r="K79" s="4251"/>
      <c r="L79" s="4252"/>
      <c r="M79" s="4251"/>
      <c r="N79" s="3815"/>
      <c r="O79" s="4248"/>
      <c r="P79" s="4249"/>
      <c r="Q79" s="4250"/>
      <c r="R79" s="4248"/>
      <c r="S79" s="3816"/>
      <c r="T79" s="926" t="s">
        <v>802</v>
      </c>
      <c r="U79" s="1125">
        <v>0</v>
      </c>
      <c r="V79" s="1125"/>
      <c r="W79" s="1126">
        <v>0</v>
      </c>
      <c r="X79" s="1129"/>
      <c r="Y79" s="2504"/>
      <c r="Z79" s="4247"/>
      <c r="AA79" s="4247"/>
      <c r="AB79" s="4247"/>
      <c r="AC79" s="4247"/>
      <c r="AD79" s="4247"/>
      <c r="AE79" s="4247"/>
      <c r="AF79" s="4247"/>
      <c r="AG79" s="4247"/>
      <c r="AH79" s="4247"/>
      <c r="AI79" s="4247"/>
      <c r="AJ79" s="4247"/>
      <c r="AK79" s="4247"/>
      <c r="AL79" s="4247"/>
      <c r="AM79" s="4247"/>
      <c r="AN79" s="4247"/>
      <c r="AO79" s="4247"/>
      <c r="AP79" s="4247"/>
      <c r="AQ79" s="4247"/>
      <c r="AR79" s="4247"/>
      <c r="AS79" s="4247"/>
      <c r="AT79" s="4247"/>
      <c r="AU79" s="4247"/>
      <c r="AV79" s="4247"/>
      <c r="AW79" s="4247"/>
      <c r="AX79" s="4247"/>
      <c r="AY79" s="4247"/>
      <c r="AZ79" s="4247"/>
      <c r="BA79" s="4247"/>
      <c r="BB79" s="4247"/>
      <c r="BC79" s="4247"/>
      <c r="BD79" s="4247"/>
      <c r="BE79" s="4247"/>
      <c r="BF79" s="4247"/>
      <c r="BG79" s="4260"/>
      <c r="BH79" s="4260"/>
      <c r="BI79" s="4249"/>
      <c r="BJ79" s="4247"/>
      <c r="BK79" s="4269"/>
      <c r="BL79" s="4270"/>
      <c r="BM79" s="4270"/>
      <c r="BN79" s="4270"/>
      <c r="BO79" s="4270"/>
      <c r="BP79" s="4259"/>
      <c r="BQ79" s="4"/>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row>
    <row r="80" spans="1:131" s="1128" customFormat="1" ht="57" customHeight="1" x14ac:dyDescent="0.25">
      <c r="A80" s="121"/>
      <c r="B80" s="4"/>
      <c r="C80" s="4"/>
      <c r="D80" s="1130"/>
      <c r="E80" s="178"/>
      <c r="F80" s="1131"/>
      <c r="G80" s="4237"/>
      <c r="H80" s="2592"/>
      <c r="I80" s="3816"/>
      <c r="J80" s="3816"/>
      <c r="K80" s="4251"/>
      <c r="L80" s="4252"/>
      <c r="M80" s="4251"/>
      <c r="N80" s="3815"/>
      <c r="O80" s="4248"/>
      <c r="P80" s="4249"/>
      <c r="Q80" s="4250"/>
      <c r="R80" s="4248"/>
      <c r="S80" s="3816"/>
      <c r="T80" s="3647" t="s">
        <v>803</v>
      </c>
      <c r="U80" s="1125">
        <v>35000000</v>
      </c>
      <c r="V80" s="1125"/>
      <c r="W80" s="1126"/>
      <c r="X80" s="1129">
        <v>20</v>
      </c>
      <c r="Y80" s="2504" t="s">
        <v>804</v>
      </c>
      <c r="Z80" s="4247"/>
      <c r="AA80" s="4247"/>
      <c r="AB80" s="4247"/>
      <c r="AC80" s="4247"/>
      <c r="AD80" s="4247"/>
      <c r="AE80" s="4247"/>
      <c r="AF80" s="4247"/>
      <c r="AG80" s="4247"/>
      <c r="AH80" s="4247"/>
      <c r="AI80" s="4247"/>
      <c r="AJ80" s="4247"/>
      <c r="AK80" s="4247"/>
      <c r="AL80" s="4247"/>
      <c r="AM80" s="4247"/>
      <c r="AN80" s="4247"/>
      <c r="AO80" s="4247"/>
      <c r="AP80" s="4247"/>
      <c r="AQ80" s="4247"/>
      <c r="AR80" s="4247"/>
      <c r="AS80" s="4247"/>
      <c r="AT80" s="4247"/>
      <c r="AU80" s="4247"/>
      <c r="AV80" s="4247"/>
      <c r="AW80" s="4247"/>
      <c r="AX80" s="4247"/>
      <c r="AY80" s="4247"/>
      <c r="AZ80" s="4247"/>
      <c r="BA80" s="4247"/>
      <c r="BB80" s="4247"/>
      <c r="BC80" s="4247"/>
      <c r="BD80" s="4247"/>
      <c r="BE80" s="4247"/>
      <c r="BF80" s="4247"/>
      <c r="BG80" s="4260"/>
      <c r="BH80" s="4260"/>
      <c r="BI80" s="4249"/>
      <c r="BJ80" s="4247"/>
      <c r="BK80" s="4269"/>
      <c r="BL80" s="4270"/>
      <c r="BM80" s="4270"/>
      <c r="BN80" s="4270"/>
      <c r="BO80" s="4270"/>
      <c r="BP80" s="4259"/>
      <c r="BQ80" s="4"/>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row>
    <row r="81" spans="1:69" ht="157.5" customHeight="1" x14ac:dyDescent="0.25">
      <c r="A81" s="121"/>
      <c r="B81" s="4"/>
      <c r="C81" s="4"/>
      <c r="D81" s="1130"/>
      <c r="E81" s="178"/>
      <c r="F81" s="1131"/>
      <c r="G81" s="4237"/>
      <c r="H81" s="2592"/>
      <c r="I81" s="3816"/>
      <c r="J81" s="3816"/>
      <c r="K81" s="4251"/>
      <c r="L81" s="4252"/>
      <c r="M81" s="4251"/>
      <c r="N81" s="3815"/>
      <c r="O81" s="4248"/>
      <c r="P81" s="4249"/>
      <c r="Q81" s="4250"/>
      <c r="R81" s="4248"/>
      <c r="S81" s="3816"/>
      <c r="T81" s="3649"/>
      <c r="U81" s="1125">
        <v>20000000</v>
      </c>
      <c r="V81" s="1926">
        <v>9813333</v>
      </c>
      <c r="W81" s="1926">
        <v>9813333</v>
      </c>
      <c r="X81" s="1127">
        <v>88</v>
      </c>
      <c r="Y81" s="2272" t="s">
        <v>74</v>
      </c>
      <c r="Z81" s="4247"/>
      <c r="AA81" s="4247"/>
      <c r="AB81" s="4247"/>
      <c r="AC81" s="4247"/>
      <c r="AD81" s="4247"/>
      <c r="AE81" s="4247"/>
      <c r="AF81" s="4247"/>
      <c r="AG81" s="4247"/>
      <c r="AH81" s="4247"/>
      <c r="AI81" s="4247"/>
      <c r="AJ81" s="4247"/>
      <c r="AK81" s="4247"/>
      <c r="AL81" s="4247"/>
      <c r="AM81" s="4247"/>
      <c r="AN81" s="4247"/>
      <c r="AO81" s="4247"/>
      <c r="AP81" s="4247"/>
      <c r="AQ81" s="4247"/>
      <c r="AR81" s="4247"/>
      <c r="AS81" s="4247"/>
      <c r="AT81" s="4247"/>
      <c r="AU81" s="4247"/>
      <c r="AV81" s="4247"/>
      <c r="AW81" s="4247"/>
      <c r="AX81" s="4247"/>
      <c r="AY81" s="4247"/>
      <c r="AZ81" s="4247"/>
      <c r="BA81" s="4247"/>
      <c r="BB81" s="4247"/>
      <c r="BC81" s="4247"/>
      <c r="BD81" s="4247"/>
      <c r="BE81" s="4247"/>
      <c r="BF81" s="4247"/>
      <c r="BG81" s="4260"/>
      <c r="BH81" s="4260"/>
      <c r="BI81" s="4249"/>
      <c r="BJ81" s="4247"/>
      <c r="BK81" s="4269"/>
      <c r="BL81" s="4270"/>
      <c r="BM81" s="4270"/>
      <c r="BN81" s="4270"/>
      <c r="BO81" s="4270"/>
      <c r="BP81" s="4259"/>
      <c r="BQ81" s="4"/>
    </row>
    <row r="82" spans="1:69" ht="76.5" customHeight="1" x14ac:dyDescent="0.25">
      <c r="A82" s="121"/>
      <c r="B82" s="4"/>
      <c r="C82" s="4"/>
      <c r="D82" s="3415"/>
      <c r="E82" s="4235"/>
      <c r="F82" s="3417"/>
      <c r="G82" s="2695">
        <v>4102038</v>
      </c>
      <c r="H82" s="2619">
        <v>36.6</v>
      </c>
      <c r="I82" s="2865" t="s">
        <v>805</v>
      </c>
      <c r="J82" s="2865" t="s">
        <v>806</v>
      </c>
      <c r="K82" s="2783">
        <v>10</v>
      </c>
      <c r="L82" s="4261">
        <v>47</v>
      </c>
      <c r="M82" s="2865" t="s">
        <v>807</v>
      </c>
      <c r="N82" s="4262" t="s">
        <v>808</v>
      </c>
      <c r="O82" s="4264" t="s">
        <v>809</v>
      </c>
      <c r="P82" s="3729">
        <v>1</v>
      </c>
      <c r="Q82" s="4272">
        <v>14000000</v>
      </c>
      <c r="R82" s="4264" t="s">
        <v>810</v>
      </c>
      <c r="S82" s="2621" t="s">
        <v>811</v>
      </c>
      <c r="T82" s="866" t="s">
        <v>716</v>
      </c>
      <c r="U82" s="1132">
        <v>5000000</v>
      </c>
      <c r="V82" s="1132">
        <v>2800000</v>
      </c>
      <c r="W82" s="1132">
        <v>2800000</v>
      </c>
      <c r="X82" s="1133">
        <v>88</v>
      </c>
      <c r="Y82" s="2505" t="s">
        <v>134</v>
      </c>
      <c r="Z82" s="3616">
        <v>0</v>
      </c>
      <c r="AA82" s="3616">
        <v>0</v>
      </c>
      <c r="AB82" s="3616">
        <v>10</v>
      </c>
      <c r="AC82" s="3616">
        <v>57</v>
      </c>
      <c r="AD82" s="3616">
        <v>0</v>
      </c>
      <c r="AE82" s="3616">
        <v>0</v>
      </c>
      <c r="AF82" s="3616">
        <v>10</v>
      </c>
      <c r="AG82" s="3616">
        <v>57</v>
      </c>
      <c r="AH82" s="3616">
        <v>0</v>
      </c>
      <c r="AI82" s="3616">
        <v>0</v>
      </c>
      <c r="AJ82" s="3616">
        <v>0</v>
      </c>
      <c r="AK82" s="3616">
        <v>0</v>
      </c>
      <c r="AL82" s="3616">
        <v>0</v>
      </c>
      <c r="AM82" s="3616">
        <v>0</v>
      </c>
      <c r="AN82" s="3616">
        <v>0</v>
      </c>
      <c r="AO82" s="3616">
        <v>0</v>
      </c>
      <c r="AP82" s="3616">
        <v>0</v>
      </c>
      <c r="AQ82" s="3616">
        <v>0</v>
      </c>
      <c r="AR82" s="3616">
        <v>0</v>
      </c>
      <c r="AS82" s="3616">
        <v>0</v>
      </c>
      <c r="AT82" s="3616">
        <v>0</v>
      </c>
      <c r="AU82" s="3616">
        <v>0</v>
      </c>
      <c r="AV82" s="3616">
        <v>0</v>
      </c>
      <c r="AW82" s="3616">
        <v>0</v>
      </c>
      <c r="AX82" s="3616">
        <v>0</v>
      </c>
      <c r="AY82" s="3616">
        <v>0</v>
      </c>
      <c r="AZ82" s="3616">
        <v>0</v>
      </c>
      <c r="BA82" s="3616">
        <v>0</v>
      </c>
      <c r="BB82" s="2637">
        <v>2</v>
      </c>
      <c r="BC82" s="3616">
        <v>0</v>
      </c>
      <c r="BD82" s="3616">
        <v>46</v>
      </c>
      <c r="BE82" s="3616">
        <f>AA82+AC82</f>
        <v>57</v>
      </c>
      <c r="BF82" s="3616">
        <v>2</v>
      </c>
      <c r="BG82" s="4279">
        <f>SUM(V82:V85)</f>
        <v>8680000</v>
      </c>
      <c r="BH82" s="4279">
        <f>SUM(W82:W85)</f>
        <v>8680000</v>
      </c>
      <c r="BI82" s="2644">
        <f>BH82/BG82</f>
        <v>1</v>
      </c>
      <c r="BJ82" s="3616">
        <v>88</v>
      </c>
      <c r="BK82" s="4281" t="s">
        <v>727</v>
      </c>
      <c r="BL82" s="4274">
        <v>44033</v>
      </c>
      <c r="BM82" s="4276"/>
      <c r="BN82" s="4274">
        <v>44195</v>
      </c>
      <c r="BO82" s="4276"/>
      <c r="BP82" s="3168" t="s">
        <v>693</v>
      </c>
      <c r="BQ82" s="4"/>
    </row>
    <row r="83" spans="1:69" ht="54.75" customHeight="1" x14ac:dyDescent="0.25">
      <c r="A83" s="121"/>
      <c r="B83" s="4"/>
      <c r="C83" s="4"/>
      <c r="D83" s="3415"/>
      <c r="E83" s="4235"/>
      <c r="F83" s="3417"/>
      <c r="G83" s="2696"/>
      <c r="H83" s="2620"/>
      <c r="I83" s="2717"/>
      <c r="J83" s="2717"/>
      <c r="K83" s="2625"/>
      <c r="L83" s="4146"/>
      <c r="M83" s="2717"/>
      <c r="N83" s="4262"/>
      <c r="O83" s="4265"/>
      <c r="P83" s="4271"/>
      <c r="Q83" s="4273"/>
      <c r="R83" s="4265"/>
      <c r="S83" s="2608"/>
      <c r="T83" s="867" t="s">
        <v>812</v>
      </c>
      <c r="U83" s="1119">
        <v>5000000</v>
      </c>
      <c r="V83" s="1119">
        <v>3200000</v>
      </c>
      <c r="W83" s="1119">
        <v>3200000</v>
      </c>
      <c r="X83" s="1105">
        <v>88</v>
      </c>
      <c r="Y83" s="2494" t="s">
        <v>134</v>
      </c>
      <c r="Z83" s="3617"/>
      <c r="AA83" s="3617"/>
      <c r="AB83" s="3617"/>
      <c r="AC83" s="3617"/>
      <c r="AD83" s="3617"/>
      <c r="AE83" s="3617"/>
      <c r="AF83" s="3617"/>
      <c r="AG83" s="3617"/>
      <c r="AH83" s="3617"/>
      <c r="AI83" s="3617"/>
      <c r="AJ83" s="3617"/>
      <c r="AK83" s="3617"/>
      <c r="AL83" s="3617"/>
      <c r="AM83" s="3617"/>
      <c r="AN83" s="3617"/>
      <c r="AO83" s="3617"/>
      <c r="AP83" s="3617"/>
      <c r="AQ83" s="3617"/>
      <c r="AR83" s="3617"/>
      <c r="AS83" s="3617"/>
      <c r="AT83" s="3617"/>
      <c r="AU83" s="3617"/>
      <c r="AV83" s="3617"/>
      <c r="AW83" s="3617"/>
      <c r="AX83" s="3617"/>
      <c r="AY83" s="3617"/>
      <c r="AZ83" s="3617"/>
      <c r="BA83" s="3617"/>
      <c r="BB83" s="2634"/>
      <c r="BC83" s="3617"/>
      <c r="BD83" s="3617"/>
      <c r="BE83" s="3617"/>
      <c r="BF83" s="3617"/>
      <c r="BG83" s="4280"/>
      <c r="BH83" s="4280"/>
      <c r="BI83" s="3033"/>
      <c r="BJ83" s="3617"/>
      <c r="BK83" s="4281"/>
      <c r="BL83" s="4275"/>
      <c r="BM83" s="4276"/>
      <c r="BN83" s="4275"/>
      <c r="BO83" s="4276"/>
      <c r="BP83" s="2626"/>
    </row>
    <row r="84" spans="1:69" ht="54.75" customHeight="1" x14ac:dyDescent="0.25">
      <c r="A84" s="121"/>
      <c r="B84" s="4"/>
      <c r="C84" s="4"/>
      <c r="D84" s="3415"/>
      <c r="E84" s="4235"/>
      <c r="F84" s="3417"/>
      <c r="G84" s="2696"/>
      <c r="H84" s="2620"/>
      <c r="I84" s="2717"/>
      <c r="J84" s="2717"/>
      <c r="K84" s="2625"/>
      <c r="L84" s="4146"/>
      <c r="M84" s="2717"/>
      <c r="N84" s="4262"/>
      <c r="O84" s="4265"/>
      <c r="P84" s="4271"/>
      <c r="Q84" s="4273"/>
      <c r="R84" s="4265"/>
      <c r="S84" s="2608"/>
      <c r="T84" s="867" t="s">
        <v>813</v>
      </c>
      <c r="U84" s="1119">
        <v>4000000</v>
      </c>
      <c r="V84" s="1119">
        <v>2680000</v>
      </c>
      <c r="W84" s="1119">
        <v>2680000</v>
      </c>
      <c r="X84" s="1105">
        <v>88</v>
      </c>
      <c r="Y84" s="2494" t="s">
        <v>134</v>
      </c>
      <c r="Z84" s="3617"/>
      <c r="AA84" s="3617"/>
      <c r="AB84" s="3617"/>
      <c r="AC84" s="3617"/>
      <c r="AD84" s="3617"/>
      <c r="AE84" s="3617"/>
      <c r="AF84" s="3617"/>
      <c r="AG84" s="3617"/>
      <c r="AH84" s="3617"/>
      <c r="AI84" s="3617"/>
      <c r="AJ84" s="3617"/>
      <c r="AK84" s="3617"/>
      <c r="AL84" s="3617"/>
      <c r="AM84" s="3617"/>
      <c r="AN84" s="3617"/>
      <c r="AO84" s="3617"/>
      <c r="AP84" s="3617"/>
      <c r="AQ84" s="3617"/>
      <c r="AR84" s="3617"/>
      <c r="AS84" s="3617"/>
      <c r="AT84" s="3617"/>
      <c r="AU84" s="3617"/>
      <c r="AV84" s="3617"/>
      <c r="AW84" s="3617"/>
      <c r="AX84" s="3617"/>
      <c r="AY84" s="3617"/>
      <c r="AZ84" s="3617"/>
      <c r="BA84" s="3617"/>
      <c r="BB84" s="2634"/>
      <c r="BC84" s="3617"/>
      <c r="BD84" s="3617"/>
      <c r="BE84" s="3617"/>
      <c r="BF84" s="3617"/>
      <c r="BG84" s="4280"/>
      <c r="BH84" s="4280"/>
      <c r="BI84" s="3033"/>
      <c r="BJ84" s="3617"/>
      <c r="BK84" s="4281"/>
      <c r="BL84" s="4275"/>
      <c r="BM84" s="4276"/>
      <c r="BN84" s="4275"/>
      <c r="BO84" s="4276"/>
      <c r="BP84" s="2626"/>
    </row>
    <row r="85" spans="1:69" ht="69" customHeight="1" x14ac:dyDescent="0.25">
      <c r="A85" s="121"/>
      <c r="B85" s="4"/>
      <c r="C85" s="4"/>
      <c r="D85" s="4266"/>
      <c r="E85" s="4267"/>
      <c r="F85" s="4268"/>
      <c r="G85" s="2697"/>
      <c r="H85" s="2620"/>
      <c r="I85" s="2717"/>
      <c r="J85" s="2717"/>
      <c r="K85" s="2625"/>
      <c r="L85" s="4147"/>
      <c r="M85" s="2717"/>
      <c r="N85" s="4263"/>
      <c r="O85" s="4265"/>
      <c r="P85" s="4271"/>
      <c r="Q85" s="4273"/>
      <c r="R85" s="4265"/>
      <c r="S85" s="2608"/>
      <c r="T85" s="867" t="s">
        <v>814</v>
      </c>
      <c r="U85" s="1119">
        <v>0</v>
      </c>
      <c r="V85" s="1119"/>
      <c r="W85" s="1063">
        <v>0</v>
      </c>
      <c r="X85" s="1105">
        <v>88</v>
      </c>
      <c r="Y85" s="2494" t="s">
        <v>134</v>
      </c>
      <c r="Z85" s="3617"/>
      <c r="AA85" s="3617"/>
      <c r="AB85" s="3617"/>
      <c r="AC85" s="3617"/>
      <c r="AD85" s="3617"/>
      <c r="AE85" s="3617"/>
      <c r="AF85" s="3617"/>
      <c r="AG85" s="3617"/>
      <c r="AH85" s="3617"/>
      <c r="AI85" s="3617"/>
      <c r="AJ85" s="3617"/>
      <c r="AK85" s="3617"/>
      <c r="AL85" s="3617"/>
      <c r="AM85" s="3617"/>
      <c r="AN85" s="3617"/>
      <c r="AO85" s="3617"/>
      <c r="AP85" s="3617"/>
      <c r="AQ85" s="3617"/>
      <c r="AR85" s="3617"/>
      <c r="AS85" s="3617"/>
      <c r="AT85" s="3617"/>
      <c r="AU85" s="3617"/>
      <c r="AV85" s="3617"/>
      <c r="AW85" s="3617"/>
      <c r="AX85" s="3617"/>
      <c r="AY85" s="3617"/>
      <c r="AZ85" s="3617"/>
      <c r="BA85" s="3617"/>
      <c r="BB85" s="2634"/>
      <c r="BC85" s="3617"/>
      <c r="BD85" s="3617"/>
      <c r="BE85" s="3617"/>
      <c r="BF85" s="3617"/>
      <c r="BG85" s="4280"/>
      <c r="BH85" s="4280"/>
      <c r="BI85" s="3033"/>
      <c r="BJ85" s="3617"/>
      <c r="BK85" s="4282"/>
      <c r="BL85" s="4275"/>
      <c r="BM85" s="4274"/>
      <c r="BN85" s="4275"/>
      <c r="BO85" s="4274"/>
      <c r="BP85" s="2626"/>
    </row>
    <row r="86" spans="1:69" ht="15.75" x14ac:dyDescent="0.25">
      <c r="A86" s="121"/>
      <c r="B86" s="4"/>
      <c r="C86" s="4"/>
      <c r="D86" s="1134">
        <v>37</v>
      </c>
      <c r="E86" s="1135" t="s">
        <v>815</v>
      </c>
      <c r="F86" s="1136"/>
      <c r="G86" s="1137"/>
      <c r="H86" s="1138"/>
      <c r="I86" s="1139"/>
      <c r="J86" s="1139"/>
      <c r="K86" s="1139"/>
      <c r="L86" s="1140"/>
      <c r="M86" s="1139"/>
      <c r="N86" s="1141"/>
      <c r="O86" s="1139"/>
      <c r="P86" s="1142"/>
      <c r="Q86" s="1143"/>
      <c r="R86" s="1139"/>
      <c r="S86" s="1139"/>
      <c r="T86" s="1139"/>
      <c r="U86" s="1144"/>
      <c r="V86" s="1144"/>
      <c r="W86" s="1144"/>
      <c r="X86" s="1145"/>
      <c r="Y86" s="2506"/>
      <c r="Z86" s="1146"/>
      <c r="AA86" s="1146"/>
      <c r="AB86" s="1146"/>
      <c r="AC86" s="1146"/>
      <c r="AD86" s="1146"/>
      <c r="AE86" s="1146"/>
      <c r="AF86" s="1146"/>
      <c r="AG86" s="1146"/>
      <c r="AH86" s="1146"/>
      <c r="AI86" s="1146"/>
      <c r="AJ86" s="1146"/>
      <c r="AK86" s="1146"/>
      <c r="AL86" s="1146"/>
      <c r="AM86" s="1146"/>
      <c r="AN86" s="1146"/>
      <c r="AO86" s="1146"/>
      <c r="AP86" s="1146"/>
      <c r="AQ86" s="1146"/>
      <c r="AR86" s="1146"/>
      <c r="AS86" s="1146"/>
      <c r="AT86" s="1146"/>
      <c r="AU86" s="1146"/>
      <c r="AV86" s="1146"/>
      <c r="AW86" s="1146"/>
      <c r="AX86" s="1146"/>
      <c r="AY86" s="1146"/>
      <c r="AZ86" s="1146"/>
      <c r="BA86" s="1146"/>
      <c r="BB86" s="1146"/>
      <c r="BC86" s="1146"/>
      <c r="BD86" s="1146"/>
      <c r="BE86" s="1146"/>
      <c r="BF86" s="1146"/>
      <c r="BG86" s="1147"/>
      <c r="BH86" s="1147"/>
      <c r="BI86" s="1146"/>
      <c r="BJ86" s="1146"/>
      <c r="BK86" s="1138"/>
      <c r="BL86" s="1146"/>
      <c r="BM86" s="1146"/>
      <c r="BN86" s="1146"/>
      <c r="BO86" s="1146"/>
      <c r="BP86" s="1138"/>
    </row>
    <row r="87" spans="1:69" s="861" customFormat="1" ht="118.5" customHeight="1" x14ac:dyDescent="0.25">
      <c r="A87" s="1120"/>
      <c r="B87" s="71"/>
      <c r="C87" s="71"/>
      <c r="D87" s="334"/>
      <c r="E87" s="239"/>
      <c r="F87" s="335"/>
      <c r="G87" s="815">
        <v>4103059</v>
      </c>
      <c r="H87" s="1916">
        <v>37.4</v>
      </c>
      <c r="I87" s="928" t="s">
        <v>816</v>
      </c>
      <c r="J87" s="908" t="s">
        <v>817</v>
      </c>
      <c r="K87" s="938">
        <v>8</v>
      </c>
      <c r="L87" s="1149">
        <v>11</v>
      </c>
      <c r="M87" s="908" t="s">
        <v>706</v>
      </c>
      <c r="N87" s="910" t="s">
        <v>707</v>
      </c>
      <c r="O87" s="928" t="s">
        <v>708</v>
      </c>
      <c r="P87" s="1150">
        <f>(U87)/(Q87+Q62+Q22)</f>
        <v>0.23601054900721463</v>
      </c>
      <c r="Q87" s="1151">
        <v>27000000</v>
      </c>
      <c r="R87" s="347" t="s">
        <v>709</v>
      </c>
      <c r="S87" s="908" t="s">
        <v>710</v>
      </c>
      <c r="T87" s="928" t="s">
        <v>818</v>
      </c>
      <c r="U87" s="1152">
        <v>27000000</v>
      </c>
      <c r="V87" s="1153">
        <v>9826667</v>
      </c>
      <c r="W87" s="1153">
        <v>9826667</v>
      </c>
      <c r="X87" s="1154">
        <v>88</v>
      </c>
      <c r="Y87" s="2507" t="s">
        <v>411</v>
      </c>
      <c r="Z87" s="919">
        <v>4</v>
      </c>
      <c r="AA87" s="919">
        <v>6</v>
      </c>
      <c r="AB87" s="919">
        <v>4</v>
      </c>
      <c r="AC87" s="919">
        <v>5</v>
      </c>
      <c r="AD87" s="919">
        <v>0</v>
      </c>
      <c r="AE87" s="919">
        <v>0</v>
      </c>
      <c r="AF87" s="919">
        <v>0</v>
      </c>
      <c r="AG87" s="919">
        <v>0</v>
      </c>
      <c r="AH87" s="1155">
        <v>0</v>
      </c>
      <c r="AI87" s="919">
        <v>0</v>
      </c>
      <c r="AJ87" s="919">
        <v>0</v>
      </c>
      <c r="AK87" s="919">
        <v>0</v>
      </c>
      <c r="AL87" s="919">
        <v>0</v>
      </c>
      <c r="AM87" s="919">
        <v>0</v>
      </c>
      <c r="AN87" s="919">
        <v>0</v>
      </c>
      <c r="AO87" s="919">
        <v>0</v>
      </c>
      <c r="AP87" s="919">
        <v>0</v>
      </c>
      <c r="AQ87" s="919">
        <v>0</v>
      </c>
      <c r="AR87" s="919">
        <v>0</v>
      </c>
      <c r="AS87" s="919">
        <v>0</v>
      </c>
      <c r="AT87" s="919">
        <v>0</v>
      </c>
      <c r="AU87" s="919">
        <v>0</v>
      </c>
      <c r="AV87" s="919">
        <v>0</v>
      </c>
      <c r="AW87" s="919">
        <v>0</v>
      </c>
      <c r="AX87" s="919">
        <v>0</v>
      </c>
      <c r="AY87" s="919">
        <v>0</v>
      </c>
      <c r="AZ87" s="919">
        <v>0</v>
      </c>
      <c r="BA87" s="919">
        <v>0</v>
      </c>
      <c r="BB87" s="919">
        <v>0</v>
      </c>
      <c r="BC87" s="919">
        <v>0</v>
      </c>
      <c r="BD87" s="919">
        <v>8</v>
      </c>
      <c r="BE87" s="910">
        <f>AA87+AC87</f>
        <v>11</v>
      </c>
      <c r="BF87" s="910">
        <v>1</v>
      </c>
      <c r="BG87" s="1156">
        <f>SUM(V87)</f>
        <v>9826667</v>
      </c>
      <c r="BH87" s="1156">
        <f>SUM(W87)</f>
        <v>9826667</v>
      </c>
      <c r="BI87" s="1157">
        <f>BH87/BG87</f>
        <v>1</v>
      </c>
      <c r="BJ87" s="910">
        <v>88</v>
      </c>
      <c r="BK87" s="910" t="s">
        <v>712</v>
      </c>
      <c r="BL87" s="1158">
        <v>43832</v>
      </c>
      <c r="BM87" s="1158"/>
      <c r="BN87" s="1158">
        <v>44195</v>
      </c>
      <c r="BO87" s="1158"/>
      <c r="BP87" s="910" t="s">
        <v>693</v>
      </c>
    </row>
    <row r="88" spans="1:69" ht="72" customHeight="1" x14ac:dyDescent="0.25">
      <c r="A88" s="121"/>
      <c r="B88" s="4"/>
      <c r="C88" s="4"/>
      <c r="D88" s="122"/>
      <c r="E88" s="4"/>
      <c r="F88" s="123"/>
      <c r="G88" s="4277">
        <v>4103052</v>
      </c>
      <c r="H88" s="2581">
        <v>37.200000000000003</v>
      </c>
      <c r="I88" s="2585" t="s">
        <v>819</v>
      </c>
      <c r="J88" s="2707" t="s">
        <v>820</v>
      </c>
      <c r="K88" s="2581">
        <v>1</v>
      </c>
      <c r="L88" s="4173">
        <v>1</v>
      </c>
      <c r="M88" s="2585" t="s">
        <v>821</v>
      </c>
      <c r="N88" s="2583" t="s">
        <v>822</v>
      </c>
      <c r="O88" s="2741" t="s">
        <v>823</v>
      </c>
      <c r="P88" s="3226">
        <v>1</v>
      </c>
      <c r="Q88" s="4284">
        <v>44520000</v>
      </c>
      <c r="R88" s="2741" t="s">
        <v>824</v>
      </c>
      <c r="S88" s="2741" t="s">
        <v>825</v>
      </c>
      <c r="T88" s="871" t="s">
        <v>826</v>
      </c>
      <c r="U88" s="1126">
        <v>0</v>
      </c>
      <c r="V88" s="1126"/>
      <c r="W88" s="1126">
        <v>0</v>
      </c>
      <c r="X88" s="1129">
        <v>20</v>
      </c>
      <c r="Y88" s="2504" t="s">
        <v>85</v>
      </c>
      <c r="Z88" s="2583">
        <v>704</v>
      </c>
      <c r="AA88" s="2583">
        <v>300</v>
      </c>
      <c r="AB88" s="2583">
        <v>896</v>
      </c>
      <c r="AC88" s="2583">
        <v>150</v>
      </c>
      <c r="AD88" s="2583">
        <v>0</v>
      </c>
      <c r="AE88" s="2583"/>
      <c r="AF88" s="2583">
        <v>0</v>
      </c>
      <c r="AG88" s="2583"/>
      <c r="AH88" s="2583">
        <v>0</v>
      </c>
      <c r="AI88" s="2583"/>
      <c r="AJ88" s="2583">
        <v>0</v>
      </c>
      <c r="AK88" s="2583"/>
      <c r="AL88" s="2583">
        <v>0</v>
      </c>
      <c r="AM88" s="2583"/>
      <c r="AN88" s="2583">
        <v>0</v>
      </c>
      <c r="AO88" s="2583"/>
      <c r="AP88" s="2583">
        <v>0</v>
      </c>
      <c r="AQ88" s="2583"/>
      <c r="AR88" s="2583">
        <v>0</v>
      </c>
      <c r="AS88" s="2583"/>
      <c r="AT88" s="2583">
        <v>0</v>
      </c>
      <c r="AU88" s="2583"/>
      <c r="AV88" s="2583">
        <v>0</v>
      </c>
      <c r="AW88" s="2583"/>
      <c r="AX88" s="2583">
        <v>0</v>
      </c>
      <c r="AY88" s="2583"/>
      <c r="AZ88" s="2583">
        <v>0</v>
      </c>
      <c r="BA88" s="2583"/>
      <c r="BB88" s="2583">
        <v>0</v>
      </c>
      <c r="BC88" s="2583"/>
      <c r="BD88" s="2988">
        <v>1600</v>
      </c>
      <c r="BE88" s="2583">
        <f>AA88+AC88</f>
        <v>450</v>
      </c>
      <c r="BF88" s="2988">
        <v>4</v>
      </c>
      <c r="BG88" s="4285">
        <f>SUM(V88:V91)</f>
        <v>44520000</v>
      </c>
      <c r="BH88" s="4285">
        <f>SUM(W88:W91)</f>
        <v>44520000</v>
      </c>
      <c r="BI88" s="3391">
        <f>BH88/BG88</f>
        <v>1</v>
      </c>
      <c r="BJ88" s="2583">
        <v>20</v>
      </c>
      <c r="BK88" s="2988" t="s">
        <v>827</v>
      </c>
      <c r="BL88" s="4295">
        <v>43832</v>
      </c>
      <c r="BM88" s="4295">
        <v>43832</v>
      </c>
      <c r="BN88" s="4295">
        <v>44195</v>
      </c>
      <c r="BO88" s="4295">
        <v>44195</v>
      </c>
      <c r="BP88" s="2988" t="s">
        <v>693</v>
      </c>
    </row>
    <row r="89" spans="1:69" ht="91.5" customHeight="1" x14ac:dyDescent="0.25">
      <c r="A89" s="121"/>
      <c r="B89" s="4"/>
      <c r="C89" s="4"/>
      <c r="D89" s="122"/>
      <c r="E89" s="4"/>
      <c r="F89" s="123"/>
      <c r="G89" s="4278"/>
      <c r="H89" s="2582"/>
      <c r="I89" s="2586"/>
      <c r="J89" s="2708"/>
      <c r="K89" s="2582"/>
      <c r="L89" s="4174"/>
      <c r="M89" s="2586"/>
      <c r="N89" s="2584"/>
      <c r="O89" s="2742"/>
      <c r="P89" s="3227"/>
      <c r="Q89" s="4257"/>
      <c r="R89" s="2742"/>
      <c r="S89" s="2742"/>
      <c r="T89" s="1159" t="s">
        <v>828</v>
      </c>
      <c r="U89" s="1160">
        <v>9520000</v>
      </c>
      <c r="V89" s="1059">
        <v>9520000</v>
      </c>
      <c r="W89" s="1126">
        <f>+V89</f>
        <v>9520000</v>
      </c>
      <c r="X89" s="1129">
        <v>20</v>
      </c>
      <c r="Y89" s="2504" t="s">
        <v>85</v>
      </c>
      <c r="Z89" s="2584"/>
      <c r="AA89" s="2584"/>
      <c r="AB89" s="2584"/>
      <c r="AC89" s="2584"/>
      <c r="AD89" s="2584"/>
      <c r="AE89" s="2584"/>
      <c r="AF89" s="2584"/>
      <c r="AG89" s="2584"/>
      <c r="AH89" s="2584"/>
      <c r="AI89" s="2584"/>
      <c r="AJ89" s="2584"/>
      <c r="AK89" s="2584"/>
      <c r="AL89" s="2584"/>
      <c r="AM89" s="2584"/>
      <c r="AN89" s="2584"/>
      <c r="AO89" s="2584"/>
      <c r="AP89" s="2584"/>
      <c r="AQ89" s="2584"/>
      <c r="AR89" s="2584"/>
      <c r="AS89" s="2584"/>
      <c r="AT89" s="2584"/>
      <c r="AU89" s="2584"/>
      <c r="AV89" s="2584"/>
      <c r="AW89" s="2584"/>
      <c r="AX89" s="2584"/>
      <c r="AY89" s="2584"/>
      <c r="AZ89" s="2584"/>
      <c r="BA89" s="2584"/>
      <c r="BB89" s="2584"/>
      <c r="BC89" s="2584"/>
      <c r="BD89" s="2988"/>
      <c r="BE89" s="2584"/>
      <c r="BF89" s="2988"/>
      <c r="BG89" s="4286"/>
      <c r="BH89" s="4286"/>
      <c r="BI89" s="3392"/>
      <c r="BJ89" s="2584"/>
      <c r="BK89" s="2988"/>
      <c r="BL89" s="4295"/>
      <c r="BM89" s="4295"/>
      <c r="BN89" s="4295"/>
      <c r="BO89" s="4295"/>
      <c r="BP89" s="2988"/>
    </row>
    <row r="90" spans="1:69" ht="54.75" customHeight="1" x14ac:dyDescent="0.25">
      <c r="A90" s="121"/>
      <c r="B90" s="4"/>
      <c r="C90" s="4"/>
      <c r="D90" s="122"/>
      <c r="E90" s="4"/>
      <c r="F90" s="123"/>
      <c r="G90" s="4278"/>
      <c r="H90" s="2582"/>
      <c r="I90" s="2586"/>
      <c r="J90" s="2708"/>
      <c r="K90" s="2582"/>
      <c r="L90" s="4174"/>
      <c r="M90" s="2586"/>
      <c r="N90" s="2584"/>
      <c r="O90" s="2742"/>
      <c r="P90" s="3227"/>
      <c r="Q90" s="4257"/>
      <c r="R90" s="2742"/>
      <c r="S90" s="2742"/>
      <c r="T90" s="1161" t="s">
        <v>829</v>
      </c>
      <c r="U90" s="1162">
        <v>35000000</v>
      </c>
      <c r="V90" s="1059">
        <v>35000000</v>
      </c>
      <c r="W90" s="1126">
        <v>35000000</v>
      </c>
      <c r="X90" s="1129">
        <v>20</v>
      </c>
      <c r="Y90" s="2504" t="s">
        <v>85</v>
      </c>
      <c r="Z90" s="2584"/>
      <c r="AA90" s="2584"/>
      <c r="AB90" s="2584"/>
      <c r="AC90" s="2584"/>
      <c r="AD90" s="2584"/>
      <c r="AE90" s="2584"/>
      <c r="AF90" s="2584"/>
      <c r="AG90" s="2584"/>
      <c r="AH90" s="2584"/>
      <c r="AI90" s="2584"/>
      <c r="AJ90" s="2584"/>
      <c r="AK90" s="2584"/>
      <c r="AL90" s="2584"/>
      <c r="AM90" s="2584"/>
      <c r="AN90" s="2584"/>
      <c r="AO90" s="2584"/>
      <c r="AP90" s="2584"/>
      <c r="AQ90" s="2584"/>
      <c r="AR90" s="2584"/>
      <c r="AS90" s="2584"/>
      <c r="AT90" s="2584"/>
      <c r="AU90" s="2584"/>
      <c r="AV90" s="2584"/>
      <c r="AW90" s="2584"/>
      <c r="AX90" s="2584"/>
      <c r="AY90" s="2584"/>
      <c r="AZ90" s="2584"/>
      <c r="BA90" s="2584"/>
      <c r="BB90" s="2584"/>
      <c r="BC90" s="2584"/>
      <c r="BD90" s="2988"/>
      <c r="BE90" s="2584"/>
      <c r="BF90" s="2988"/>
      <c r="BG90" s="4286"/>
      <c r="BH90" s="4286"/>
      <c r="BI90" s="3392"/>
      <c r="BJ90" s="2584"/>
      <c r="BK90" s="2988"/>
      <c r="BL90" s="4295"/>
      <c r="BM90" s="4295"/>
      <c r="BN90" s="4295"/>
      <c r="BO90" s="4295"/>
      <c r="BP90" s="2988"/>
    </row>
    <row r="91" spans="1:69" ht="38.25" customHeight="1" x14ac:dyDescent="0.25">
      <c r="A91" s="121"/>
      <c r="B91" s="4"/>
      <c r="C91" s="4"/>
      <c r="D91" s="122"/>
      <c r="E91" s="4"/>
      <c r="F91" s="123"/>
      <c r="G91" s="4278"/>
      <c r="H91" s="2582"/>
      <c r="I91" s="2586"/>
      <c r="J91" s="2708"/>
      <c r="K91" s="2582"/>
      <c r="L91" s="4283"/>
      <c r="M91" s="2586"/>
      <c r="N91" s="2584"/>
      <c r="O91" s="2742"/>
      <c r="P91" s="3227"/>
      <c r="Q91" s="4257"/>
      <c r="R91" s="2742"/>
      <c r="S91" s="2742"/>
      <c r="T91" s="869" t="s">
        <v>830</v>
      </c>
      <c r="U91" s="1059">
        <v>0</v>
      </c>
      <c r="V91" s="1059"/>
      <c r="W91" s="1059">
        <v>0</v>
      </c>
      <c r="X91" s="1065">
        <v>20</v>
      </c>
      <c r="Y91" s="2495" t="s">
        <v>85</v>
      </c>
      <c r="Z91" s="2720"/>
      <c r="AA91" s="2720"/>
      <c r="AB91" s="2720"/>
      <c r="AC91" s="2720"/>
      <c r="AD91" s="2720"/>
      <c r="AE91" s="2720"/>
      <c r="AF91" s="2720"/>
      <c r="AG91" s="2720"/>
      <c r="AH91" s="2720"/>
      <c r="AI91" s="2720"/>
      <c r="AJ91" s="2720"/>
      <c r="AK91" s="2720"/>
      <c r="AL91" s="2720"/>
      <c r="AM91" s="2720"/>
      <c r="AN91" s="2720"/>
      <c r="AO91" s="2720"/>
      <c r="AP91" s="2720"/>
      <c r="AQ91" s="2720"/>
      <c r="AR91" s="2720"/>
      <c r="AS91" s="2720"/>
      <c r="AT91" s="2720"/>
      <c r="AU91" s="2720"/>
      <c r="AV91" s="2720"/>
      <c r="AW91" s="2720"/>
      <c r="AX91" s="2720"/>
      <c r="AY91" s="2720"/>
      <c r="AZ91" s="2720"/>
      <c r="BA91" s="2720"/>
      <c r="BB91" s="2720"/>
      <c r="BC91" s="2720"/>
      <c r="BD91" s="2988"/>
      <c r="BE91" s="2720"/>
      <c r="BF91" s="2988"/>
      <c r="BG91" s="4287"/>
      <c r="BH91" s="4287"/>
      <c r="BI91" s="3393"/>
      <c r="BJ91" s="2720"/>
      <c r="BK91" s="2988"/>
      <c r="BL91" s="4295"/>
      <c r="BM91" s="4295"/>
      <c r="BN91" s="4295"/>
      <c r="BO91" s="4295"/>
      <c r="BP91" s="2988"/>
    </row>
    <row r="92" spans="1:69" s="861" customFormat="1" ht="62.25" customHeight="1" x14ac:dyDescent="0.25">
      <c r="A92" s="1120"/>
      <c r="B92" s="71"/>
      <c r="C92" s="4296"/>
      <c r="D92" s="4297"/>
      <c r="E92" s="4296"/>
      <c r="F92" s="3655"/>
      <c r="G92" s="4298">
        <v>4103050</v>
      </c>
      <c r="H92" s="2620">
        <v>37.1</v>
      </c>
      <c r="I92" s="3189" t="s">
        <v>831</v>
      </c>
      <c r="J92" s="3479" t="s">
        <v>832</v>
      </c>
      <c r="K92" s="3498">
        <v>12</v>
      </c>
      <c r="L92" s="4145">
        <v>12</v>
      </c>
      <c r="M92" s="3479" t="s">
        <v>785</v>
      </c>
      <c r="N92" s="3264" t="s">
        <v>786</v>
      </c>
      <c r="O92" s="4289" t="s">
        <v>787</v>
      </c>
      <c r="P92" s="4288">
        <f>(U92+U93)/(Q92+Q73)</f>
        <v>0.65789473684210531</v>
      </c>
      <c r="Q92" s="4273">
        <v>25000000</v>
      </c>
      <c r="R92" s="4289" t="s">
        <v>788</v>
      </c>
      <c r="S92" s="3479" t="s">
        <v>789</v>
      </c>
      <c r="T92" s="906" t="s">
        <v>833</v>
      </c>
      <c r="U92" s="1927">
        <v>21000000</v>
      </c>
      <c r="V92" s="1927">
        <v>13674999</v>
      </c>
      <c r="W92" s="1927">
        <v>13674999</v>
      </c>
      <c r="X92" s="1090">
        <v>88</v>
      </c>
      <c r="Y92" s="2273" t="s">
        <v>74</v>
      </c>
      <c r="Z92" s="4290">
        <v>4500</v>
      </c>
      <c r="AA92" s="4292"/>
      <c r="AB92" s="4290">
        <v>4500</v>
      </c>
      <c r="AC92" s="4292"/>
      <c r="AD92" s="4290">
        <v>1560</v>
      </c>
      <c r="AE92" s="4292"/>
      <c r="AF92" s="4290">
        <v>1560</v>
      </c>
      <c r="AG92" s="4292"/>
      <c r="AH92" s="4290">
        <v>1560</v>
      </c>
      <c r="AI92" s="4292"/>
      <c r="AJ92" s="3471">
        <v>2000</v>
      </c>
      <c r="AK92" s="4292"/>
      <c r="AL92" s="3471">
        <v>400</v>
      </c>
      <c r="AM92" s="4292"/>
      <c r="AN92" s="3471">
        <v>400</v>
      </c>
      <c r="AO92" s="4292"/>
      <c r="AP92" s="3471">
        <v>400</v>
      </c>
      <c r="AQ92" s="4292"/>
      <c r="AR92" s="3471">
        <v>50</v>
      </c>
      <c r="AS92" s="4292"/>
      <c r="AT92" s="3471">
        <v>50</v>
      </c>
      <c r="AU92" s="4292"/>
      <c r="AV92" s="3471">
        <v>70</v>
      </c>
      <c r="AW92" s="4292"/>
      <c r="AX92" s="3471">
        <v>50</v>
      </c>
      <c r="AY92" s="4292"/>
      <c r="AZ92" s="3471">
        <v>500</v>
      </c>
      <c r="BA92" s="4292"/>
      <c r="BB92" s="3471">
        <v>400</v>
      </c>
      <c r="BC92" s="4292"/>
      <c r="BD92" s="4319">
        <v>9000</v>
      </c>
      <c r="BE92" s="4318">
        <f>AA92+AC92</f>
        <v>0</v>
      </c>
      <c r="BF92" s="4318">
        <v>2</v>
      </c>
      <c r="BG92" s="4320">
        <f>SUM(V92:V93)</f>
        <v>15674999</v>
      </c>
      <c r="BH92" s="4320">
        <f>SUM(W92:W93)</f>
        <v>15674999</v>
      </c>
      <c r="BI92" s="4321">
        <f>BH92/BG92</f>
        <v>1</v>
      </c>
      <c r="BJ92" s="4318" t="s">
        <v>691</v>
      </c>
      <c r="BK92" s="4323" t="s">
        <v>692</v>
      </c>
      <c r="BL92" s="4307">
        <v>44033</v>
      </c>
      <c r="BM92" s="4309"/>
      <c r="BN92" s="4307">
        <v>44195</v>
      </c>
      <c r="BO92" s="4309"/>
      <c r="BP92" s="2963" t="s">
        <v>693</v>
      </c>
    </row>
    <row r="93" spans="1:69" s="861" customFormat="1" ht="62.25" customHeight="1" x14ac:dyDescent="0.25">
      <c r="A93" s="1120"/>
      <c r="B93" s="71"/>
      <c r="C93" s="4296"/>
      <c r="D93" s="4297"/>
      <c r="E93" s="4296"/>
      <c r="F93" s="3655"/>
      <c r="G93" s="4299"/>
      <c r="H93" s="2620"/>
      <c r="I93" s="3189"/>
      <c r="J93" s="3479"/>
      <c r="K93" s="4294"/>
      <c r="L93" s="4147"/>
      <c r="M93" s="3479"/>
      <c r="N93" s="3264"/>
      <c r="O93" s="4289"/>
      <c r="P93" s="4288"/>
      <c r="Q93" s="4273"/>
      <c r="R93" s="4289"/>
      <c r="S93" s="3479"/>
      <c r="T93" s="906" t="s">
        <v>834</v>
      </c>
      <c r="U93" s="1927">
        <v>4000000</v>
      </c>
      <c r="V93" s="1927">
        <v>2000000</v>
      </c>
      <c r="W93" s="1106">
        <v>2000000</v>
      </c>
      <c r="X93" s="1090">
        <v>88</v>
      </c>
      <c r="Y93" s="2273" t="s">
        <v>74</v>
      </c>
      <c r="Z93" s="4291"/>
      <c r="AA93" s="4293"/>
      <c r="AB93" s="4291"/>
      <c r="AC93" s="4293"/>
      <c r="AD93" s="4291"/>
      <c r="AE93" s="4293"/>
      <c r="AF93" s="4291"/>
      <c r="AG93" s="4293"/>
      <c r="AH93" s="4291"/>
      <c r="AI93" s="4293"/>
      <c r="AJ93" s="2699"/>
      <c r="AK93" s="4293"/>
      <c r="AL93" s="2699"/>
      <c r="AM93" s="4293"/>
      <c r="AN93" s="2699"/>
      <c r="AO93" s="4293"/>
      <c r="AP93" s="2699"/>
      <c r="AQ93" s="4293"/>
      <c r="AR93" s="2699"/>
      <c r="AS93" s="4293"/>
      <c r="AT93" s="2699"/>
      <c r="AU93" s="4293"/>
      <c r="AV93" s="2699"/>
      <c r="AW93" s="4293"/>
      <c r="AX93" s="2699"/>
      <c r="AY93" s="4293"/>
      <c r="AZ93" s="2699"/>
      <c r="BA93" s="4293"/>
      <c r="BB93" s="2699"/>
      <c r="BC93" s="4293"/>
      <c r="BD93" s="4325"/>
      <c r="BE93" s="4319"/>
      <c r="BF93" s="4319"/>
      <c r="BG93" s="4279"/>
      <c r="BH93" s="4279"/>
      <c r="BI93" s="4322"/>
      <c r="BJ93" s="4319"/>
      <c r="BK93" s="4324"/>
      <c r="BL93" s="4308"/>
      <c r="BM93" s="4307"/>
      <c r="BN93" s="4308"/>
      <c r="BO93" s="4307"/>
      <c r="BP93" s="3264"/>
    </row>
    <row r="94" spans="1:69" s="861" customFormat="1" ht="55.5" customHeight="1" x14ac:dyDescent="0.25">
      <c r="A94" s="1120"/>
      <c r="B94" s="71"/>
      <c r="C94" s="71"/>
      <c r="D94" s="339"/>
      <c r="E94" s="71"/>
      <c r="F94" s="340"/>
      <c r="G94" s="4310">
        <v>4103058</v>
      </c>
      <c r="H94" s="3558" t="s">
        <v>835</v>
      </c>
      <c r="I94" s="3504" t="s">
        <v>836</v>
      </c>
      <c r="J94" s="4313" t="s">
        <v>837</v>
      </c>
      <c r="K94" s="4315">
        <v>1</v>
      </c>
      <c r="L94" s="4300">
        <v>0</v>
      </c>
      <c r="M94" s="4063" t="s">
        <v>838</v>
      </c>
      <c r="N94" s="2963" t="s">
        <v>839</v>
      </c>
      <c r="O94" s="3071" t="s">
        <v>840</v>
      </c>
      <c r="P94" s="4303">
        <f>SUM(U94:U96)/(Q94+Q108)</f>
        <v>0.40909090909090912</v>
      </c>
      <c r="Q94" s="4272">
        <v>27000000</v>
      </c>
      <c r="R94" s="3071" t="s">
        <v>841</v>
      </c>
      <c r="S94" s="3071" t="s">
        <v>842</v>
      </c>
      <c r="T94" s="4329" t="s">
        <v>843</v>
      </c>
      <c r="U94" s="1163">
        <v>10000000</v>
      </c>
      <c r="V94" s="1163">
        <v>0</v>
      </c>
      <c r="W94" s="1163">
        <v>0</v>
      </c>
      <c r="X94" s="1110">
        <v>20</v>
      </c>
      <c r="Y94" s="2499" t="s">
        <v>85</v>
      </c>
      <c r="Z94" s="4330">
        <v>2360</v>
      </c>
      <c r="AA94" s="4330">
        <v>400</v>
      </c>
      <c r="AB94" s="4330">
        <v>1500</v>
      </c>
      <c r="AC94" s="4223">
        <v>134</v>
      </c>
      <c r="AD94" s="4326">
        <v>480</v>
      </c>
      <c r="AE94" s="4223">
        <v>12</v>
      </c>
      <c r="AF94" s="4326">
        <v>1200</v>
      </c>
      <c r="AG94" s="4223">
        <v>3</v>
      </c>
      <c r="AH94" s="4326">
        <v>1500</v>
      </c>
      <c r="AI94" s="4223">
        <v>499</v>
      </c>
      <c r="AJ94" s="4326">
        <v>20</v>
      </c>
      <c r="AK94" s="4223">
        <v>20</v>
      </c>
      <c r="AL94" s="4326">
        <v>20</v>
      </c>
      <c r="AM94" s="4223"/>
      <c r="AN94" s="4326">
        <v>0</v>
      </c>
      <c r="AO94" s="4223"/>
      <c r="AP94" s="4326">
        <v>0</v>
      </c>
      <c r="AQ94" s="4223"/>
      <c r="AR94" s="4326">
        <v>0</v>
      </c>
      <c r="AS94" s="4223"/>
      <c r="AT94" s="4326">
        <v>0</v>
      </c>
      <c r="AU94" s="4223"/>
      <c r="AV94" s="4326">
        <v>0</v>
      </c>
      <c r="AW94" s="4223"/>
      <c r="AX94" s="4326">
        <v>1000</v>
      </c>
      <c r="AY94" s="4223"/>
      <c r="AZ94" s="4326">
        <v>4720</v>
      </c>
      <c r="BA94" s="4223"/>
      <c r="BB94" s="4326">
        <v>0</v>
      </c>
      <c r="BC94" s="4223"/>
      <c r="BD94" s="4326">
        <v>4720</v>
      </c>
      <c r="BE94" s="4223">
        <f>AA94+AC94</f>
        <v>534</v>
      </c>
      <c r="BF94" s="4339"/>
      <c r="BG94" s="4334">
        <f>SUM(V94:V96)</f>
        <v>0</v>
      </c>
      <c r="BH94" s="4334">
        <f>SUM(W94:W96)</f>
        <v>0</v>
      </c>
      <c r="BI94" s="4242"/>
      <c r="BJ94" s="4238" t="s">
        <v>691</v>
      </c>
      <c r="BK94" s="4337" t="s">
        <v>844</v>
      </c>
      <c r="BL94" s="4253">
        <v>44033</v>
      </c>
      <c r="BM94" s="4253"/>
      <c r="BN94" s="4253">
        <v>44195</v>
      </c>
      <c r="BO94" s="4253"/>
      <c r="BP94" s="4227" t="s">
        <v>693</v>
      </c>
    </row>
    <row r="95" spans="1:69" s="861" customFormat="1" ht="57.75" customHeight="1" x14ac:dyDescent="0.25">
      <c r="A95" s="1120"/>
      <c r="B95" s="71"/>
      <c r="C95" s="71"/>
      <c r="D95" s="339"/>
      <c r="E95" s="71"/>
      <c r="F95" s="340"/>
      <c r="G95" s="4311"/>
      <c r="H95" s="3593"/>
      <c r="I95" s="2882"/>
      <c r="J95" s="4172"/>
      <c r="K95" s="4316"/>
      <c r="L95" s="4301"/>
      <c r="M95" s="3479"/>
      <c r="N95" s="3264"/>
      <c r="O95" s="3189"/>
      <c r="P95" s="4304"/>
      <c r="Q95" s="4273"/>
      <c r="R95" s="3189"/>
      <c r="S95" s="3189"/>
      <c r="T95" s="3071"/>
      <c r="U95" s="1089">
        <v>10000000</v>
      </c>
      <c r="V95" s="1089">
        <v>0</v>
      </c>
      <c r="W95" s="1089">
        <v>0</v>
      </c>
      <c r="X95" s="1164">
        <v>88</v>
      </c>
      <c r="Y95" s="2508" t="s">
        <v>74</v>
      </c>
      <c r="Z95" s="4331"/>
      <c r="AA95" s="4331"/>
      <c r="AB95" s="4331"/>
      <c r="AC95" s="4133"/>
      <c r="AD95" s="4327"/>
      <c r="AE95" s="4133"/>
      <c r="AF95" s="4327"/>
      <c r="AG95" s="4133"/>
      <c r="AH95" s="4327"/>
      <c r="AI95" s="4133"/>
      <c r="AJ95" s="4327"/>
      <c r="AK95" s="4133"/>
      <c r="AL95" s="4327"/>
      <c r="AM95" s="4133"/>
      <c r="AN95" s="4327"/>
      <c r="AO95" s="4133"/>
      <c r="AP95" s="4327"/>
      <c r="AQ95" s="4133"/>
      <c r="AR95" s="4327"/>
      <c r="AS95" s="4133"/>
      <c r="AT95" s="4327"/>
      <c r="AU95" s="4133"/>
      <c r="AV95" s="4327"/>
      <c r="AW95" s="4133"/>
      <c r="AX95" s="4327"/>
      <c r="AY95" s="4133"/>
      <c r="AZ95" s="4327"/>
      <c r="BA95" s="4133"/>
      <c r="BB95" s="4327"/>
      <c r="BC95" s="4133"/>
      <c r="BD95" s="4327"/>
      <c r="BE95" s="4133"/>
      <c r="BF95" s="4340"/>
      <c r="BG95" s="4335"/>
      <c r="BH95" s="4335"/>
      <c r="BI95" s="4166"/>
      <c r="BJ95" s="4239"/>
      <c r="BK95" s="4338"/>
      <c r="BL95" s="4254"/>
      <c r="BM95" s="4254"/>
      <c r="BN95" s="4254"/>
      <c r="BO95" s="4254"/>
      <c r="BP95" s="3225"/>
    </row>
    <row r="96" spans="1:69" s="861" customFormat="1" ht="66.75" customHeight="1" x14ac:dyDescent="0.25">
      <c r="A96" s="1120"/>
      <c r="B96" s="71"/>
      <c r="C96" s="71"/>
      <c r="D96" s="339"/>
      <c r="E96" s="71"/>
      <c r="F96" s="340"/>
      <c r="G96" s="4312"/>
      <c r="H96" s="3590"/>
      <c r="I96" s="3286"/>
      <c r="J96" s="4314"/>
      <c r="K96" s="4317"/>
      <c r="L96" s="4302"/>
      <c r="M96" s="4062"/>
      <c r="N96" s="2962"/>
      <c r="O96" s="3189"/>
      <c r="P96" s="4305"/>
      <c r="Q96" s="4306"/>
      <c r="R96" s="3189"/>
      <c r="S96" s="3189"/>
      <c r="T96" s="909" t="s">
        <v>845</v>
      </c>
      <c r="U96" s="1092">
        <v>7000000</v>
      </c>
      <c r="V96" s="1092">
        <v>0</v>
      </c>
      <c r="W96" s="1092">
        <v>0</v>
      </c>
      <c r="X96" s="1065">
        <v>20</v>
      </c>
      <c r="Y96" s="2495" t="s">
        <v>85</v>
      </c>
      <c r="Z96" s="4332"/>
      <c r="AA96" s="4332"/>
      <c r="AB96" s="4332"/>
      <c r="AC96" s="4134"/>
      <c r="AD96" s="4328"/>
      <c r="AE96" s="4134"/>
      <c r="AF96" s="4328"/>
      <c r="AG96" s="4134"/>
      <c r="AH96" s="4328"/>
      <c r="AI96" s="4134"/>
      <c r="AJ96" s="4328"/>
      <c r="AK96" s="4134"/>
      <c r="AL96" s="4328"/>
      <c r="AM96" s="4134"/>
      <c r="AN96" s="4328"/>
      <c r="AO96" s="4134"/>
      <c r="AP96" s="4328"/>
      <c r="AQ96" s="4134"/>
      <c r="AR96" s="4328"/>
      <c r="AS96" s="4134"/>
      <c r="AT96" s="4328"/>
      <c r="AU96" s="4134"/>
      <c r="AV96" s="4328"/>
      <c r="AW96" s="4134"/>
      <c r="AX96" s="4328"/>
      <c r="AY96" s="4134"/>
      <c r="AZ96" s="4328"/>
      <c r="BA96" s="4134"/>
      <c r="BB96" s="4328"/>
      <c r="BC96" s="4134"/>
      <c r="BD96" s="4328"/>
      <c r="BE96" s="4134"/>
      <c r="BF96" s="4341"/>
      <c r="BG96" s="4336"/>
      <c r="BH96" s="4336"/>
      <c r="BI96" s="4167"/>
      <c r="BJ96" s="4240"/>
      <c r="BK96" s="4338"/>
      <c r="BL96" s="4255"/>
      <c r="BM96" s="4255"/>
      <c r="BN96" s="4255"/>
      <c r="BO96" s="4255"/>
      <c r="BP96" s="3384"/>
    </row>
    <row r="97" spans="1:68" ht="62.25" customHeight="1" x14ac:dyDescent="0.25">
      <c r="A97" s="121"/>
      <c r="B97" s="4"/>
      <c r="C97" s="4"/>
      <c r="D97" s="122"/>
      <c r="E97" s="4"/>
      <c r="F97" s="123"/>
      <c r="G97" s="4333" t="s">
        <v>603</v>
      </c>
      <c r="H97" s="3593">
        <v>37.5</v>
      </c>
      <c r="I97" s="2698" t="s">
        <v>846</v>
      </c>
      <c r="J97" s="2717" t="s">
        <v>847</v>
      </c>
      <c r="K97" s="2782">
        <v>2</v>
      </c>
      <c r="L97" s="4145">
        <v>2</v>
      </c>
      <c r="M97" s="2608" t="s">
        <v>848</v>
      </c>
      <c r="N97" s="2626" t="s">
        <v>849</v>
      </c>
      <c r="O97" s="4342" t="s">
        <v>850</v>
      </c>
      <c r="P97" s="3298">
        <v>0.37735849056603776</v>
      </c>
      <c r="Q97" s="4273">
        <v>79500000</v>
      </c>
      <c r="R97" s="3368" t="s">
        <v>851</v>
      </c>
      <c r="S97" s="3347" t="s">
        <v>852</v>
      </c>
      <c r="T97" s="889" t="s">
        <v>853</v>
      </c>
      <c r="U97" s="1089">
        <v>15000000</v>
      </c>
      <c r="V97" s="1165">
        <v>15000000</v>
      </c>
      <c r="W97" s="1165">
        <v>15000000</v>
      </c>
      <c r="X97" s="1090">
        <v>88</v>
      </c>
      <c r="Y97" s="2273" t="s">
        <v>74</v>
      </c>
      <c r="Z97" s="2793">
        <v>1471</v>
      </c>
      <c r="AA97" s="2583">
        <v>1471</v>
      </c>
      <c r="AB97" s="2583">
        <v>1412</v>
      </c>
      <c r="AC97" s="2583">
        <v>1412</v>
      </c>
      <c r="AD97" s="2583">
        <v>0</v>
      </c>
      <c r="AE97" s="2583"/>
      <c r="AF97" s="2583">
        <v>0</v>
      </c>
      <c r="AG97" s="2583"/>
      <c r="AH97" s="2583">
        <v>0</v>
      </c>
      <c r="AI97" s="2583"/>
      <c r="AJ97" s="2583">
        <v>0</v>
      </c>
      <c r="AK97" s="2583"/>
      <c r="AL97" s="2583">
        <v>2883</v>
      </c>
      <c r="AM97" s="2583">
        <v>2883</v>
      </c>
      <c r="AN97" s="2583">
        <v>0</v>
      </c>
      <c r="AO97" s="2583"/>
      <c r="AP97" s="2583">
        <v>0</v>
      </c>
      <c r="AQ97" s="2583"/>
      <c r="AR97" s="2583">
        <v>0</v>
      </c>
      <c r="AS97" s="2583"/>
      <c r="AT97" s="2583">
        <v>0</v>
      </c>
      <c r="AU97" s="2583"/>
      <c r="AV97" s="2583">
        <v>0</v>
      </c>
      <c r="AW97" s="2583"/>
      <c r="AX97" s="2583">
        <v>0</v>
      </c>
      <c r="AY97" s="2583"/>
      <c r="AZ97" s="2583">
        <v>0</v>
      </c>
      <c r="BA97" s="2583"/>
      <c r="BB97" s="2583">
        <v>0</v>
      </c>
      <c r="BC97" s="2583"/>
      <c r="BD97" s="2583">
        <v>500</v>
      </c>
      <c r="BE97" s="2583">
        <f>AA97+AC97</f>
        <v>2883</v>
      </c>
      <c r="BF97" s="2583">
        <v>2</v>
      </c>
      <c r="BG97" s="4285">
        <f>SUM(V97:V101)</f>
        <v>79500000</v>
      </c>
      <c r="BH97" s="4285">
        <f>SUM(W97:W101)</f>
        <v>79500000</v>
      </c>
      <c r="BI97" s="3391">
        <f>BH97/BG97</f>
        <v>1</v>
      </c>
      <c r="BJ97" s="2583" t="s">
        <v>691</v>
      </c>
      <c r="BK97" s="2584" t="s">
        <v>854</v>
      </c>
      <c r="BL97" s="4295">
        <v>44033</v>
      </c>
      <c r="BM97" s="4190">
        <v>44044</v>
      </c>
      <c r="BN97" s="4295">
        <v>44195</v>
      </c>
      <c r="BO97" s="4295">
        <v>44195</v>
      </c>
      <c r="BP97" s="2988" t="s">
        <v>693</v>
      </c>
    </row>
    <row r="98" spans="1:68" ht="62.25" customHeight="1" x14ac:dyDescent="0.25">
      <c r="A98" s="121"/>
      <c r="B98" s="4"/>
      <c r="C98" s="4"/>
      <c r="D98" s="122"/>
      <c r="E98" s="4"/>
      <c r="F98" s="123"/>
      <c r="G98" s="4312"/>
      <c r="H98" s="3593"/>
      <c r="I98" s="2698"/>
      <c r="J98" s="2717"/>
      <c r="K98" s="2783"/>
      <c r="L98" s="4147"/>
      <c r="M98" s="2608"/>
      <c r="N98" s="2626"/>
      <c r="O98" s="4342"/>
      <c r="P98" s="3298"/>
      <c r="Q98" s="4273"/>
      <c r="R98" s="3368"/>
      <c r="S98" s="3347"/>
      <c r="T98" s="889" t="s">
        <v>855</v>
      </c>
      <c r="U98" s="1089">
        <v>15000000</v>
      </c>
      <c r="V98" s="1165">
        <v>15000000</v>
      </c>
      <c r="W98" s="1165">
        <v>15000000</v>
      </c>
      <c r="X98" s="1090">
        <v>88</v>
      </c>
      <c r="Y98" s="2273" t="s">
        <v>74</v>
      </c>
      <c r="Z98" s="2794"/>
      <c r="AA98" s="2584"/>
      <c r="AB98" s="2584"/>
      <c r="AC98" s="2584"/>
      <c r="AD98" s="2584"/>
      <c r="AE98" s="2584"/>
      <c r="AF98" s="2584"/>
      <c r="AG98" s="2584"/>
      <c r="AH98" s="2584"/>
      <c r="AI98" s="2584"/>
      <c r="AJ98" s="2584"/>
      <c r="AK98" s="2584"/>
      <c r="AL98" s="2584"/>
      <c r="AM98" s="2584"/>
      <c r="AN98" s="2584"/>
      <c r="AO98" s="2584"/>
      <c r="AP98" s="2584"/>
      <c r="AQ98" s="2584"/>
      <c r="AR98" s="2584"/>
      <c r="AS98" s="2584"/>
      <c r="AT98" s="2584"/>
      <c r="AU98" s="2584"/>
      <c r="AV98" s="2584"/>
      <c r="AW98" s="2584"/>
      <c r="AX98" s="2584"/>
      <c r="AY98" s="2584"/>
      <c r="AZ98" s="2584"/>
      <c r="BA98" s="2584"/>
      <c r="BB98" s="2584"/>
      <c r="BC98" s="2584"/>
      <c r="BD98" s="2584"/>
      <c r="BE98" s="2584"/>
      <c r="BF98" s="2584"/>
      <c r="BG98" s="4286"/>
      <c r="BH98" s="4286"/>
      <c r="BI98" s="3392"/>
      <c r="BJ98" s="2584"/>
      <c r="BK98" s="2584"/>
      <c r="BL98" s="4295"/>
      <c r="BM98" s="4202"/>
      <c r="BN98" s="4295"/>
      <c r="BO98" s="4295"/>
      <c r="BP98" s="2988"/>
    </row>
    <row r="99" spans="1:68" ht="62.25" customHeight="1" x14ac:dyDescent="0.25">
      <c r="A99" s="121"/>
      <c r="B99" s="4"/>
      <c r="C99" s="4"/>
      <c r="D99" s="122"/>
      <c r="E99" s="4"/>
      <c r="F99" s="123"/>
      <c r="G99" s="4333" t="s">
        <v>603</v>
      </c>
      <c r="H99" s="3593">
        <v>37.6</v>
      </c>
      <c r="I99" s="2698" t="s">
        <v>856</v>
      </c>
      <c r="J99" s="2717" t="s">
        <v>857</v>
      </c>
      <c r="K99" s="2813">
        <v>2</v>
      </c>
      <c r="L99" s="4145">
        <v>2</v>
      </c>
      <c r="M99" s="2608"/>
      <c r="N99" s="2626"/>
      <c r="O99" s="4342"/>
      <c r="P99" s="3298">
        <v>0.62264150943396224</v>
      </c>
      <c r="Q99" s="4273"/>
      <c r="R99" s="3368"/>
      <c r="S99" s="3347"/>
      <c r="T99" s="889" t="s">
        <v>858</v>
      </c>
      <c r="U99" s="1089">
        <v>24750000</v>
      </c>
      <c r="V99" s="1089">
        <v>24750000</v>
      </c>
      <c r="W99" s="1089">
        <v>24750000</v>
      </c>
      <c r="X99" s="1065">
        <v>20</v>
      </c>
      <c r="Y99" s="2495" t="s">
        <v>85</v>
      </c>
      <c r="Z99" s="2794"/>
      <c r="AA99" s="2584"/>
      <c r="AB99" s="2584"/>
      <c r="AC99" s="2584"/>
      <c r="AD99" s="2584"/>
      <c r="AE99" s="2584"/>
      <c r="AF99" s="2584"/>
      <c r="AG99" s="2584"/>
      <c r="AH99" s="2584"/>
      <c r="AI99" s="2584"/>
      <c r="AJ99" s="2584"/>
      <c r="AK99" s="2584"/>
      <c r="AL99" s="2584"/>
      <c r="AM99" s="2584"/>
      <c r="AN99" s="2584"/>
      <c r="AO99" s="2584"/>
      <c r="AP99" s="2584"/>
      <c r="AQ99" s="2584"/>
      <c r="AR99" s="2584"/>
      <c r="AS99" s="2584"/>
      <c r="AT99" s="2584"/>
      <c r="AU99" s="2584"/>
      <c r="AV99" s="2584"/>
      <c r="AW99" s="2584"/>
      <c r="AX99" s="2584"/>
      <c r="AY99" s="2584"/>
      <c r="AZ99" s="2584"/>
      <c r="BA99" s="2584"/>
      <c r="BB99" s="2584"/>
      <c r="BC99" s="2584"/>
      <c r="BD99" s="2584"/>
      <c r="BE99" s="2584"/>
      <c r="BF99" s="2584"/>
      <c r="BG99" s="4286"/>
      <c r="BH99" s="4286"/>
      <c r="BI99" s="3392"/>
      <c r="BJ99" s="2584"/>
      <c r="BK99" s="2584"/>
      <c r="BL99" s="4295"/>
      <c r="BM99" s="4202"/>
      <c r="BN99" s="4295"/>
      <c r="BO99" s="4295"/>
      <c r="BP99" s="2988"/>
    </row>
    <row r="100" spans="1:68" ht="62.25" customHeight="1" x14ac:dyDescent="0.25">
      <c r="A100" s="121"/>
      <c r="B100" s="4"/>
      <c r="C100" s="4"/>
      <c r="D100" s="122"/>
      <c r="E100" s="4"/>
      <c r="F100" s="123"/>
      <c r="G100" s="4311"/>
      <c r="H100" s="3593"/>
      <c r="I100" s="2698"/>
      <c r="J100" s="2717"/>
      <c r="K100" s="2782"/>
      <c r="L100" s="4146"/>
      <c r="M100" s="2608"/>
      <c r="N100" s="2626"/>
      <c r="O100" s="4342"/>
      <c r="P100" s="3298"/>
      <c r="Q100" s="4273"/>
      <c r="R100" s="3368"/>
      <c r="S100" s="3347"/>
      <c r="T100" s="889" t="s">
        <v>859</v>
      </c>
      <c r="U100" s="1089">
        <v>24750000</v>
      </c>
      <c r="V100" s="1089">
        <v>24750000</v>
      </c>
      <c r="W100" s="1089">
        <v>24750000</v>
      </c>
      <c r="X100" s="1065">
        <v>20</v>
      </c>
      <c r="Y100" s="2495" t="s">
        <v>85</v>
      </c>
      <c r="Z100" s="2794"/>
      <c r="AA100" s="2584"/>
      <c r="AB100" s="2584"/>
      <c r="AC100" s="2584"/>
      <c r="AD100" s="2584"/>
      <c r="AE100" s="2584"/>
      <c r="AF100" s="2584"/>
      <c r="AG100" s="2584"/>
      <c r="AH100" s="2584"/>
      <c r="AI100" s="2584"/>
      <c r="AJ100" s="2584"/>
      <c r="AK100" s="2584"/>
      <c r="AL100" s="2584"/>
      <c r="AM100" s="2584"/>
      <c r="AN100" s="2584"/>
      <c r="AO100" s="2584"/>
      <c r="AP100" s="2584"/>
      <c r="AQ100" s="2584"/>
      <c r="AR100" s="2584"/>
      <c r="AS100" s="2584"/>
      <c r="AT100" s="2584"/>
      <c r="AU100" s="2584"/>
      <c r="AV100" s="2584"/>
      <c r="AW100" s="2584"/>
      <c r="AX100" s="2584"/>
      <c r="AY100" s="2584"/>
      <c r="AZ100" s="2584"/>
      <c r="BA100" s="2584"/>
      <c r="BB100" s="2584"/>
      <c r="BC100" s="2584"/>
      <c r="BD100" s="2584"/>
      <c r="BE100" s="2584"/>
      <c r="BF100" s="2584"/>
      <c r="BG100" s="4286"/>
      <c r="BH100" s="4286"/>
      <c r="BI100" s="3392"/>
      <c r="BJ100" s="2584"/>
      <c r="BK100" s="2584"/>
      <c r="BL100" s="4295"/>
      <c r="BM100" s="4202"/>
      <c r="BN100" s="4295"/>
      <c r="BO100" s="4295"/>
      <c r="BP100" s="2988"/>
    </row>
    <row r="101" spans="1:68" ht="62.25" customHeight="1" x14ac:dyDescent="0.25">
      <c r="A101" s="121"/>
      <c r="B101" s="4"/>
      <c r="C101" s="4"/>
      <c r="D101" s="122"/>
      <c r="E101" s="4"/>
      <c r="F101" s="123"/>
      <c r="G101" s="4312"/>
      <c r="H101" s="3590"/>
      <c r="I101" s="2788"/>
      <c r="J101" s="2863"/>
      <c r="K101" s="2782"/>
      <c r="L101" s="4147"/>
      <c r="M101" s="2645"/>
      <c r="N101" s="3167"/>
      <c r="O101" s="3970"/>
      <c r="P101" s="4183"/>
      <c r="Q101" s="4306"/>
      <c r="R101" s="3366"/>
      <c r="S101" s="3345"/>
      <c r="T101" s="885" t="s">
        <v>830</v>
      </c>
      <c r="U101" s="1092"/>
      <c r="V101" s="1166">
        <v>0</v>
      </c>
      <c r="W101" s="1092">
        <v>0</v>
      </c>
      <c r="X101" s="1065">
        <v>20</v>
      </c>
      <c r="Y101" s="2495" t="s">
        <v>85</v>
      </c>
      <c r="Z101" s="4085"/>
      <c r="AA101" s="3349"/>
      <c r="AB101" s="2584"/>
      <c r="AC101" s="3349"/>
      <c r="AD101" s="2584"/>
      <c r="AE101" s="3349"/>
      <c r="AF101" s="2584"/>
      <c r="AG101" s="3349"/>
      <c r="AH101" s="2584"/>
      <c r="AI101" s="3349"/>
      <c r="AJ101" s="2584"/>
      <c r="AK101" s="3349"/>
      <c r="AL101" s="2584"/>
      <c r="AM101" s="3349"/>
      <c r="AN101" s="2584"/>
      <c r="AO101" s="3349"/>
      <c r="AP101" s="2584"/>
      <c r="AQ101" s="3349"/>
      <c r="AR101" s="2584"/>
      <c r="AS101" s="3349"/>
      <c r="AT101" s="2584"/>
      <c r="AU101" s="3349"/>
      <c r="AV101" s="2584"/>
      <c r="AW101" s="3349"/>
      <c r="AX101" s="2584"/>
      <c r="AY101" s="3349"/>
      <c r="AZ101" s="2584"/>
      <c r="BA101" s="3349"/>
      <c r="BB101" s="2584"/>
      <c r="BC101" s="3349"/>
      <c r="BD101" s="2584"/>
      <c r="BE101" s="3349"/>
      <c r="BF101" s="3349"/>
      <c r="BG101" s="4343"/>
      <c r="BH101" s="4343"/>
      <c r="BI101" s="4205"/>
      <c r="BJ101" s="3349"/>
      <c r="BK101" s="3349"/>
      <c r="BL101" s="2583"/>
      <c r="BM101" s="4344"/>
      <c r="BN101" s="2583"/>
      <c r="BO101" s="2583"/>
      <c r="BP101" s="2583"/>
    </row>
    <row r="102" spans="1:68" ht="75" customHeight="1" x14ac:dyDescent="0.25">
      <c r="A102" s="121"/>
      <c r="B102" s="4"/>
      <c r="C102" s="4"/>
      <c r="D102" s="3415"/>
      <c r="E102" s="4235"/>
      <c r="F102" s="3417"/>
      <c r="G102" s="4333" t="s">
        <v>603</v>
      </c>
      <c r="H102" s="3593">
        <v>37.700000000000003</v>
      </c>
      <c r="I102" s="2698" t="s">
        <v>860</v>
      </c>
      <c r="J102" s="2717" t="s">
        <v>861</v>
      </c>
      <c r="K102" s="2625">
        <v>1</v>
      </c>
      <c r="L102" s="4145">
        <v>1</v>
      </c>
      <c r="M102" s="2608" t="s">
        <v>862</v>
      </c>
      <c r="N102" s="2626" t="s">
        <v>863</v>
      </c>
      <c r="O102" s="2698" t="s">
        <v>864</v>
      </c>
      <c r="P102" s="3298">
        <v>1</v>
      </c>
      <c r="Q102" s="4273">
        <v>30000000</v>
      </c>
      <c r="R102" s="2698" t="s">
        <v>865</v>
      </c>
      <c r="S102" s="2698" t="s">
        <v>866</v>
      </c>
      <c r="T102" s="889" t="s">
        <v>867</v>
      </c>
      <c r="U102" s="1089">
        <v>12500000</v>
      </c>
      <c r="V102" s="1927">
        <v>7158654</v>
      </c>
      <c r="W102" s="1927">
        <v>7158654</v>
      </c>
      <c r="X102" s="1090">
        <v>88</v>
      </c>
      <c r="Y102" s="2273" t="s">
        <v>74</v>
      </c>
      <c r="Z102" s="2626">
        <v>3200</v>
      </c>
      <c r="AA102" s="3167">
        <v>3200</v>
      </c>
      <c r="AB102" s="2626">
        <v>2800</v>
      </c>
      <c r="AC102" s="3167">
        <v>2800</v>
      </c>
      <c r="AD102" s="2626">
        <v>0</v>
      </c>
      <c r="AE102" s="2626"/>
      <c r="AF102" s="2626">
        <v>0</v>
      </c>
      <c r="AG102" s="2626"/>
      <c r="AH102" s="2626">
        <v>0</v>
      </c>
      <c r="AI102" s="2626"/>
      <c r="AJ102" s="2626">
        <v>0</v>
      </c>
      <c r="AK102" s="2626"/>
      <c r="AL102" s="2626">
        <v>0</v>
      </c>
      <c r="AM102" s="2626"/>
      <c r="AN102" s="2626">
        <v>6000</v>
      </c>
      <c r="AO102" s="2626">
        <v>6000</v>
      </c>
      <c r="AP102" s="2626">
        <v>0</v>
      </c>
      <c r="AQ102" s="2626"/>
      <c r="AR102" s="2626">
        <v>0</v>
      </c>
      <c r="AS102" s="2626"/>
      <c r="AT102" s="2626">
        <v>0</v>
      </c>
      <c r="AU102" s="2626"/>
      <c r="AV102" s="2626">
        <v>0</v>
      </c>
      <c r="AW102" s="2626"/>
      <c r="AX102" s="2626">
        <v>0</v>
      </c>
      <c r="AY102" s="2626"/>
      <c r="AZ102" s="2626">
        <v>0</v>
      </c>
      <c r="BA102" s="2626"/>
      <c r="BB102" s="2626">
        <v>0</v>
      </c>
      <c r="BC102" s="2626"/>
      <c r="BD102" s="2626">
        <v>60000</v>
      </c>
      <c r="BE102" s="2626">
        <f>AA102+AC102</f>
        <v>6000</v>
      </c>
      <c r="BF102" s="3167">
        <v>6</v>
      </c>
      <c r="BG102" s="4180">
        <f>SUM(V102:V106)</f>
        <v>18318654</v>
      </c>
      <c r="BH102" s="4180">
        <f>SUM(W102:W106)</f>
        <v>18318654</v>
      </c>
      <c r="BI102" s="4213">
        <f>BH102/BG102</f>
        <v>1</v>
      </c>
      <c r="BJ102" s="3167" t="s">
        <v>691</v>
      </c>
      <c r="BK102" s="3167" t="s">
        <v>854</v>
      </c>
      <c r="BL102" s="4211">
        <v>44033</v>
      </c>
      <c r="BM102" s="4214">
        <v>44044</v>
      </c>
      <c r="BN102" s="4211">
        <v>44195</v>
      </c>
      <c r="BO102" s="4211">
        <v>44195</v>
      </c>
      <c r="BP102" s="2626" t="s">
        <v>693</v>
      </c>
    </row>
    <row r="103" spans="1:68" ht="75" customHeight="1" x14ac:dyDescent="0.25">
      <c r="A103" s="121"/>
      <c r="B103" s="4"/>
      <c r="C103" s="4"/>
      <c r="D103" s="3415"/>
      <c r="E103" s="4235"/>
      <c r="F103" s="3417"/>
      <c r="G103" s="4311"/>
      <c r="H103" s="3593"/>
      <c r="I103" s="2698"/>
      <c r="J103" s="2717"/>
      <c r="K103" s="2625"/>
      <c r="L103" s="4146"/>
      <c r="M103" s="2608"/>
      <c r="N103" s="2626"/>
      <c r="O103" s="2698"/>
      <c r="P103" s="3298"/>
      <c r="Q103" s="4273"/>
      <c r="R103" s="2698"/>
      <c r="S103" s="2698"/>
      <c r="T103" s="889" t="s">
        <v>868</v>
      </c>
      <c r="U103" s="1089">
        <v>6250000</v>
      </c>
      <c r="V103" s="1089">
        <v>3080000</v>
      </c>
      <c r="W103" s="1089">
        <v>3080000</v>
      </c>
      <c r="X103" s="1090">
        <v>88</v>
      </c>
      <c r="Y103" s="2273" t="s">
        <v>74</v>
      </c>
      <c r="Z103" s="2626"/>
      <c r="AA103" s="3019"/>
      <c r="AB103" s="2626"/>
      <c r="AC103" s="3019"/>
      <c r="AD103" s="2626"/>
      <c r="AE103" s="2626"/>
      <c r="AF103" s="2626"/>
      <c r="AG103" s="2626"/>
      <c r="AH103" s="2626"/>
      <c r="AI103" s="2626"/>
      <c r="AJ103" s="2626"/>
      <c r="AK103" s="2626"/>
      <c r="AL103" s="2626"/>
      <c r="AM103" s="2626"/>
      <c r="AN103" s="2626"/>
      <c r="AO103" s="2626"/>
      <c r="AP103" s="2626"/>
      <c r="AQ103" s="2626"/>
      <c r="AR103" s="2626"/>
      <c r="AS103" s="2626"/>
      <c r="AT103" s="2626"/>
      <c r="AU103" s="2626"/>
      <c r="AV103" s="2626"/>
      <c r="AW103" s="2626"/>
      <c r="AX103" s="2626"/>
      <c r="AY103" s="2626"/>
      <c r="AZ103" s="2626"/>
      <c r="BA103" s="2626"/>
      <c r="BB103" s="2626"/>
      <c r="BC103" s="2626"/>
      <c r="BD103" s="2626"/>
      <c r="BE103" s="2626"/>
      <c r="BF103" s="3019"/>
      <c r="BG103" s="4181"/>
      <c r="BH103" s="4181"/>
      <c r="BI103" s="4230"/>
      <c r="BJ103" s="3019"/>
      <c r="BK103" s="3019"/>
      <c r="BL103" s="4211"/>
      <c r="BM103" s="4215"/>
      <c r="BN103" s="4211"/>
      <c r="BO103" s="4211"/>
      <c r="BP103" s="2626"/>
    </row>
    <row r="104" spans="1:68" ht="75" customHeight="1" x14ac:dyDescent="0.25">
      <c r="A104" s="121"/>
      <c r="B104" s="4"/>
      <c r="C104" s="4"/>
      <c r="D104" s="3415"/>
      <c r="E104" s="4235"/>
      <c r="F104" s="3417"/>
      <c r="G104" s="4311"/>
      <c r="H104" s="3593"/>
      <c r="I104" s="2698"/>
      <c r="J104" s="2717"/>
      <c r="K104" s="2625"/>
      <c r="L104" s="4146"/>
      <c r="M104" s="2608"/>
      <c r="N104" s="2626"/>
      <c r="O104" s="2698"/>
      <c r="P104" s="3298"/>
      <c r="Q104" s="4273"/>
      <c r="R104" s="2698"/>
      <c r="S104" s="2698"/>
      <c r="T104" s="889" t="s">
        <v>869</v>
      </c>
      <c r="U104" s="1089">
        <v>6250000</v>
      </c>
      <c r="V104" s="1089">
        <v>3080000</v>
      </c>
      <c r="W104" s="1089">
        <v>3080000</v>
      </c>
      <c r="X104" s="1090">
        <v>88</v>
      </c>
      <c r="Y104" s="2273" t="s">
        <v>74</v>
      </c>
      <c r="Z104" s="2626"/>
      <c r="AA104" s="3019"/>
      <c r="AB104" s="2626"/>
      <c r="AC104" s="3019"/>
      <c r="AD104" s="2626"/>
      <c r="AE104" s="2626"/>
      <c r="AF104" s="2626"/>
      <c r="AG104" s="2626"/>
      <c r="AH104" s="2626"/>
      <c r="AI104" s="2626"/>
      <c r="AJ104" s="2626"/>
      <c r="AK104" s="2626"/>
      <c r="AL104" s="2626"/>
      <c r="AM104" s="2626"/>
      <c r="AN104" s="2626"/>
      <c r="AO104" s="2626"/>
      <c r="AP104" s="2626"/>
      <c r="AQ104" s="2626"/>
      <c r="AR104" s="2626"/>
      <c r="AS104" s="2626"/>
      <c r="AT104" s="2626"/>
      <c r="AU104" s="2626"/>
      <c r="AV104" s="2626"/>
      <c r="AW104" s="2626"/>
      <c r="AX104" s="2626"/>
      <c r="AY104" s="2626"/>
      <c r="AZ104" s="2626"/>
      <c r="BA104" s="2626"/>
      <c r="BB104" s="2626"/>
      <c r="BC104" s="2626"/>
      <c r="BD104" s="2626"/>
      <c r="BE104" s="2626"/>
      <c r="BF104" s="3019"/>
      <c r="BG104" s="4181"/>
      <c r="BH104" s="4181"/>
      <c r="BI104" s="4230"/>
      <c r="BJ104" s="3019"/>
      <c r="BK104" s="3019"/>
      <c r="BL104" s="4211"/>
      <c r="BM104" s="4215"/>
      <c r="BN104" s="4211"/>
      <c r="BO104" s="4211"/>
      <c r="BP104" s="2626"/>
    </row>
    <row r="105" spans="1:68" ht="41.25" customHeight="1" x14ac:dyDescent="0.25">
      <c r="A105" s="121"/>
      <c r="B105" s="4"/>
      <c r="C105" s="4"/>
      <c r="D105" s="3415"/>
      <c r="E105" s="4235"/>
      <c r="F105" s="3417"/>
      <c r="G105" s="4311"/>
      <c r="H105" s="3593"/>
      <c r="I105" s="2698"/>
      <c r="J105" s="2717"/>
      <c r="K105" s="2625"/>
      <c r="L105" s="4146"/>
      <c r="M105" s="2608"/>
      <c r="N105" s="2626"/>
      <c r="O105" s="2698"/>
      <c r="P105" s="3298"/>
      <c r="Q105" s="4273"/>
      <c r="R105" s="2698"/>
      <c r="S105" s="2698"/>
      <c r="T105" s="889" t="s">
        <v>870</v>
      </c>
      <c r="U105" s="1089">
        <v>5000000</v>
      </c>
      <c r="V105" s="1089">
        <v>5000000</v>
      </c>
      <c r="W105" s="1089">
        <v>5000000</v>
      </c>
      <c r="X105" s="1090">
        <v>88</v>
      </c>
      <c r="Y105" s="2273" t="s">
        <v>74</v>
      </c>
      <c r="Z105" s="2626"/>
      <c r="AA105" s="3019"/>
      <c r="AB105" s="2626"/>
      <c r="AC105" s="3019"/>
      <c r="AD105" s="2626"/>
      <c r="AE105" s="2626"/>
      <c r="AF105" s="2626"/>
      <c r="AG105" s="2626"/>
      <c r="AH105" s="2626"/>
      <c r="AI105" s="2626"/>
      <c r="AJ105" s="2626"/>
      <c r="AK105" s="2626"/>
      <c r="AL105" s="2626"/>
      <c r="AM105" s="2626"/>
      <c r="AN105" s="2626"/>
      <c r="AO105" s="2626"/>
      <c r="AP105" s="2626"/>
      <c r="AQ105" s="2626"/>
      <c r="AR105" s="2626"/>
      <c r="AS105" s="2626"/>
      <c r="AT105" s="2626"/>
      <c r="AU105" s="2626"/>
      <c r="AV105" s="2626"/>
      <c r="AW105" s="2626"/>
      <c r="AX105" s="2626"/>
      <c r="AY105" s="2626"/>
      <c r="AZ105" s="2626"/>
      <c r="BA105" s="2626"/>
      <c r="BB105" s="2626"/>
      <c r="BC105" s="2626"/>
      <c r="BD105" s="2626"/>
      <c r="BE105" s="2626"/>
      <c r="BF105" s="3019"/>
      <c r="BG105" s="4181"/>
      <c r="BH105" s="4181"/>
      <c r="BI105" s="4230"/>
      <c r="BJ105" s="3019"/>
      <c r="BK105" s="3019"/>
      <c r="BL105" s="4211"/>
      <c r="BM105" s="4215"/>
      <c r="BN105" s="4211"/>
      <c r="BO105" s="4211"/>
      <c r="BP105" s="2626"/>
    </row>
    <row r="106" spans="1:68" ht="54.75" customHeight="1" x14ac:dyDescent="0.25">
      <c r="A106" s="121"/>
      <c r="B106" s="4"/>
      <c r="C106" s="4"/>
      <c r="D106" s="4266"/>
      <c r="E106" s="4267"/>
      <c r="F106" s="4268"/>
      <c r="G106" s="4312"/>
      <c r="H106" s="3593"/>
      <c r="I106" s="2698"/>
      <c r="J106" s="2717"/>
      <c r="K106" s="2625"/>
      <c r="L106" s="4147"/>
      <c r="M106" s="2608"/>
      <c r="N106" s="2626"/>
      <c r="O106" s="2698"/>
      <c r="P106" s="3298"/>
      <c r="Q106" s="4273"/>
      <c r="R106" s="2698"/>
      <c r="S106" s="2698"/>
      <c r="T106" s="889" t="s">
        <v>871</v>
      </c>
      <c r="U106" s="1089">
        <v>0</v>
      </c>
      <c r="V106" s="1089">
        <v>0</v>
      </c>
      <c r="W106" s="1089">
        <v>0</v>
      </c>
      <c r="X106" s="1090">
        <v>88</v>
      </c>
      <c r="Y106" s="2273" t="s">
        <v>74</v>
      </c>
      <c r="Z106" s="2626"/>
      <c r="AA106" s="3168"/>
      <c r="AB106" s="2626"/>
      <c r="AC106" s="3168"/>
      <c r="AD106" s="2626"/>
      <c r="AE106" s="2626"/>
      <c r="AF106" s="2626"/>
      <c r="AG106" s="2626"/>
      <c r="AH106" s="2626"/>
      <c r="AI106" s="2626"/>
      <c r="AJ106" s="2626"/>
      <c r="AK106" s="2626"/>
      <c r="AL106" s="2626"/>
      <c r="AM106" s="2626"/>
      <c r="AN106" s="2626"/>
      <c r="AO106" s="2626"/>
      <c r="AP106" s="2626"/>
      <c r="AQ106" s="2626"/>
      <c r="AR106" s="2626"/>
      <c r="AS106" s="2626"/>
      <c r="AT106" s="2626"/>
      <c r="AU106" s="2626"/>
      <c r="AV106" s="2626"/>
      <c r="AW106" s="2626"/>
      <c r="AX106" s="2626"/>
      <c r="AY106" s="2626"/>
      <c r="AZ106" s="2626"/>
      <c r="BA106" s="2626"/>
      <c r="BB106" s="2626"/>
      <c r="BC106" s="2626"/>
      <c r="BD106" s="2626"/>
      <c r="BE106" s="2626"/>
      <c r="BF106" s="3168"/>
      <c r="BG106" s="4182"/>
      <c r="BH106" s="4182"/>
      <c r="BI106" s="4231"/>
      <c r="BJ106" s="3168"/>
      <c r="BK106" s="3168"/>
      <c r="BL106" s="4211"/>
      <c r="BM106" s="4216"/>
      <c r="BN106" s="4211"/>
      <c r="BO106" s="4211"/>
      <c r="BP106" s="2626"/>
    </row>
    <row r="107" spans="1:68" ht="20.25" customHeight="1" thickBot="1" x14ac:dyDescent="0.3">
      <c r="A107" s="121"/>
      <c r="B107" s="4"/>
      <c r="C107" s="4"/>
      <c r="D107" s="915">
        <v>38</v>
      </c>
      <c r="E107" s="1135" t="s">
        <v>872</v>
      </c>
      <c r="F107" s="1136"/>
      <c r="G107" s="1137"/>
      <c r="H107" s="1138"/>
      <c r="I107" s="1139"/>
      <c r="J107" s="1139"/>
      <c r="K107" s="1167"/>
      <c r="L107" s="1168"/>
      <c r="M107" s="1139"/>
      <c r="N107" s="1169"/>
      <c r="O107" s="1139"/>
      <c r="P107" s="1142"/>
      <c r="Q107" s="1143"/>
      <c r="R107" s="1139"/>
      <c r="S107" s="1139"/>
      <c r="T107" s="1170"/>
      <c r="U107" s="1171"/>
      <c r="V107" s="1171"/>
      <c r="W107" s="1171"/>
      <c r="X107" s="1172"/>
      <c r="Y107" s="1083"/>
      <c r="Z107" s="1146"/>
      <c r="AA107" s="1146"/>
      <c r="AB107" s="1146"/>
      <c r="AC107" s="1146"/>
      <c r="AD107" s="1146"/>
      <c r="AE107" s="1146"/>
      <c r="AF107" s="1146"/>
      <c r="AG107" s="1146"/>
      <c r="AH107" s="1146"/>
      <c r="AI107" s="1146"/>
      <c r="AJ107" s="1146"/>
      <c r="AK107" s="1146"/>
      <c r="AL107" s="1146"/>
      <c r="AM107" s="1146"/>
      <c r="AN107" s="1146"/>
      <c r="AO107" s="1146"/>
      <c r="AP107" s="1146"/>
      <c r="AQ107" s="1146"/>
      <c r="AR107" s="1146"/>
      <c r="AS107" s="1146"/>
      <c r="AT107" s="1146"/>
      <c r="AU107" s="1146"/>
      <c r="AV107" s="1146"/>
      <c r="AW107" s="1146"/>
      <c r="AX107" s="1146"/>
      <c r="AY107" s="1146"/>
      <c r="AZ107" s="1146"/>
      <c r="BA107" s="1146"/>
      <c r="BB107" s="1146"/>
      <c r="BC107" s="1146"/>
      <c r="BD107" s="1146"/>
      <c r="BE107" s="1146"/>
      <c r="BF107" s="1146"/>
      <c r="BG107" s="1147"/>
      <c r="BH107" s="1147"/>
      <c r="BI107" s="1146"/>
      <c r="BJ107" s="1146"/>
      <c r="BK107" s="1138"/>
      <c r="BL107" s="1146"/>
      <c r="BM107" s="1146"/>
      <c r="BN107" s="1146"/>
      <c r="BO107" s="1146"/>
      <c r="BP107" s="1138"/>
    </row>
    <row r="108" spans="1:68" s="861" customFormat="1" ht="83.25" customHeight="1" x14ac:dyDescent="0.25">
      <c r="A108" s="1120"/>
      <c r="B108" s="71"/>
      <c r="C108" s="71"/>
      <c r="D108" s="334"/>
      <c r="E108" s="239"/>
      <c r="F108" s="335"/>
      <c r="G108" s="4345" t="s">
        <v>873</v>
      </c>
      <c r="H108" s="4348" t="s">
        <v>874</v>
      </c>
      <c r="I108" s="2908" t="s">
        <v>875</v>
      </c>
      <c r="J108" s="3647" t="s">
        <v>876</v>
      </c>
      <c r="K108" s="3576">
        <v>20</v>
      </c>
      <c r="L108" s="4126">
        <v>0</v>
      </c>
      <c r="M108" s="3647" t="s">
        <v>838</v>
      </c>
      <c r="N108" s="3224" t="s">
        <v>839</v>
      </c>
      <c r="O108" s="2908" t="s">
        <v>840</v>
      </c>
      <c r="P108" s="3226">
        <v>0.5</v>
      </c>
      <c r="Q108" s="4284">
        <v>39000000</v>
      </c>
      <c r="R108" s="2908" t="s">
        <v>841</v>
      </c>
      <c r="S108" s="3737" t="s">
        <v>842</v>
      </c>
      <c r="T108" s="3070" t="s">
        <v>877</v>
      </c>
      <c r="U108" s="1089">
        <v>10666667</v>
      </c>
      <c r="V108" s="1089">
        <v>0</v>
      </c>
      <c r="W108" s="1089">
        <v>0</v>
      </c>
      <c r="X108" s="1105">
        <v>20</v>
      </c>
      <c r="Y108" s="2494" t="s">
        <v>85</v>
      </c>
      <c r="Z108" s="4353">
        <v>2360</v>
      </c>
      <c r="AA108" s="4351">
        <v>500</v>
      </c>
      <c r="AB108" s="4351">
        <v>2360</v>
      </c>
      <c r="AC108" s="4351">
        <v>409</v>
      </c>
      <c r="AD108" s="4351">
        <v>1500</v>
      </c>
      <c r="AE108" s="4351"/>
      <c r="AF108" s="4351">
        <v>480</v>
      </c>
      <c r="AG108" s="4351"/>
      <c r="AH108" s="4351">
        <v>1200</v>
      </c>
      <c r="AI108" s="4351">
        <v>774</v>
      </c>
      <c r="AJ108" s="4351">
        <v>1500</v>
      </c>
      <c r="AK108" s="4351">
        <v>135</v>
      </c>
      <c r="AL108" s="4351">
        <v>20</v>
      </c>
      <c r="AM108" s="4351"/>
      <c r="AN108" s="4351">
        <v>20</v>
      </c>
      <c r="AO108" s="4351"/>
      <c r="AP108" s="4351">
        <v>0</v>
      </c>
      <c r="AQ108" s="4351"/>
      <c r="AR108" s="4351">
        <v>0</v>
      </c>
      <c r="AS108" s="4351"/>
      <c r="AT108" s="4351">
        <v>0</v>
      </c>
      <c r="AU108" s="4351"/>
      <c r="AV108" s="4351">
        <v>0</v>
      </c>
      <c r="AW108" s="4351"/>
      <c r="AX108" s="4351">
        <v>1000</v>
      </c>
      <c r="AY108" s="4351"/>
      <c r="AZ108" s="4351">
        <v>0</v>
      </c>
      <c r="BA108" s="4351">
        <v>909</v>
      </c>
      <c r="BB108" s="4351">
        <v>0</v>
      </c>
      <c r="BC108" s="4351"/>
      <c r="BD108" s="4351">
        <v>4720</v>
      </c>
      <c r="BE108" s="4356">
        <f>AA108+AC108</f>
        <v>909</v>
      </c>
      <c r="BF108" s="4356">
        <v>3</v>
      </c>
      <c r="BG108" s="4142">
        <f>SUM(V108:V115)</f>
        <v>13973304</v>
      </c>
      <c r="BH108" s="4142">
        <f>SUM(W108:W115)</f>
        <v>13973304</v>
      </c>
      <c r="BI108" s="4165">
        <f>BH108/BG108</f>
        <v>1</v>
      </c>
      <c r="BJ108" s="4356" t="s">
        <v>691</v>
      </c>
      <c r="BK108" s="4367" t="s">
        <v>844</v>
      </c>
      <c r="BL108" s="4360">
        <v>44033</v>
      </c>
      <c r="BM108" s="4360">
        <v>44044</v>
      </c>
      <c r="BN108" s="4360">
        <v>44195</v>
      </c>
      <c r="BO108" s="4360">
        <v>44195</v>
      </c>
      <c r="BP108" s="3224" t="s">
        <v>693</v>
      </c>
    </row>
    <row r="109" spans="1:68" s="861" customFormat="1" ht="63.75" customHeight="1" x14ac:dyDescent="0.25">
      <c r="A109" s="1120"/>
      <c r="B109" s="71"/>
      <c r="C109" s="71"/>
      <c r="D109" s="339"/>
      <c r="E109" s="156"/>
      <c r="F109" s="340"/>
      <c r="G109" s="4346"/>
      <c r="H109" s="4349"/>
      <c r="I109" s="2909"/>
      <c r="J109" s="3649"/>
      <c r="K109" s="3577"/>
      <c r="L109" s="4128"/>
      <c r="M109" s="3648"/>
      <c r="N109" s="3225"/>
      <c r="O109" s="2909"/>
      <c r="P109" s="3227"/>
      <c r="Q109" s="4257"/>
      <c r="R109" s="2909"/>
      <c r="S109" s="3738"/>
      <c r="T109" s="3071"/>
      <c r="U109" s="1089">
        <v>386725</v>
      </c>
      <c r="V109" s="1927">
        <v>0</v>
      </c>
      <c r="W109" s="1089">
        <v>0</v>
      </c>
      <c r="X109" s="1173">
        <v>88</v>
      </c>
      <c r="Y109" s="2273" t="s">
        <v>74</v>
      </c>
      <c r="Z109" s="4354"/>
      <c r="AA109" s="4327"/>
      <c r="AB109" s="4327"/>
      <c r="AC109" s="4327"/>
      <c r="AD109" s="4327"/>
      <c r="AE109" s="4327"/>
      <c r="AF109" s="4327"/>
      <c r="AG109" s="4327"/>
      <c r="AH109" s="4327"/>
      <c r="AI109" s="4327"/>
      <c r="AJ109" s="4327"/>
      <c r="AK109" s="4327"/>
      <c r="AL109" s="4327"/>
      <c r="AM109" s="4327"/>
      <c r="AN109" s="4327"/>
      <c r="AO109" s="4327"/>
      <c r="AP109" s="4327"/>
      <c r="AQ109" s="4327"/>
      <c r="AR109" s="4327"/>
      <c r="AS109" s="4327"/>
      <c r="AT109" s="4327"/>
      <c r="AU109" s="4327"/>
      <c r="AV109" s="4327"/>
      <c r="AW109" s="4327"/>
      <c r="AX109" s="4327"/>
      <c r="AY109" s="4327"/>
      <c r="AZ109" s="4327"/>
      <c r="BA109" s="4327"/>
      <c r="BB109" s="4327"/>
      <c r="BC109" s="4327"/>
      <c r="BD109" s="4327"/>
      <c r="BE109" s="4327"/>
      <c r="BF109" s="4327"/>
      <c r="BG109" s="4143"/>
      <c r="BH109" s="4143"/>
      <c r="BI109" s="4166"/>
      <c r="BJ109" s="4327"/>
      <c r="BK109" s="4244"/>
      <c r="BL109" s="4361"/>
      <c r="BM109" s="4361"/>
      <c r="BN109" s="4361"/>
      <c r="BO109" s="4361"/>
      <c r="BP109" s="3225"/>
    </row>
    <row r="110" spans="1:68" s="861" customFormat="1" ht="34.5" customHeight="1" x14ac:dyDescent="0.25">
      <c r="A110" s="1120"/>
      <c r="B110" s="71"/>
      <c r="C110" s="71"/>
      <c r="D110" s="339"/>
      <c r="E110" s="156"/>
      <c r="F110" s="340"/>
      <c r="G110" s="4346"/>
      <c r="H110" s="4349"/>
      <c r="I110" s="2909"/>
      <c r="J110" s="3647" t="s">
        <v>878</v>
      </c>
      <c r="K110" s="3576">
        <v>12</v>
      </c>
      <c r="L110" s="4126">
        <v>12</v>
      </c>
      <c r="M110" s="3648"/>
      <c r="N110" s="3225"/>
      <c r="O110" s="2909"/>
      <c r="P110" s="3227"/>
      <c r="Q110" s="4257"/>
      <c r="R110" s="2909"/>
      <c r="S110" s="3738"/>
      <c r="T110" s="3070" t="s">
        <v>879</v>
      </c>
      <c r="U110" s="1089">
        <v>15613275</v>
      </c>
      <c r="V110" s="1927">
        <v>4333333</v>
      </c>
      <c r="W110" s="1089">
        <v>4333333</v>
      </c>
      <c r="X110" s="1105">
        <v>20</v>
      </c>
      <c r="Y110" s="2494" t="s">
        <v>85</v>
      </c>
      <c r="Z110" s="4354"/>
      <c r="AA110" s="4327"/>
      <c r="AB110" s="4327"/>
      <c r="AC110" s="4327"/>
      <c r="AD110" s="4327"/>
      <c r="AE110" s="4327"/>
      <c r="AF110" s="4327"/>
      <c r="AG110" s="4327"/>
      <c r="AH110" s="4327"/>
      <c r="AI110" s="4327"/>
      <c r="AJ110" s="4327"/>
      <c r="AK110" s="4327"/>
      <c r="AL110" s="4327"/>
      <c r="AM110" s="4327"/>
      <c r="AN110" s="4327"/>
      <c r="AO110" s="4327"/>
      <c r="AP110" s="4327"/>
      <c r="AQ110" s="4327"/>
      <c r="AR110" s="4327"/>
      <c r="AS110" s="4327"/>
      <c r="AT110" s="4327"/>
      <c r="AU110" s="4327"/>
      <c r="AV110" s="4327"/>
      <c r="AW110" s="4327"/>
      <c r="AX110" s="4327"/>
      <c r="AY110" s="4327"/>
      <c r="AZ110" s="4327"/>
      <c r="BA110" s="4327"/>
      <c r="BB110" s="4327"/>
      <c r="BC110" s="4327"/>
      <c r="BD110" s="4327"/>
      <c r="BE110" s="4327"/>
      <c r="BF110" s="4327"/>
      <c r="BG110" s="4143"/>
      <c r="BH110" s="4143"/>
      <c r="BI110" s="4166"/>
      <c r="BJ110" s="4327"/>
      <c r="BK110" s="4244"/>
      <c r="BL110" s="4361"/>
      <c r="BM110" s="4361"/>
      <c r="BN110" s="4361"/>
      <c r="BO110" s="4361"/>
      <c r="BP110" s="3225"/>
    </row>
    <row r="111" spans="1:68" s="861" customFormat="1" ht="35.25" customHeight="1" x14ac:dyDescent="0.25">
      <c r="A111" s="1120"/>
      <c r="B111" s="71"/>
      <c r="C111" s="71"/>
      <c r="D111" s="339"/>
      <c r="E111" s="71"/>
      <c r="F111" s="340"/>
      <c r="G111" s="4346"/>
      <c r="H111" s="4349"/>
      <c r="I111" s="2909"/>
      <c r="J111" s="3648"/>
      <c r="K111" s="3650"/>
      <c r="L111" s="4127"/>
      <c r="M111" s="3648"/>
      <c r="N111" s="3225"/>
      <c r="O111" s="2909"/>
      <c r="P111" s="3227"/>
      <c r="Q111" s="4257"/>
      <c r="R111" s="2909"/>
      <c r="S111" s="3738"/>
      <c r="T111" s="3071"/>
      <c r="U111" s="1089">
        <v>4333333</v>
      </c>
      <c r="V111" s="1927">
        <v>1639971</v>
      </c>
      <c r="W111" s="1089">
        <v>1639971</v>
      </c>
      <c r="X111" s="1173">
        <v>88</v>
      </c>
      <c r="Y111" s="2273" t="s">
        <v>74</v>
      </c>
      <c r="Z111" s="4354"/>
      <c r="AA111" s="4327"/>
      <c r="AB111" s="4327"/>
      <c r="AC111" s="4327"/>
      <c r="AD111" s="4327"/>
      <c r="AE111" s="4327"/>
      <c r="AF111" s="4327"/>
      <c r="AG111" s="4327"/>
      <c r="AH111" s="4327"/>
      <c r="AI111" s="4327"/>
      <c r="AJ111" s="4327"/>
      <c r="AK111" s="4327"/>
      <c r="AL111" s="4327"/>
      <c r="AM111" s="4327"/>
      <c r="AN111" s="4327"/>
      <c r="AO111" s="4327"/>
      <c r="AP111" s="4327"/>
      <c r="AQ111" s="4327"/>
      <c r="AR111" s="4327"/>
      <c r="AS111" s="4327"/>
      <c r="AT111" s="4327"/>
      <c r="AU111" s="4327"/>
      <c r="AV111" s="4327"/>
      <c r="AW111" s="4327"/>
      <c r="AX111" s="4327"/>
      <c r="AY111" s="4327"/>
      <c r="AZ111" s="4327"/>
      <c r="BA111" s="4327"/>
      <c r="BB111" s="4327"/>
      <c r="BC111" s="4327"/>
      <c r="BD111" s="4327"/>
      <c r="BE111" s="4327"/>
      <c r="BF111" s="4327"/>
      <c r="BG111" s="4143"/>
      <c r="BH111" s="4143"/>
      <c r="BI111" s="4166"/>
      <c r="BJ111" s="4327"/>
      <c r="BK111" s="4244"/>
      <c r="BL111" s="4361"/>
      <c r="BM111" s="4361"/>
      <c r="BN111" s="4361"/>
      <c r="BO111" s="4361"/>
      <c r="BP111" s="3225"/>
    </row>
    <row r="112" spans="1:68" s="861" customFormat="1" ht="35.25" customHeight="1" x14ac:dyDescent="0.25">
      <c r="A112" s="1120"/>
      <c r="B112" s="71"/>
      <c r="C112" s="71"/>
      <c r="D112" s="339"/>
      <c r="E112" s="71"/>
      <c r="F112" s="340"/>
      <c r="G112" s="4346"/>
      <c r="H112" s="4349"/>
      <c r="I112" s="2909"/>
      <c r="J112" s="3648"/>
      <c r="K112" s="3650"/>
      <c r="L112" s="4127"/>
      <c r="M112" s="3648"/>
      <c r="N112" s="3225"/>
      <c r="O112" s="2909"/>
      <c r="P112" s="3227"/>
      <c r="Q112" s="4257"/>
      <c r="R112" s="2909"/>
      <c r="S112" s="3738"/>
      <c r="T112" s="3070" t="s">
        <v>880</v>
      </c>
      <c r="U112" s="1089">
        <v>2000000</v>
      </c>
      <c r="V112" s="1927">
        <v>3000000</v>
      </c>
      <c r="W112" s="1089">
        <v>3000000</v>
      </c>
      <c r="X112" s="1105">
        <v>20</v>
      </c>
      <c r="Y112" s="2494" t="s">
        <v>85</v>
      </c>
      <c r="Z112" s="4354"/>
      <c r="AA112" s="4327"/>
      <c r="AB112" s="4327"/>
      <c r="AC112" s="4327"/>
      <c r="AD112" s="4327"/>
      <c r="AE112" s="4327"/>
      <c r="AF112" s="4327"/>
      <c r="AG112" s="4327"/>
      <c r="AH112" s="4327"/>
      <c r="AI112" s="4327"/>
      <c r="AJ112" s="4327"/>
      <c r="AK112" s="4327"/>
      <c r="AL112" s="4327"/>
      <c r="AM112" s="4327"/>
      <c r="AN112" s="4327"/>
      <c r="AO112" s="4327"/>
      <c r="AP112" s="4327"/>
      <c r="AQ112" s="4327"/>
      <c r="AR112" s="4327"/>
      <c r="AS112" s="4327"/>
      <c r="AT112" s="4327"/>
      <c r="AU112" s="4327"/>
      <c r="AV112" s="4327"/>
      <c r="AW112" s="4327"/>
      <c r="AX112" s="4327"/>
      <c r="AY112" s="4327"/>
      <c r="AZ112" s="4327"/>
      <c r="BA112" s="4327"/>
      <c r="BB112" s="4327"/>
      <c r="BC112" s="4327"/>
      <c r="BD112" s="4327"/>
      <c r="BE112" s="4327"/>
      <c r="BF112" s="4327"/>
      <c r="BG112" s="4143"/>
      <c r="BH112" s="4143"/>
      <c r="BI112" s="4166"/>
      <c r="BJ112" s="4327"/>
      <c r="BK112" s="4244"/>
      <c r="BL112" s="4361"/>
      <c r="BM112" s="4361"/>
      <c r="BN112" s="4361"/>
      <c r="BO112" s="4361"/>
      <c r="BP112" s="3225"/>
    </row>
    <row r="113" spans="1:68" s="861" customFormat="1" ht="49.5" customHeight="1" x14ac:dyDescent="0.25">
      <c r="A113" s="1120"/>
      <c r="B113" s="71"/>
      <c r="C113" s="71"/>
      <c r="D113" s="339"/>
      <c r="E113" s="71"/>
      <c r="F113" s="340"/>
      <c r="G113" s="4346"/>
      <c r="H113" s="4349"/>
      <c r="I113" s="2909"/>
      <c r="J113" s="3648"/>
      <c r="K113" s="3650"/>
      <c r="L113" s="4127"/>
      <c r="M113" s="3648"/>
      <c r="N113" s="3225"/>
      <c r="O113" s="2909"/>
      <c r="P113" s="3227"/>
      <c r="Q113" s="4257"/>
      <c r="R113" s="2909"/>
      <c r="S113" s="3738"/>
      <c r="T113" s="3071"/>
      <c r="U113" s="1089">
        <v>3000000</v>
      </c>
      <c r="V113" s="1927">
        <v>2000000</v>
      </c>
      <c r="W113" s="1089">
        <v>2000000</v>
      </c>
      <c r="X113" s="1173">
        <v>88</v>
      </c>
      <c r="Y113" s="2273" t="s">
        <v>74</v>
      </c>
      <c r="Z113" s="4354"/>
      <c r="AA113" s="4327"/>
      <c r="AB113" s="4327"/>
      <c r="AC113" s="4327"/>
      <c r="AD113" s="4327"/>
      <c r="AE113" s="4327"/>
      <c r="AF113" s="4327"/>
      <c r="AG113" s="4327"/>
      <c r="AH113" s="4327"/>
      <c r="AI113" s="4327"/>
      <c r="AJ113" s="4327"/>
      <c r="AK113" s="4327"/>
      <c r="AL113" s="4327"/>
      <c r="AM113" s="4327"/>
      <c r="AN113" s="4327"/>
      <c r="AO113" s="4327"/>
      <c r="AP113" s="4327"/>
      <c r="AQ113" s="4327"/>
      <c r="AR113" s="4327"/>
      <c r="AS113" s="4327"/>
      <c r="AT113" s="4327"/>
      <c r="AU113" s="4327"/>
      <c r="AV113" s="4327"/>
      <c r="AW113" s="4327"/>
      <c r="AX113" s="4327"/>
      <c r="AY113" s="4327"/>
      <c r="AZ113" s="4327"/>
      <c r="BA113" s="4327"/>
      <c r="BB113" s="4327"/>
      <c r="BC113" s="4327"/>
      <c r="BD113" s="4327"/>
      <c r="BE113" s="4327"/>
      <c r="BF113" s="4327"/>
      <c r="BG113" s="4143"/>
      <c r="BH113" s="4143"/>
      <c r="BI113" s="4166"/>
      <c r="BJ113" s="4327"/>
      <c r="BK113" s="4244"/>
      <c r="BL113" s="4361"/>
      <c r="BM113" s="4361"/>
      <c r="BN113" s="4361"/>
      <c r="BO113" s="4361"/>
      <c r="BP113" s="3225"/>
    </row>
    <row r="114" spans="1:68" s="861" customFormat="1" ht="39.75" customHeight="1" x14ac:dyDescent="0.25">
      <c r="A114" s="1120"/>
      <c r="B114" s="71"/>
      <c r="C114" s="71"/>
      <c r="D114" s="339"/>
      <c r="E114" s="71"/>
      <c r="F114" s="340"/>
      <c r="G114" s="4346"/>
      <c r="H114" s="4349"/>
      <c r="I114" s="2909"/>
      <c r="J114" s="3648"/>
      <c r="K114" s="3650"/>
      <c r="L114" s="4127"/>
      <c r="M114" s="3648"/>
      <c r="N114" s="3225"/>
      <c r="O114" s="2909"/>
      <c r="P114" s="3227"/>
      <c r="Q114" s="4257"/>
      <c r="R114" s="2909"/>
      <c r="S114" s="3738"/>
      <c r="T114" s="3070" t="s">
        <v>881</v>
      </c>
      <c r="U114" s="1089">
        <v>2000000</v>
      </c>
      <c r="V114" s="1927">
        <v>1000000</v>
      </c>
      <c r="W114" s="1089">
        <v>1000000</v>
      </c>
      <c r="X114" s="1105">
        <v>20</v>
      </c>
      <c r="Y114" s="2494" t="s">
        <v>85</v>
      </c>
      <c r="Z114" s="4354"/>
      <c r="AA114" s="4327"/>
      <c r="AB114" s="4327"/>
      <c r="AC114" s="4327"/>
      <c r="AD114" s="4327"/>
      <c r="AE114" s="4327"/>
      <c r="AF114" s="4327"/>
      <c r="AG114" s="4327"/>
      <c r="AH114" s="4327"/>
      <c r="AI114" s="4327"/>
      <c r="AJ114" s="4327"/>
      <c r="AK114" s="4327"/>
      <c r="AL114" s="4327"/>
      <c r="AM114" s="4327"/>
      <c r="AN114" s="4327"/>
      <c r="AO114" s="4327"/>
      <c r="AP114" s="4327"/>
      <c r="AQ114" s="4327"/>
      <c r="AR114" s="4327"/>
      <c r="AS114" s="4327"/>
      <c r="AT114" s="4327"/>
      <c r="AU114" s="4327"/>
      <c r="AV114" s="4327"/>
      <c r="AW114" s="4327"/>
      <c r="AX114" s="4327"/>
      <c r="AY114" s="4327"/>
      <c r="AZ114" s="4327"/>
      <c r="BA114" s="4327"/>
      <c r="BB114" s="4327"/>
      <c r="BC114" s="4327"/>
      <c r="BD114" s="4327"/>
      <c r="BE114" s="4327"/>
      <c r="BF114" s="4327"/>
      <c r="BG114" s="4143"/>
      <c r="BH114" s="4143"/>
      <c r="BI114" s="4166"/>
      <c r="BJ114" s="4327"/>
      <c r="BK114" s="4244"/>
      <c r="BL114" s="4361"/>
      <c r="BM114" s="4361"/>
      <c r="BN114" s="4361"/>
      <c r="BO114" s="4361"/>
      <c r="BP114" s="3225"/>
    </row>
    <row r="115" spans="1:68" s="861" customFormat="1" ht="45.75" customHeight="1" x14ac:dyDescent="0.25">
      <c r="A115" s="1120"/>
      <c r="B115" s="71"/>
      <c r="C115" s="71"/>
      <c r="D115" s="339"/>
      <c r="E115" s="71"/>
      <c r="F115" s="340"/>
      <c r="G115" s="4347"/>
      <c r="H115" s="4350"/>
      <c r="I115" s="2909"/>
      <c r="J115" s="3649"/>
      <c r="K115" s="4363"/>
      <c r="L115" s="4364"/>
      <c r="M115" s="3648"/>
      <c r="N115" s="3225"/>
      <c r="O115" s="2909"/>
      <c r="P115" s="4355"/>
      <c r="Q115" s="4257"/>
      <c r="R115" s="2909"/>
      <c r="S115" s="3738"/>
      <c r="T115" s="3071"/>
      <c r="U115" s="1089">
        <v>1000000</v>
      </c>
      <c r="V115" s="1927">
        <v>2000000</v>
      </c>
      <c r="W115" s="1089">
        <v>2000000</v>
      </c>
      <c r="X115" s="1173">
        <v>88</v>
      </c>
      <c r="Y115" s="2273" t="s">
        <v>74</v>
      </c>
      <c r="Z115" s="4354"/>
      <c r="AA115" s="4352"/>
      <c r="AB115" s="4327"/>
      <c r="AC115" s="4352"/>
      <c r="AD115" s="4327"/>
      <c r="AE115" s="4352"/>
      <c r="AF115" s="4327"/>
      <c r="AG115" s="4352"/>
      <c r="AH115" s="4327"/>
      <c r="AI115" s="4352"/>
      <c r="AJ115" s="4327"/>
      <c r="AK115" s="4352"/>
      <c r="AL115" s="4327"/>
      <c r="AM115" s="4352"/>
      <c r="AN115" s="4327"/>
      <c r="AO115" s="4352"/>
      <c r="AP115" s="4327"/>
      <c r="AQ115" s="4352"/>
      <c r="AR115" s="4327"/>
      <c r="AS115" s="4352"/>
      <c r="AT115" s="4327"/>
      <c r="AU115" s="4352"/>
      <c r="AV115" s="4327"/>
      <c r="AW115" s="4352"/>
      <c r="AX115" s="4327"/>
      <c r="AY115" s="4352"/>
      <c r="AZ115" s="4327"/>
      <c r="BA115" s="4352"/>
      <c r="BB115" s="4327"/>
      <c r="BC115" s="4352"/>
      <c r="BD115" s="4327"/>
      <c r="BE115" s="4352"/>
      <c r="BF115" s="4352"/>
      <c r="BG115" s="4365"/>
      <c r="BH115" s="4365"/>
      <c r="BI115" s="4366"/>
      <c r="BJ115" s="4352"/>
      <c r="BK115" s="4368"/>
      <c r="BL115" s="3225"/>
      <c r="BM115" s="4362"/>
      <c r="BN115" s="3225"/>
      <c r="BO115" s="3225"/>
      <c r="BP115" s="3225"/>
    </row>
    <row r="116" spans="1:68" ht="105" customHeight="1" x14ac:dyDescent="0.25">
      <c r="A116" s="121"/>
      <c r="B116" s="4"/>
      <c r="C116" s="4"/>
      <c r="D116" s="122"/>
      <c r="E116" s="4"/>
      <c r="F116" s="123"/>
      <c r="G116" s="4345" t="s">
        <v>882</v>
      </c>
      <c r="H116" s="4359">
        <v>38.200000000000003</v>
      </c>
      <c r="I116" s="2698" t="s">
        <v>883</v>
      </c>
      <c r="J116" s="2865" t="s">
        <v>884</v>
      </c>
      <c r="K116" s="2625">
        <v>12</v>
      </c>
      <c r="L116" s="4145">
        <v>12</v>
      </c>
      <c r="M116" s="2717" t="s">
        <v>885</v>
      </c>
      <c r="N116" s="2626" t="s">
        <v>886</v>
      </c>
      <c r="O116" s="2698" t="s">
        <v>887</v>
      </c>
      <c r="P116" s="4357">
        <v>1</v>
      </c>
      <c r="Q116" s="4358">
        <v>18000000</v>
      </c>
      <c r="R116" s="2698" t="s">
        <v>888</v>
      </c>
      <c r="S116" s="2698" t="s">
        <v>889</v>
      </c>
      <c r="T116" s="886" t="s">
        <v>890</v>
      </c>
      <c r="U116" s="1174">
        <v>18000000</v>
      </c>
      <c r="V116" s="1928">
        <f>9333333+5333333</f>
        <v>14666666</v>
      </c>
      <c r="W116" s="1163">
        <f>9333333+5333333</f>
        <v>14666666</v>
      </c>
      <c r="X116" s="1175">
        <v>88</v>
      </c>
      <c r="Y116" s="2509" t="s">
        <v>74</v>
      </c>
      <c r="Z116" s="2626">
        <v>106</v>
      </c>
      <c r="AA116" s="3167">
        <v>106</v>
      </c>
      <c r="AB116" s="2626">
        <v>137</v>
      </c>
      <c r="AC116" s="3167">
        <v>137</v>
      </c>
      <c r="AD116" s="2626">
        <v>0</v>
      </c>
      <c r="AE116" s="3167"/>
      <c r="AF116" s="2626">
        <v>0</v>
      </c>
      <c r="AG116" s="3167"/>
      <c r="AH116" s="2626">
        <v>0</v>
      </c>
      <c r="AI116" s="3167"/>
      <c r="AJ116" s="2626">
        <v>0</v>
      </c>
      <c r="AK116" s="3167"/>
      <c r="AL116" s="2626">
        <v>0</v>
      </c>
      <c r="AM116" s="3167"/>
      <c r="AN116" s="2626">
        <v>0</v>
      </c>
      <c r="AO116" s="3167"/>
      <c r="AP116" s="2626">
        <v>0</v>
      </c>
      <c r="AQ116" s="3167"/>
      <c r="AR116" s="2626">
        <v>0</v>
      </c>
      <c r="AS116" s="3167"/>
      <c r="AT116" s="2626">
        <v>0</v>
      </c>
      <c r="AU116" s="3167"/>
      <c r="AV116" s="2626">
        <v>0</v>
      </c>
      <c r="AW116" s="3167"/>
      <c r="AX116" s="2626">
        <v>0</v>
      </c>
      <c r="AY116" s="3167"/>
      <c r="AZ116" s="2626">
        <v>0</v>
      </c>
      <c r="BA116" s="3167"/>
      <c r="BB116" s="2626">
        <v>0</v>
      </c>
      <c r="BC116" s="3167"/>
      <c r="BD116" s="2626">
        <v>243</v>
      </c>
      <c r="BE116" s="3167">
        <f>AA116+AC116</f>
        <v>243</v>
      </c>
      <c r="BF116" s="3167">
        <v>2</v>
      </c>
      <c r="BG116" s="4180">
        <f>SUM(V116:V117)</f>
        <v>14666666</v>
      </c>
      <c r="BH116" s="4180">
        <f>SUM(W116:W117)</f>
        <v>14666666</v>
      </c>
      <c r="BI116" s="4213">
        <f>BH116/BG116</f>
        <v>1</v>
      </c>
      <c r="BJ116" s="3167">
        <v>88</v>
      </c>
      <c r="BK116" s="3167" t="s">
        <v>854</v>
      </c>
      <c r="BL116" s="4211">
        <v>44033</v>
      </c>
      <c r="BM116" s="4214">
        <v>44044</v>
      </c>
      <c r="BN116" s="4211">
        <v>44195</v>
      </c>
      <c r="BO116" s="4211">
        <v>44195</v>
      </c>
      <c r="BP116" s="2626" t="s">
        <v>693</v>
      </c>
    </row>
    <row r="117" spans="1:68" ht="70.5" customHeight="1" x14ac:dyDescent="0.25">
      <c r="A117" s="121"/>
      <c r="B117" s="4"/>
      <c r="C117" s="4"/>
      <c r="D117" s="122"/>
      <c r="E117" s="4"/>
      <c r="F117" s="123"/>
      <c r="G117" s="4347"/>
      <c r="H117" s="4359"/>
      <c r="I117" s="2698"/>
      <c r="J117" s="2717"/>
      <c r="K117" s="2625"/>
      <c r="L117" s="4147"/>
      <c r="M117" s="2717"/>
      <c r="N117" s="2626"/>
      <c r="O117" s="2698"/>
      <c r="P117" s="4357"/>
      <c r="Q117" s="4358"/>
      <c r="R117" s="2698"/>
      <c r="S117" s="2698"/>
      <c r="T117" s="889" t="s">
        <v>830</v>
      </c>
      <c r="U117" s="1176">
        <v>0</v>
      </c>
      <c r="V117" s="1089"/>
      <c r="W117" s="1089">
        <v>0</v>
      </c>
      <c r="X117" s="1177">
        <v>88</v>
      </c>
      <c r="Y117" s="2509" t="s">
        <v>74</v>
      </c>
      <c r="Z117" s="2626"/>
      <c r="AA117" s="3168"/>
      <c r="AB117" s="2626"/>
      <c r="AC117" s="3168"/>
      <c r="AD117" s="2626"/>
      <c r="AE117" s="3168"/>
      <c r="AF117" s="2626"/>
      <c r="AG117" s="3168"/>
      <c r="AH117" s="2626"/>
      <c r="AI117" s="3168"/>
      <c r="AJ117" s="2626"/>
      <c r="AK117" s="3168"/>
      <c r="AL117" s="2626"/>
      <c r="AM117" s="3168"/>
      <c r="AN117" s="2626"/>
      <c r="AO117" s="3168"/>
      <c r="AP117" s="2626"/>
      <c r="AQ117" s="3168"/>
      <c r="AR117" s="2626"/>
      <c r="AS117" s="3168"/>
      <c r="AT117" s="2626"/>
      <c r="AU117" s="3168"/>
      <c r="AV117" s="2626"/>
      <c r="AW117" s="3168"/>
      <c r="AX117" s="2626"/>
      <c r="AY117" s="3168"/>
      <c r="AZ117" s="2626"/>
      <c r="BA117" s="3168"/>
      <c r="BB117" s="2626"/>
      <c r="BC117" s="3168"/>
      <c r="BD117" s="2626"/>
      <c r="BE117" s="3168"/>
      <c r="BF117" s="3168"/>
      <c r="BG117" s="4182"/>
      <c r="BH117" s="4182"/>
      <c r="BI117" s="4231"/>
      <c r="BJ117" s="3168"/>
      <c r="BK117" s="3168"/>
      <c r="BL117" s="4211"/>
      <c r="BM117" s="4216"/>
      <c r="BN117" s="4211"/>
      <c r="BO117" s="4211"/>
      <c r="BP117" s="2626"/>
    </row>
    <row r="118" spans="1:68" ht="48.75" customHeight="1" x14ac:dyDescent="0.25">
      <c r="A118" s="121"/>
      <c r="B118" s="4"/>
      <c r="C118" s="4"/>
      <c r="D118" s="122"/>
      <c r="E118" s="4"/>
      <c r="F118" s="123"/>
      <c r="G118" s="4369" t="s">
        <v>603</v>
      </c>
      <c r="H118" s="4371">
        <v>38.700000000000003</v>
      </c>
      <c r="I118" s="2621" t="s">
        <v>891</v>
      </c>
      <c r="J118" s="2865" t="s">
        <v>892</v>
      </c>
      <c r="K118" s="2783">
        <v>1</v>
      </c>
      <c r="L118" s="4199">
        <v>1</v>
      </c>
      <c r="M118" s="2865" t="s">
        <v>893</v>
      </c>
      <c r="N118" s="2617" t="s">
        <v>894</v>
      </c>
      <c r="O118" s="3379" t="s">
        <v>895</v>
      </c>
      <c r="P118" s="3392">
        <v>1</v>
      </c>
      <c r="Q118" s="4373">
        <v>83980000</v>
      </c>
      <c r="R118" s="2742" t="s">
        <v>896</v>
      </c>
      <c r="S118" s="2742" t="s">
        <v>897</v>
      </c>
      <c r="T118" s="2652" t="s">
        <v>898</v>
      </c>
      <c r="U118" s="1178">
        <v>4500000</v>
      </c>
      <c r="V118" s="1179">
        <v>4000000</v>
      </c>
      <c r="W118" s="1163">
        <v>4000000</v>
      </c>
      <c r="X118" s="1133">
        <v>88</v>
      </c>
      <c r="Y118" s="2505" t="s">
        <v>411</v>
      </c>
      <c r="Z118" s="2794">
        <v>1323</v>
      </c>
      <c r="AA118" s="4081">
        <v>60</v>
      </c>
      <c r="AB118" s="2584">
        <v>1377</v>
      </c>
      <c r="AC118" s="4081">
        <v>100</v>
      </c>
      <c r="AD118" s="2584">
        <v>200</v>
      </c>
      <c r="AE118" s="4081">
        <v>0</v>
      </c>
      <c r="AF118" s="2584">
        <v>1200</v>
      </c>
      <c r="AG118" s="4081">
        <v>0</v>
      </c>
      <c r="AH118" s="2584">
        <v>800</v>
      </c>
      <c r="AI118" s="4081">
        <v>120</v>
      </c>
      <c r="AJ118" s="2584">
        <v>300</v>
      </c>
      <c r="AK118" s="4081">
        <v>40</v>
      </c>
      <c r="AL118" s="2584">
        <v>0</v>
      </c>
      <c r="AM118" s="4081"/>
      <c r="AN118" s="2584">
        <v>0</v>
      </c>
      <c r="AO118" s="4081">
        <v>3</v>
      </c>
      <c r="AP118" s="2584">
        <v>0</v>
      </c>
      <c r="AQ118" s="4081"/>
      <c r="AR118" s="2584">
        <v>0</v>
      </c>
      <c r="AS118" s="4081"/>
      <c r="AT118" s="2584">
        <v>0</v>
      </c>
      <c r="AU118" s="4081"/>
      <c r="AV118" s="2584">
        <v>0</v>
      </c>
      <c r="AW118" s="4081"/>
      <c r="AX118" s="2584">
        <v>0</v>
      </c>
      <c r="AY118" s="4081"/>
      <c r="AZ118" s="2584">
        <v>10</v>
      </c>
      <c r="BA118" s="4081">
        <v>3</v>
      </c>
      <c r="BB118" s="2584">
        <v>200</v>
      </c>
      <c r="BC118" s="4081">
        <v>10</v>
      </c>
      <c r="BD118" s="2584">
        <v>2700</v>
      </c>
      <c r="BE118" s="4081">
        <f>AA118+AC118</f>
        <v>160</v>
      </c>
      <c r="BF118" s="4081">
        <v>9</v>
      </c>
      <c r="BG118" s="4381">
        <f>SUM(V118:V126)</f>
        <v>65577446</v>
      </c>
      <c r="BH118" s="4381">
        <f>SUM(W118:W126)</f>
        <v>65577446</v>
      </c>
      <c r="BI118" s="4382">
        <f>BH118/BG118</f>
        <v>1</v>
      </c>
      <c r="BJ118" s="4081" t="s">
        <v>691</v>
      </c>
      <c r="BK118" s="4081" t="s">
        <v>899</v>
      </c>
      <c r="BL118" s="4202">
        <v>43832</v>
      </c>
      <c r="BM118" s="4202">
        <v>43832</v>
      </c>
      <c r="BN118" s="4202">
        <v>44195</v>
      </c>
      <c r="BO118" s="4202">
        <v>44195</v>
      </c>
      <c r="BP118" s="2584" t="s">
        <v>693</v>
      </c>
    </row>
    <row r="119" spans="1:68" ht="44.25" customHeight="1" x14ac:dyDescent="0.25">
      <c r="A119" s="121"/>
      <c r="B119" s="4"/>
      <c r="C119" s="4"/>
      <c r="D119" s="122"/>
      <c r="E119" s="4"/>
      <c r="F119" s="123"/>
      <c r="G119" s="4370"/>
      <c r="H119" s="4372"/>
      <c r="I119" s="2608"/>
      <c r="J119" s="2717"/>
      <c r="K119" s="2625"/>
      <c r="L119" s="4200"/>
      <c r="M119" s="2717"/>
      <c r="N119" s="2618"/>
      <c r="O119" s="3379"/>
      <c r="P119" s="3392"/>
      <c r="Q119" s="4373"/>
      <c r="R119" s="2742"/>
      <c r="S119" s="2742"/>
      <c r="T119" s="2822"/>
      <c r="U119" s="1063">
        <v>16200000</v>
      </c>
      <c r="V119" s="1180">
        <f>+U119</f>
        <v>16200000</v>
      </c>
      <c r="W119" s="1089">
        <f>+V119</f>
        <v>16200000</v>
      </c>
      <c r="X119" s="1105">
        <v>20</v>
      </c>
      <c r="Y119" s="2494" t="s">
        <v>85</v>
      </c>
      <c r="Z119" s="2794"/>
      <c r="AA119" s="2584"/>
      <c r="AB119" s="2584"/>
      <c r="AC119" s="2584"/>
      <c r="AD119" s="2584"/>
      <c r="AE119" s="2584"/>
      <c r="AF119" s="2584"/>
      <c r="AG119" s="2584"/>
      <c r="AH119" s="2584"/>
      <c r="AI119" s="2584"/>
      <c r="AJ119" s="2584"/>
      <c r="AK119" s="2584"/>
      <c r="AL119" s="2584"/>
      <c r="AM119" s="2584"/>
      <c r="AN119" s="2584"/>
      <c r="AO119" s="2584"/>
      <c r="AP119" s="2584"/>
      <c r="AQ119" s="2584"/>
      <c r="AR119" s="2584"/>
      <c r="AS119" s="2584"/>
      <c r="AT119" s="2584"/>
      <c r="AU119" s="2584"/>
      <c r="AV119" s="2584"/>
      <c r="AW119" s="2584"/>
      <c r="AX119" s="2584"/>
      <c r="AY119" s="2584"/>
      <c r="AZ119" s="2584"/>
      <c r="BA119" s="2584"/>
      <c r="BB119" s="2584"/>
      <c r="BC119" s="2584"/>
      <c r="BD119" s="2584"/>
      <c r="BE119" s="2584"/>
      <c r="BF119" s="2584"/>
      <c r="BG119" s="4187"/>
      <c r="BH119" s="4187"/>
      <c r="BI119" s="3392"/>
      <c r="BJ119" s="2584"/>
      <c r="BK119" s="2584"/>
      <c r="BL119" s="4202"/>
      <c r="BM119" s="4202"/>
      <c r="BN119" s="4202"/>
      <c r="BO119" s="4202"/>
      <c r="BP119" s="2584"/>
    </row>
    <row r="120" spans="1:68" ht="135" customHeight="1" x14ac:dyDescent="0.25">
      <c r="A120" s="121"/>
      <c r="B120" s="4"/>
      <c r="C120" s="4"/>
      <c r="D120" s="122"/>
      <c r="E120" s="4"/>
      <c r="F120" s="123"/>
      <c r="G120" s="4370"/>
      <c r="H120" s="4372"/>
      <c r="I120" s="2608"/>
      <c r="J120" s="2717"/>
      <c r="K120" s="2625"/>
      <c r="L120" s="4200"/>
      <c r="M120" s="2717"/>
      <c r="N120" s="2618"/>
      <c r="O120" s="3379"/>
      <c r="P120" s="3392"/>
      <c r="Q120" s="4373"/>
      <c r="R120" s="2742"/>
      <c r="S120" s="2742"/>
      <c r="T120" s="871" t="s">
        <v>900</v>
      </c>
      <c r="U120" s="1063">
        <v>7000000</v>
      </c>
      <c r="V120" s="1181">
        <v>4333333</v>
      </c>
      <c r="W120" s="1181">
        <v>4333333</v>
      </c>
      <c r="X120" s="1105">
        <v>88</v>
      </c>
      <c r="Y120" s="2494" t="s">
        <v>411</v>
      </c>
      <c r="Z120" s="2794"/>
      <c r="AA120" s="2584"/>
      <c r="AB120" s="2584"/>
      <c r="AC120" s="2584"/>
      <c r="AD120" s="2584"/>
      <c r="AE120" s="2584"/>
      <c r="AF120" s="2584"/>
      <c r="AG120" s="2584"/>
      <c r="AH120" s="2584"/>
      <c r="AI120" s="2584"/>
      <c r="AJ120" s="2584"/>
      <c r="AK120" s="2584"/>
      <c r="AL120" s="2584"/>
      <c r="AM120" s="2584"/>
      <c r="AN120" s="2584"/>
      <c r="AO120" s="2584"/>
      <c r="AP120" s="2584"/>
      <c r="AQ120" s="2584"/>
      <c r="AR120" s="2584"/>
      <c r="AS120" s="2584"/>
      <c r="AT120" s="2584"/>
      <c r="AU120" s="2584"/>
      <c r="AV120" s="2584"/>
      <c r="AW120" s="2584"/>
      <c r="AX120" s="2584"/>
      <c r="AY120" s="2584"/>
      <c r="AZ120" s="2584"/>
      <c r="BA120" s="2584"/>
      <c r="BB120" s="2584"/>
      <c r="BC120" s="2584"/>
      <c r="BD120" s="2584"/>
      <c r="BE120" s="2584"/>
      <c r="BF120" s="2584"/>
      <c r="BG120" s="4187"/>
      <c r="BH120" s="4187"/>
      <c r="BI120" s="3392"/>
      <c r="BJ120" s="2584"/>
      <c r="BK120" s="2584"/>
      <c r="BL120" s="4202"/>
      <c r="BM120" s="4202"/>
      <c r="BN120" s="4202"/>
      <c r="BO120" s="4202"/>
      <c r="BP120" s="2584"/>
    </row>
    <row r="121" spans="1:68" ht="150" customHeight="1" x14ac:dyDescent="0.25">
      <c r="A121" s="121"/>
      <c r="B121" s="4"/>
      <c r="C121" s="4"/>
      <c r="D121" s="122"/>
      <c r="E121" s="4"/>
      <c r="F121" s="123"/>
      <c r="G121" s="4370"/>
      <c r="H121" s="4372"/>
      <c r="I121" s="2608"/>
      <c r="J121" s="2717"/>
      <c r="K121" s="2625"/>
      <c r="L121" s="4200"/>
      <c r="M121" s="2717"/>
      <c r="N121" s="2618"/>
      <c r="O121" s="3379"/>
      <c r="P121" s="3392"/>
      <c r="Q121" s="4373"/>
      <c r="R121" s="2742"/>
      <c r="S121" s="2742"/>
      <c r="T121" s="871" t="s">
        <v>901</v>
      </c>
      <c r="U121" s="1063">
        <v>5500000</v>
      </c>
      <c r="V121" s="1119">
        <v>3000000</v>
      </c>
      <c r="W121" s="1119">
        <v>3000000</v>
      </c>
      <c r="X121" s="1133">
        <v>88</v>
      </c>
      <c r="Y121" s="2505" t="s">
        <v>411</v>
      </c>
      <c r="Z121" s="2584"/>
      <c r="AA121" s="2584"/>
      <c r="AB121" s="2584"/>
      <c r="AC121" s="2584"/>
      <c r="AD121" s="2584"/>
      <c r="AE121" s="2584"/>
      <c r="AF121" s="2584"/>
      <c r="AG121" s="2584"/>
      <c r="AH121" s="2584"/>
      <c r="AI121" s="2584"/>
      <c r="AJ121" s="2584"/>
      <c r="AK121" s="2584"/>
      <c r="AL121" s="2584"/>
      <c r="AM121" s="2584"/>
      <c r="AN121" s="2584"/>
      <c r="AO121" s="2584"/>
      <c r="AP121" s="2584"/>
      <c r="AQ121" s="2584"/>
      <c r="AR121" s="2584"/>
      <c r="AS121" s="2584"/>
      <c r="AT121" s="2584"/>
      <c r="AU121" s="2584"/>
      <c r="AV121" s="2584"/>
      <c r="AW121" s="2584"/>
      <c r="AX121" s="2584"/>
      <c r="AY121" s="2584"/>
      <c r="AZ121" s="2584"/>
      <c r="BA121" s="2584"/>
      <c r="BB121" s="2584"/>
      <c r="BC121" s="2584"/>
      <c r="BD121" s="2584"/>
      <c r="BE121" s="2584"/>
      <c r="BF121" s="2584"/>
      <c r="BG121" s="4187"/>
      <c r="BH121" s="4187"/>
      <c r="BI121" s="3392"/>
      <c r="BJ121" s="2584"/>
      <c r="BK121" s="2584"/>
      <c r="BL121" s="4202"/>
      <c r="BM121" s="4202"/>
      <c r="BN121" s="4202"/>
      <c r="BO121" s="4202"/>
      <c r="BP121" s="2584"/>
    </row>
    <row r="122" spans="1:68" ht="50.25" customHeight="1" x14ac:dyDescent="0.25">
      <c r="A122" s="121"/>
      <c r="B122" s="4"/>
      <c r="C122" s="4"/>
      <c r="D122" s="122"/>
      <c r="E122" s="4"/>
      <c r="F122" s="123"/>
      <c r="G122" s="4370"/>
      <c r="H122" s="4372"/>
      <c r="I122" s="2608"/>
      <c r="J122" s="2717"/>
      <c r="K122" s="2625"/>
      <c r="L122" s="4200"/>
      <c r="M122" s="2717"/>
      <c r="N122" s="2618"/>
      <c r="O122" s="3379"/>
      <c r="P122" s="3392"/>
      <c r="Q122" s="4373"/>
      <c r="R122" s="2742"/>
      <c r="S122" s="2742"/>
      <c r="T122" s="871" t="s">
        <v>870</v>
      </c>
      <c r="U122" s="1063">
        <v>5000000</v>
      </c>
      <c r="V122" s="1119">
        <v>5000000</v>
      </c>
      <c r="W122" s="1182">
        <v>5000000</v>
      </c>
      <c r="X122" s="1105">
        <v>88</v>
      </c>
      <c r="Y122" s="2494" t="s">
        <v>411</v>
      </c>
      <c r="Z122" s="2584"/>
      <c r="AA122" s="2584"/>
      <c r="AB122" s="2584"/>
      <c r="AC122" s="2584"/>
      <c r="AD122" s="2584"/>
      <c r="AE122" s="2584"/>
      <c r="AF122" s="2584"/>
      <c r="AG122" s="2584"/>
      <c r="AH122" s="2584"/>
      <c r="AI122" s="2584"/>
      <c r="AJ122" s="2584"/>
      <c r="AK122" s="2584"/>
      <c r="AL122" s="2584"/>
      <c r="AM122" s="2584"/>
      <c r="AN122" s="2584"/>
      <c r="AO122" s="2584"/>
      <c r="AP122" s="2584"/>
      <c r="AQ122" s="2584"/>
      <c r="AR122" s="2584"/>
      <c r="AS122" s="2584"/>
      <c r="AT122" s="2584"/>
      <c r="AU122" s="2584"/>
      <c r="AV122" s="2584"/>
      <c r="AW122" s="2584"/>
      <c r="AX122" s="2584"/>
      <c r="AY122" s="2584"/>
      <c r="AZ122" s="2584"/>
      <c r="BA122" s="2584"/>
      <c r="BB122" s="2584"/>
      <c r="BC122" s="2584"/>
      <c r="BD122" s="2584"/>
      <c r="BE122" s="2584"/>
      <c r="BF122" s="2584"/>
      <c r="BG122" s="4187"/>
      <c r="BH122" s="4187"/>
      <c r="BI122" s="3392"/>
      <c r="BJ122" s="2584"/>
      <c r="BK122" s="2584"/>
      <c r="BL122" s="4202"/>
      <c r="BM122" s="4202"/>
      <c r="BN122" s="4202"/>
      <c r="BO122" s="4202"/>
      <c r="BP122" s="2584"/>
    </row>
    <row r="123" spans="1:68" ht="78.75" customHeight="1" x14ac:dyDescent="0.25">
      <c r="A123" s="121"/>
      <c r="B123" s="4"/>
      <c r="C123" s="4"/>
      <c r="D123" s="122"/>
      <c r="E123" s="4"/>
      <c r="F123" s="123"/>
      <c r="G123" s="4370"/>
      <c r="H123" s="4372"/>
      <c r="I123" s="2608"/>
      <c r="J123" s="2717"/>
      <c r="K123" s="2625"/>
      <c r="L123" s="4200"/>
      <c r="M123" s="2717"/>
      <c r="N123" s="2618"/>
      <c r="O123" s="3379"/>
      <c r="P123" s="3392"/>
      <c r="Q123" s="4373"/>
      <c r="R123" s="2742"/>
      <c r="S123" s="2742"/>
      <c r="T123" s="871" t="s">
        <v>902</v>
      </c>
      <c r="U123" s="1063"/>
      <c r="V123" s="1119"/>
      <c r="W123" s="1182">
        <v>0</v>
      </c>
      <c r="X123" s="1105"/>
      <c r="Y123" s="2494"/>
      <c r="Z123" s="2584"/>
      <c r="AA123" s="2584"/>
      <c r="AB123" s="2584"/>
      <c r="AC123" s="2584"/>
      <c r="AD123" s="2584"/>
      <c r="AE123" s="2584"/>
      <c r="AF123" s="2584"/>
      <c r="AG123" s="2584"/>
      <c r="AH123" s="2584"/>
      <c r="AI123" s="2584"/>
      <c r="AJ123" s="2584"/>
      <c r="AK123" s="2584"/>
      <c r="AL123" s="2584"/>
      <c r="AM123" s="2584"/>
      <c r="AN123" s="2584"/>
      <c r="AO123" s="2584"/>
      <c r="AP123" s="2584"/>
      <c r="AQ123" s="2584"/>
      <c r="AR123" s="2584"/>
      <c r="AS123" s="2584"/>
      <c r="AT123" s="2584"/>
      <c r="AU123" s="2584"/>
      <c r="AV123" s="2584"/>
      <c r="AW123" s="2584"/>
      <c r="AX123" s="2584"/>
      <c r="AY123" s="2584"/>
      <c r="AZ123" s="2584"/>
      <c r="BA123" s="2584"/>
      <c r="BB123" s="2584"/>
      <c r="BC123" s="2584"/>
      <c r="BD123" s="2584"/>
      <c r="BE123" s="2584"/>
      <c r="BF123" s="2584"/>
      <c r="BG123" s="4187"/>
      <c r="BH123" s="4187"/>
      <c r="BI123" s="3392"/>
      <c r="BJ123" s="2584"/>
      <c r="BK123" s="2584"/>
      <c r="BL123" s="4202"/>
      <c r="BM123" s="4202"/>
      <c r="BN123" s="4202"/>
      <c r="BO123" s="4202"/>
      <c r="BP123" s="2584"/>
    </row>
    <row r="124" spans="1:68" ht="41.25" customHeight="1" x14ac:dyDescent="0.25">
      <c r="A124" s="121"/>
      <c r="B124" s="4"/>
      <c r="C124" s="4"/>
      <c r="D124" s="122"/>
      <c r="E124" s="4"/>
      <c r="F124" s="123"/>
      <c r="G124" s="4370"/>
      <c r="H124" s="4372"/>
      <c r="I124" s="2608"/>
      <c r="J124" s="2717"/>
      <c r="K124" s="2625"/>
      <c r="L124" s="4200"/>
      <c r="M124" s="2717"/>
      <c r="N124" s="2618"/>
      <c r="O124" s="3379"/>
      <c r="P124" s="3392"/>
      <c r="Q124" s="4373"/>
      <c r="R124" s="2742"/>
      <c r="S124" s="2742"/>
      <c r="T124" s="4375" t="s">
        <v>903</v>
      </c>
      <c r="U124" s="1106">
        <v>23000000</v>
      </c>
      <c r="V124" s="1116">
        <v>10264113</v>
      </c>
      <c r="W124" s="1116">
        <v>10264113</v>
      </c>
      <c r="X124" s="1105">
        <v>88</v>
      </c>
      <c r="Y124" s="2494" t="s">
        <v>411</v>
      </c>
      <c r="Z124" s="2584"/>
      <c r="AA124" s="2584"/>
      <c r="AB124" s="2584"/>
      <c r="AC124" s="2584"/>
      <c r="AD124" s="2584"/>
      <c r="AE124" s="2584"/>
      <c r="AF124" s="2584"/>
      <c r="AG124" s="2584"/>
      <c r="AH124" s="2584"/>
      <c r="AI124" s="2584"/>
      <c r="AJ124" s="2584"/>
      <c r="AK124" s="2584"/>
      <c r="AL124" s="2584"/>
      <c r="AM124" s="2584"/>
      <c r="AN124" s="2584"/>
      <c r="AO124" s="2584"/>
      <c r="AP124" s="2584"/>
      <c r="AQ124" s="2584"/>
      <c r="AR124" s="2584"/>
      <c r="AS124" s="2584"/>
      <c r="AT124" s="2584"/>
      <c r="AU124" s="2584"/>
      <c r="AV124" s="2584"/>
      <c r="AW124" s="2584"/>
      <c r="AX124" s="2584"/>
      <c r="AY124" s="2584"/>
      <c r="AZ124" s="2584"/>
      <c r="BA124" s="2584"/>
      <c r="BB124" s="2584"/>
      <c r="BC124" s="2584"/>
      <c r="BD124" s="2584"/>
      <c r="BE124" s="2584"/>
      <c r="BF124" s="2584"/>
      <c r="BG124" s="4187"/>
      <c r="BH124" s="4187"/>
      <c r="BI124" s="3392"/>
      <c r="BJ124" s="2584"/>
      <c r="BK124" s="2584"/>
      <c r="BL124" s="4202"/>
      <c r="BM124" s="4202"/>
      <c r="BN124" s="4202"/>
      <c r="BO124" s="4202"/>
      <c r="BP124" s="2584"/>
    </row>
    <row r="125" spans="1:68" ht="48" customHeight="1" x14ac:dyDescent="0.25">
      <c r="A125" s="121"/>
      <c r="B125" s="4"/>
      <c r="C125" s="4"/>
      <c r="D125" s="122"/>
      <c r="E125" s="4"/>
      <c r="F125" s="123"/>
      <c r="G125" s="4370"/>
      <c r="H125" s="4372"/>
      <c r="I125" s="2608"/>
      <c r="J125" s="2717"/>
      <c r="K125" s="2625"/>
      <c r="L125" s="4200"/>
      <c r="M125" s="2717"/>
      <c r="N125" s="2618"/>
      <c r="O125" s="3379"/>
      <c r="P125" s="3392"/>
      <c r="Q125" s="4373"/>
      <c r="R125" s="2742"/>
      <c r="S125" s="2742"/>
      <c r="T125" s="2822"/>
      <c r="U125" s="1063">
        <v>15500000</v>
      </c>
      <c r="V125" s="1183">
        <v>15500000</v>
      </c>
      <c r="W125" s="1183">
        <v>15500000</v>
      </c>
      <c r="X125" s="1105">
        <v>20</v>
      </c>
      <c r="Y125" s="2494" t="s">
        <v>85</v>
      </c>
      <c r="Z125" s="2584"/>
      <c r="AA125" s="2584"/>
      <c r="AB125" s="2584"/>
      <c r="AC125" s="2584"/>
      <c r="AD125" s="2584"/>
      <c r="AE125" s="2584"/>
      <c r="AF125" s="2584"/>
      <c r="AG125" s="2584"/>
      <c r="AH125" s="2584"/>
      <c r="AI125" s="2584"/>
      <c r="AJ125" s="2584"/>
      <c r="AK125" s="2584"/>
      <c r="AL125" s="2584"/>
      <c r="AM125" s="2584"/>
      <c r="AN125" s="2584"/>
      <c r="AO125" s="2584"/>
      <c r="AP125" s="2584"/>
      <c r="AQ125" s="2584"/>
      <c r="AR125" s="2584"/>
      <c r="AS125" s="2584"/>
      <c r="AT125" s="2584"/>
      <c r="AU125" s="2584"/>
      <c r="AV125" s="2584"/>
      <c r="AW125" s="2584"/>
      <c r="AX125" s="2584"/>
      <c r="AY125" s="2584"/>
      <c r="AZ125" s="2584"/>
      <c r="BA125" s="2584"/>
      <c r="BB125" s="2584"/>
      <c r="BC125" s="2584"/>
      <c r="BD125" s="2584"/>
      <c r="BE125" s="2584"/>
      <c r="BF125" s="2584"/>
      <c r="BG125" s="4187"/>
      <c r="BH125" s="4187"/>
      <c r="BI125" s="3392"/>
      <c r="BJ125" s="2584"/>
      <c r="BK125" s="2584"/>
      <c r="BL125" s="4202"/>
      <c r="BM125" s="4202"/>
      <c r="BN125" s="4202"/>
      <c r="BO125" s="4202"/>
      <c r="BP125" s="2584"/>
    </row>
    <row r="126" spans="1:68" ht="75" customHeight="1" x14ac:dyDescent="0.25">
      <c r="A126" s="121"/>
      <c r="B126" s="4"/>
      <c r="C126" s="4"/>
      <c r="D126" s="122"/>
      <c r="E126" s="4"/>
      <c r="F126" s="123"/>
      <c r="G126" s="4370"/>
      <c r="H126" s="4372"/>
      <c r="I126" s="2608"/>
      <c r="J126" s="2717"/>
      <c r="K126" s="2625"/>
      <c r="L126" s="4201"/>
      <c r="M126" s="2717"/>
      <c r="N126" s="2618"/>
      <c r="O126" s="3380"/>
      <c r="P126" s="3393"/>
      <c r="Q126" s="4374"/>
      <c r="R126" s="2743"/>
      <c r="S126" s="2743"/>
      <c r="T126" s="871" t="s">
        <v>904</v>
      </c>
      <c r="U126" s="1063">
        <v>7280000</v>
      </c>
      <c r="V126" s="1183">
        <v>7280000</v>
      </c>
      <c r="W126" s="1183">
        <v>7280000</v>
      </c>
      <c r="X126" s="1105">
        <v>20</v>
      </c>
      <c r="Y126" s="2494" t="s">
        <v>85</v>
      </c>
      <c r="Z126" s="2720"/>
      <c r="AA126" s="2720"/>
      <c r="AB126" s="2720"/>
      <c r="AC126" s="2720"/>
      <c r="AD126" s="2720"/>
      <c r="AE126" s="2720"/>
      <c r="AF126" s="2720"/>
      <c r="AG126" s="2720"/>
      <c r="AH126" s="2720"/>
      <c r="AI126" s="2720"/>
      <c r="AJ126" s="2720"/>
      <c r="AK126" s="2720"/>
      <c r="AL126" s="2720"/>
      <c r="AM126" s="2720"/>
      <c r="AN126" s="2720"/>
      <c r="AO126" s="2720"/>
      <c r="AP126" s="2720"/>
      <c r="AQ126" s="2720"/>
      <c r="AR126" s="2720"/>
      <c r="AS126" s="2720"/>
      <c r="AT126" s="2720"/>
      <c r="AU126" s="2720"/>
      <c r="AV126" s="2720"/>
      <c r="AW126" s="2720"/>
      <c r="AX126" s="2720"/>
      <c r="AY126" s="2720"/>
      <c r="AZ126" s="2720"/>
      <c r="BA126" s="2720"/>
      <c r="BB126" s="2720"/>
      <c r="BC126" s="2720"/>
      <c r="BD126" s="2720"/>
      <c r="BE126" s="2720"/>
      <c r="BF126" s="2720"/>
      <c r="BG126" s="4188"/>
      <c r="BH126" s="4188"/>
      <c r="BI126" s="3393"/>
      <c r="BJ126" s="2720"/>
      <c r="BK126" s="2720"/>
      <c r="BL126" s="4380"/>
      <c r="BM126" s="4380"/>
      <c r="BN126" s="4380"/>
      <c r="BO126" s="4380"/>
      <c r="BP126" s="2720"/>
    </row>
    <row r="127" spans="1:68" ht="45" customHeight="1" x14ac:dyDescent="0.25">
      <c r="A127" s="121"/>
      <c r="B127" s="4"/>
      <c r="C127" s="4"/>
      <c r="D127" s="122"/>
      <c r="E127" s="4"/>
      <c r="F127" s="123"/>
      <c r="G127" s="4376" t="s">
        <v>603</v>
      </c>
      <c r="H127" s="4378">
        <v>38.799999999999997</v>
      </c>
      <c r="I127" s="2586" t="s">
        <v>905</v>
      </c>
      <c r="J127" s="2708" t="s">
        <v>906</v>
      </c>
      <c r="K127" s="2582">
        <v>1</v>
      </c>
      <c r="L127" s="4379">
        <v>0.9</v>
      </c>
      <c r="M127" s="2708" t="s">
        <v>907</v>
      </c>
      <c r="N127" s="4081" t="s">
        <v>908</v>
      </c>
      <c r="O127" s="2741" t="s">
        <v>909</v>
      </c>
      <c r="P127" s="3391">
        <v>1</v>
      </c>
      <c r="Q127" s="4284">
        <v>79725000</v>
      </c>
      <c r="R127" s="2741" t="s">
        <v>910</v>
      </c>
      <c r="S127" s="2741" t="s">
        <v>911</v>
      </c>
      <c r="T127" s="871" t="s">
        <v>912</v>
      </c>
      <c r="U127" s="1106"/>
      <c r="V127" s="1106"/>
      <c r="W127" s="1184"/>
      <c r="X127" s="1105"/>
      <c r="Y127" s="2494"/>
      <c r="Z127" s="2583">
        <v>3000</v>
      </c>
      <c r="AA127" s="2583">
        <v>200</v>
      </c>
      <c r="AB127" s="2583">
        <v>0</v>
      </c>
      <c r="AC127" s="2583"/>
      <c r="AD127" s="2583">
        <v>500</v>
      </c>
      <c r="AE127" s="2583">
        <v>0</v>
      </c>
      <c r="AF127" s="2583">
        <v>1500</v>
      </c>
      <c r="AG127" s="2583">
        <v>0</v>
      </c>
      <c r="AH127" s="2583">
        <v>800</v>
      </c>
      <c r="AI127" s="2583">
        <v>150</v>
      </c>
      <c r="AJ127" s="2583">
        <v>100</v>
      </c>
      <c r="AK127" s="2583">
        <v>50</v>
      </c>
      <c r="AL127" s="2583">
        <v>100</v>
      </c>
      <c r="AM127" s="2583">
        <v>10</v>
      </c>
      <c r="AN127" s="2583">
        <v>1</v>
      </c>
      <c r="AO127" s="2583">
        <v>10</v>
      </c>
      <c r="AP127" s="2583">
        <v>0</v>
      </c>
      <c r="AQ127" s="2583"/>
      <c r="AR127" s="2583">
        <v>0</v>
      </c>
      <c r="AS127" s="2583"/>
      <c r="AT127" s="2583">
        <v>0</v>
      </c>
      <c r="AU127" s="2583"/>
      <c r="AV127" s="2583">
        <v>0</v>
      </c>
      <c r="AW127" s="2583"/>
      <c r="AX127" s="2583">
        <v>0</v>
      </c>
      <c r="AY127" s="2583">
        <v>10</v>
      </c>
      <c r="AZ127" s="2583">
        <v>0</v>
      </c>
      <c r="BA127" s="2583">
        <v>15</v>
      </c>
      <c r="BB127" s="2583">
        <v>0</v>
      </c>
      <c r="BC127" s="2583">
        <v>10</v>
      </c>
      <c r="BD127" s="2583">
        <v>3000</v>
      </c>
      <c r="BE127" s="2583">
        <f>AA127+AC127</f>
        <v>200</v>
      </c>
      <c r="BF127" s="2583">
        <v>6</v>
      </c>
      <c r="BG127" s="4186">
        <f>SUM(V127:V137)</f>
        <v>65314249</v>
      </c>
      <c r="BH127" s="4186">
        <f>SUM(W127:W137)</f>
        <v>65314249</v>
      </c>
      <c r="BI127" s="3391">
        <f>BH127/BG127</f>
        <v>1</v>
      </c>
      <c r="BJ127" s="2583" t="s">
        <v>691</v>
      </c>
      <c r="BK127" s="2583" t="s">
        <v>899</v>
      </c>
      <c r="BL127" s="4190">
        <v>43832</v>
      </c>
      <c r="BM127" s="4190">
        <v>43832</v>
      </c>
      <c r="BN127" s="4190">
        <v>44195</v>
      </c>
      <c r="BO127" s="4190">
        <v>44195</v>
      </c>
      <c r="BP127" s="2583" t="s">
        <v>693</v>
      </c>
    </row>
    <row r="128" spans="1:68" ht="30" x14ac:dyDescent="0.25">
      <c r="A128" s="121"/>
      <c r="B128" s="4"/>
      <c r="C128" s="4"/>
      <c r="D128" s="122"/>
      <c r="E128" s="4"/>
      <c r="F128" s="123"/>
      <c r="G128" s="4377"/>
      <c r="H128" s="4378"/>
      <c r="I128" s="2586"/>
      <c r="J128" s="2708"/>
      <c r="K128" s="2582"/>
      <c r="L128" s="4174"/>
      <c r="M128" s="2708"/>
      <c r="N128" s="2584"/>
      <c r="O128" s="2742"/>
      <c r="P128" s="3392"/>
      <c r="Q128" s="4257"/>
      <c r="R128" s="2742"/>
      <c r="S128" s="2742"/>
      <c r="T128" s="4375" t="s">
        <v>913</v>
      </c>
      <c r="U128" s="1063">
        <v>14000000</v>
      </c>
      <c r="V128" s="1063">
        <f>10266667+1600001</f>
        <v>11866668</v>
      </c>
      <c r="W128" s="1063">
        <f>10266667+1600001</f>
        <v>11866668</v>
      </c>
      <c r="X128" s="1105">
        <v>88</v>
      </c>
      <c r="Y128" s="2494" t="s">
        <v>411</v>
      </c>
      <c r="Z128" s="2584"/>
      <c r="AA128" s="2584"/>
      <c r="AB128" s="2584"/>
      <c r="AC128" s="2584"/>
      <c r="AD128" s="2584"/>
      <c r="AE128" s="2584"/>
      <c r="AF128" s="2584"/>
      <c r="AG128" s="2584"/>
      <c r="AH128" s="2584"/>
      <c r="AI128" s="2584"/>
      <c r="AJ128" s="2584"/>
      <c r="AK128" s="2584"/>
      <c r="AL128" s="2584"/>
      <c r="AM128" s="2584"/>
      <c r="AN128" s="2584"/>
      <c r="AO128" s="2584"/>
      <c r="AP128" s="2584"/>
      <c r="AQ128" s="2584"/>
      <c r="AR128" s="2584"/>
      <c r="AS128" s="2584"/>
      <c r="AT128" s="2584"/>
      <c r="AU128" s="2584"/>
      <c r="AV128" s="2584"/>
      <c r="AW128" s="2584"/>
      <c r="AX128" s="2584"/>
      <c r="AY128" s="2584"/>
      <c r="AZ128" s="2584"/>
      <c r="BA128" s="2584"/>
      <c r="BB128" s="2584"/>
      <c r="BC128" s="2584"/>
      <c r="BD128" s="2584"/>
      <c r="BE128" s="2584"/>
      <c r="BF128" s="2584"/>
      <c r="BG128" s="4187"/>
      <c r="BH128" s="4187"/>
      <c r="BI128" s="3392"/>
      <c r="BJ128" s="2584"/>
      <c r="BK128" s="2584"/>
      <c r="BL128" s="4202"/>
      <c r="BM128" s="4202"/>
      <c r="BN128" s="4202"/>
      <c r="BO128" s="4202"/>
      <c r="BP128" s="2584"/>
    </row>
    <row r="129" spans="1:68" ht="43.5" customHeight="1" x14ac:dyDescent="0.25">
      <c r="A129" s="121"/>
      <c r="B129" s="4"/>
      <c r="C129" s="4"/>
      <c r="D129" s="122"/>
      <c r="E129" s="4"/>
      <c r="F129" s="123"/>
      <c r="G129" s="4377"/>
      <c r="H129" s="4378"/>
      <c r="I129" s="2586"/>
      <c r="J129" s="2708"/>
      <c r="K129" s="2582"/>
      <c r="L129" s="4174"/>
      <c r="M129" s="2708"/>
      <c r="N129" s="2584"/>
      <c r="O129" s="2742"/>
      <c r="P129" s="3392"/>
      <c r="Q129" s="4257"/>
      <c r="R129" s="2742"/>
      <c r="S129" s="2742"/>
      <c r="T129" s="2822"/>
      <c r="U129" s="1063">
        <v>19280000</v>
      </c>
      <c r="V129" s="1063">
        <f>+U129</f>
        <v>19280000</v>
      </c>
      <c r="W129" s="1182">
        <f>+V129</f>
        <v>19280000</v>
      </c>
      <c r="X129" s="1105">
        <v>20</v>
      </c>
      <c r="Y129" s="2494" t="s">
        <v>85</v>
      </c>
      <c r="Z129" s="2584"/>
      <c r="AA129" s="2584"/>
      <c r="AB129" s="2584"/>
      <c r="AC129" s="2584"/>
      <c r="AD129" s="2584"/>
      <c r="AE129" s="2584"/>
      <c r="AF129" s="2584"/>
      <c r="AG129" s="2584"/>
      <c r="AH129" s="2584"/>
      <c r="AI129" s="2584"/>
      <c r="AJ129" s="2584"/>
      <c r="AK129" s="2584"/>
      <c r="AL129" s="2584"/>
      <c r="AM129" s="2584"/>
      <c r="AN129" s="2584"/>
      <c r="AO129" s="2584"/>
      <c r="AP129" s="2584"/>
      <c r="AQ129" s="2584"/>
      <c r="AR129" s="2584"/>
      <c r="AS129" s="2584"/>
      <c r="AT129" s="2584"/>
      <c r="AU129" s="2584"/>
      <c r="AV129" s="2584"/>
      <c r="AW129" s="2584"/>
      <c r="AX129" s="2584"/>
      <c r="AY129" s="2584"/>
      <c r="AZ129" s="2584"/>
      <c r="BA129" s="2584"/>
      <c r="BB129" s="2584"/>
      <c r="BC129" s="2584"/>
      <c r="BD129" s="2584"/>
      <c r="BE129" s="2584"/>
      <c r="BF129" s="2584"/>
      <c r="BG129" s="4187"/>
      <c r="BH129" s="4187"/>
      <c r="BI129" s="3392"/>
      <c r="BJ129" s="2584"/>
      <c r="BK129" s="2584"/>
      <c r="BL129" s="4202"/>
      <c r="BM129" s="4202"/>
      <c r="BN129" s="4202"/>
      <c r="BO129" s="4202"/>
      <c r="BP129" s="2584"/>
    </row>
    <row r="130" spans="1:68" ht="54.75" customHeight="1" x14ac:dyDescent="0.25">
      <c r="A130" s="121"/>
      <c r="B130" s="4"/>
      <c r="C130" s="4"/>
      <c r="D130" s="122"/>
      <c r="E130" s="4"/>
      <c r="F130" s="123"/>
      <c r="G130" s="4377"/>
      <c r="H130" s="4378"/>
      <c r="I130" s="2586"/>
      <c r="J130" s="2708"/>
      <c r="K130" s="2582"/>
      <c r="L130" s="4174"/>
      <c r="M130" s="2708"/>
      <c r="N130" s="2584"/>
      <c r="O130" s="2742"/>
      <c r="P130" s="3392"/>
      <c r="Q130" s="4257"/>
      <c r="R130" s="2742"/>
      <c r="S130" s="2742"/>
      <c r="T130" s="871" t="s">
        <v>701</v>
      </c>
      <c r="U130" s="1063">
        <v>3000000</v>
      </c>
      <c r="V130" s="1063">
        <v>3000000</v>
      </c>
      <c r="W130" s="1182">
        <v>3000000</v>
      </c>
      <c r="X130" s="1105">
        <v>88</v>
      </c>
      <c r="Y130" s="2494" t="s">
        <v>411</v>
      </c>
      <c r="Z130" s="2584"/>
      <c r="AA130" s="2584"/>
      <c r="AB130" s="2584"/>
      <c r="AC130" s="2584"/>
      <c r="AD130" s="2584"/>
      <c r="AE130" s="2584"/>
      <c r="AF130" s="2584"/>
      <c r="AG130" s="2584"/>
      <c r="AH130" s="2584"/>
      <c r="AI130" s="2584"/>
      <c r="AJ130" s="2584"/>
      <c r="AK130" s="2584"/>
      <c r="AL130" s="2584"/>
      <c r="AM130" s="2584"/>
      <c r="AN130" s="2584"/>
      <c r="AO130" s="2584"/>
      <c r="AP130" s="2584"/>
      <c r="AQ130" s="2584"/>
      <c r="AR130" s="2584"/>
      <c r="AS130" s="2584"/>
      <c r="AT130" s="2584"/>
      <c r="AU130" s="2584"/>
      <c r="AV130" s="2584"/>
      <c r="AW130" s="2584"/>
      <c r="AX130" s="2584"/>
      <c r="AY130" s="2584"/>
      <c r="AZ130" s="2584"/>
      <c r="BA130" s="2584"/>
      <c r="BB130" s="2584"/>
      <c r="BC130" s="2584"/>
      <c r="BD130" s="2584"/>
      <c r="BE130" s="2584"/>
      <c r="BF130" s="2584"/>
      <c r="BG130" s="4187"/>
      <c r="BH130" s="4187"/>
      <c r="BI130" s="3392"/>
      <c r="BJ130" s="2584"/>
      <c r="BK130" s="2584"/>
      <c r="BL130" s="4202"/>
      <c r="BM130" s="4202"/>
      <c r="BN130" s="4202"/>
      <c r="BO130" s="4202"/>
      <c r="BP130" s="2584"/>
    </row>
    <row r="131" spans="1:68" ht="75" x14ac:dyDescent="0.25">
      <c r="A131" s="121"/>
      <c r="B131" s="4"/>
      <c r="C131" s="4"/>
      <c r="D131" s="122"/>
      <c r="E131" s="4"/>
      <c r="F131" s="123"/>
      <c r="G131" s="4377"/>
      <c r="H131" s="4378"/>
      <c r="I131" s="2586"/>
      <c r="J131" s="2708"/>
      <c r="K131" s="2582"/>
      <c r="L131" s="4174"/>
      <c r="M131" s="2708"/>
      <c r="N131" s="2584"/>
      <c r="O131" s="2742"/>
      <c r="P131" s="3392"/>
      <c r="Q131" s="4257"/>
      <c r="R131" s="2742"/>
      <c r="S131" s="2742"/>
      <c r="T131" s="871" t="s">
        <v>914</v>
      </c>
      <c r="U131" s="1107"/>
      <c r="V131" s="1107">
        <v>0</v>
      </c>
      <c r="W131" s="1182">
        <v>0</v>
      </c>
      <c r="X131" s="1105"/>
      <c r="Y131" s="2494"/>
      <c r="Z131" s="2584"/>
      <c r="AA131" s="2584"/>
      <c r="AB131" s="2584"/>
      <c r="AC131" s="2584"/>
      <c r="AD131" s="2584"/>
      <c r="AE131" s="2584"/>
      <c r="AF131" s="2584"/>
      <c r="AG131" s="2584"/>
      <c r="AH131" s="2584"/>
      <c r="AI131" s="2584"/>
      <c r="AJ131" s="2584"/>
      <c r="AK131" s="2584"/>
      <c r="AL131" s="2584"/>
      <c r="AM131" s="2584"/>
      <c r="AN131" s="2584"/>
      <c r="AO131" s="2584"/>
      <c r="AP131" s="2584"/>
      <c r="AQ131" s="2584"/>
      <c r="AR131" s="2584"/>
      <c r="AS131" s="2584"/>
      <c r="AT131" s="2584"/>
      <c r="AU131" s="2584"/>
      <c r="AV131" s="2584"/>
      <c r="AW131" s="2584"/>
      <c r="AX131" s="2584"/>
      <c r="AY131" s="2584"/>
      <c r="AZ131" s="2584"/>
      <c r="BA131" s="2584"/>
      <c r="BB131" s="2584"/>
      <c r="BC131" s="2584"/>
      <c r="BD131" s="2584"/>
      <c r="BE131" s="2584"/>
      <c r="BF131" s="2584"/>
      <c r="BG131" s="4187"/>
      <c r="BH131" s="4187"/>
      <c r="BI131" s="3392"/>
      <c r="BJ131" s="2584"/>
      <c r="BK131" s="2584"/>
      <c r="BL131" s="4202"/>
      <c r="BM131" s="4202"/>
      <c r="BN131" s="4202"/>
      <c r="BO131" s="4202"/>
      <c r="BP131" s="2584"/>
    </row>
    <row r="132" spans="1:68" ht="33" customHeight="1" x14ac:dyDescent="0.25">
      <c r="A132" s="121"/>
      <c r="B132" s="4"/>
      <c r="C132" s="4"/>
      <c r="D132" s="122"/>
      <c r="E132" s="4"/>
      <c r="F132" s="123"/>
      <c r="G132" s="4377"/>
      <c r="H132" s="4378"/>
      <c r="I132" s="2586"/>
      <c r="J132" s="2708"/>
      <c r="K132" s="2582"/>
      <c r="L132" s="4174"/>
      <c r="M132" s="2708"/>
      <c r="N132" s="2584"/>
      <c r="O132" s="2742"/>
      <c r="P132" s="3392"/>
      <c r="Q132" s="4257"/>
      <c r="R132" s="2742"/>
      <c r="S132" s="2742"/>
      <c r="T132" s="2814" t="s">
        <v>915</v>
      </c>
      <c r="U132" s="1063">
        <v>1120000</v>
      </c>
      <c r="V132" s="1063">
        <f>+U132</f>
        <v>1120000</v>
      </c>
      <c r="W132" s="1089">
        <f>+V132</f>
        <v>1120000</v>
      </c>
      <c r="X132" s="1185">
        <v>20</v>
      </c>
      <c r="Y132" s="2494" t="s">
        <v>85</v>
      </c>
      <c r="Z132" s="2584"/>
      <c r="AA132" s="2584"/>
      <c r="AB132" s="2584"/>
      <c r="AC132" s="2584"/>
      <c r="AD132" s="2584"/>
      <c r="AE132" s="2584"/>
      <c r="AF132" s="2584"/>
      <c r="AG132" s="2584"/>
      <c r="AH132" s="2584"/>
      <c r="AI132" s="2584"/>
      <c r="AJ132" s="2584"/>
      <c r="AK132" s="2584"/>
      <c r="AL132" s="2584"/>
      <c r="AM132" s="2584"/>
      <c r="AN132" s="2584"/>
      <c r="AO132" s="2584"/>
      <c r="AP132" s="2584"/>
      <c r="AQ132" s="2584"/>
      <c r="AR132" s="2584"/>
      <c r="AS132" s="2584"/>
      <c r="AT132" s="2584"/>
      <c r="AU132" s="2584"/>
      <c r="AV132" s="2584"/>
      <c r="AW132" s="2584"/>
      <c r="AX132" s="2584"/>
      <c r="AY132" s="2584"/>
      <c r="AZ132" s="2584"/>
      <c r="BA132" s="2584"/>
      <c r="BB132" s="2584"/>
      <c r="BC132" s="2584"/>
      <c r="BD132" s="2584"/>
      <c r="BE132" s="2584"/>
      <c r="BF132" s="2584"/>
      <c r="BG132" s="4187"/>
      <c r="BH132" s="4187"/>
      <c r="BI132" s="3392"/>
      <c r="BJ132" s="2584"/>
      <c r="BK132" s="2584"/>
      <c r="BL132" s="4202"/>
      <c r="BM132" s="4202"/>
      <c r="BN132" s="4202"/>
      <c r="BO132" s="4202"/>
      <c r="BP132" s="2584"/>
    </row>
    <row r="133" spans="1:68" ht="30" x14ac:dyDescent="0.25">
      <c r="A133" s="121"/>
      <c r="B133" s="4"/>
      <c r="C133" s="4"/>
      <c r="D133" s="122"/>
      <c r="E133" s="4"/>
      <c r="F133" s="123"/>
      <c r="G133" s="4377"/>
      <c r="H133" s="4378"/>
      <c r="I133" s="2586"/>
      <c r="J133" s="2708"/>
      <c r="K133" s="2582"/>
      <c r="L133" s="4174"/>
      <c r="M133" s="2708"/>
      <c r="N133" s="2584"/>
      <c r="O133" s="2742"/>
      <c r="P133" s="3392"/>
      <c r="Q133" s="4257"/>
      <c r="R133" s="2742"/>
      <c r="S133" s="2742"/>
      <c r="T133" s="3559"/>
      <c r="U133" s="1186">
        <v>14000000</v>
      </c>
      <c r="V133" s="1071">
        <v>3500000</v>
      </c>
      <c r="W133" s="1153">
        <v>3500000</v>
      </c>
      <c r="X133" s="1065">
        <v>88</v>
      </c>
      <c r="Y133" s="2495" t="s">
        <v>411</v>
      </c>
      <c r="Z133" s="2584"/>
      <c r="AA133" s="2584"/>
      <c r="AB133" s="2584"/>
      <c r="AC133" s="2584"/>
      <c r="AD133" s="2584"/>
      <c r="AE133" s="2584"/>
      <c r="AF133" s="2584"/>
      <c r="AG133" s="2584"/>
      <c r="AH133" s="2584"/>
      <c r="AI133" s="2584"/>
      <c r="AJ133" s="2584"/>
      <c r="AK133" s="2584"/>
      <c r="AL133" s="2584"/>
      <c r="AM133" s="2584"/>
      <c r="AN133" s="2584"/>
      <c r="AO133" s="2584"/>
      <c r="AP133" s="2584"/>
      <c r="AQ133" s="2584"/>
      <c r="AR133" s="2584"/>
      <c r="AS133" s="2584"/>
      <c r="AT133" s="2584"/>
      <c r="AU133" s="2584"/>
      <c r="AV133" s="2584"/>
      <c r="AW133" s="2584"/>
      <c r="AX133" s="2584"/>
      <c r="AY133" s="2584"/>
      <c r="AZ133" s="2584"/>
      <c r="BA133" s="2584"/>
      <c r="BB133" s="2584"/>
      <c r="BC133" s="2584"/>
      <c r="BD133" s="2584"/>
      <c r="BE133" s="2584"/>
      <c r="BF133" s="2584"/>
      <c r="BG133" s="4187"/>
      <c r="BH133" s="4187"/>
      <c r="BI133" s="3392"/>
      <c r="BJ133" s="2584"/>
      <c r="BK133" s="2584"/>
      <c r="BL133" s="4202"/>
      <c r="BM133" s="4202"/>
      <c r="BN133" s="4202"/>
      <c r="BO133" s="4202"/>
      <c r="BP133" s="2584"/>
    </row>
    <row r="134" spans="1:68" ht="30" x14ac:dyDescent="0.25">
      <c r="A134" s="121"/>
      <c r="B134" s="4"/>
      <c r="C134" s="4"/>
      <c r="D134" s="122"/>
      <c r="E134" s="4"/>
      <c r="F134" s="123"/>
      <c r="G134" s="4377"/>
      <c r="H134" s="4378"/>
      <c r="I134" s="2586"/>
      <c r="J134" s="2708"/>
      <c r="K134" s="2582"/>
      <c r="L134" s="4174"/>
      <c r="M134" s="2708"/>
      <c r="N134" s="2584"/>
      <c r="O134" s="2742"/>
      <c r="P134" s="3392"/>
      <c r="Q134" s="4257"/>
      <c r="R134" s="2742"/>
      <c r="S134" s="2742"/>
      <c r="T134" s="2585" t="s">
        <v>916</v>
      </c>
      <c r="U134" s="1929">
        <v>14000000</v>
      </c>
      <c r="V134" s="1930">
        <v>12222581</v>
      </c>
      <c r="W134" s="1930">
        <v>12222581</v>
      </c>
      <c r="X134" s="1065">
        <v>88</v>
      </c>
      <c r="Y134" s="2495" t="s">
        <v>411</v>
      </c>
      <c r="Z134" s="2584"/>
      <c r="AA134" s="2584"/>
      <c r="AB134" s="2584"/>
      <c r="AC134" s="2584"/>
      <c r="AD134" s="2584"/>
      <c r="AE134" s="2584"/>
      <c r="AF134" s="2584"/>
      <c r="AG134" s="2584"/>
      <c r="AH134" s="2584"/>
      <c r="AI134" s="2584"/>
      <c r="AJ134" s="2584"/>
      <c r="AK134" s="2584"/>
      <c r="AL134" s="2584"/>
      <c r="AM134" s="2584"/>
      <c r="AN134" s="2584"/>
      <c r="AO134" s="2584"/>
      <c r="AP134" s="2584"/>
      <c r="AQ134" s="2584"/>
      <c r="AR134" s="2584"/>
      <c r="AS134" s="2584"/>
      <c r="AT134" s="2584"/>
      <c r="AU134" s="2584"/>
      <c r="AV134" s="2584"/>
      <c r="AW134" s="2584"/>
      <c r="AX134" s="2584"/>
      <c r="AY134" s="2584"/>
      <c r="AZ134" s="2584"/>
      <c r="BA134" s="2584"/>
      <c r="BB134" s="2584"/>
      <c r="BC134" s="2584"/>
      <c r="BD134" s="2584"/>
      <c r="BE134" s="2584"/>
      <c r="BF134" s="2584"/>
      <c r="BG134" s="4187"/>
      <c r="BH134" s="4187"/>
      <c r="BI134" s="3392"/>
      <c r="BJ134" s="2584"/>
      <c r="BK134" s="2584"/>
      <c r="BL134" s="4202"/>
      <c r="BM134" s="4202"/>
      <c r="BN134" s="4202"/>
      <c r="BO134" s="4202"/>
      <c r="BP134" s="2584"/>
    </row>
    <row r="135" spans="1:68" ht="56.25" customHeight="1" x14ac:dyDescent="0.25">
      <c r="A135" s="121"/>
      <c r="B135" s="4"/>
      <c r="C135" s="4"/>
      <c r="D135" s="122"/>
      <c r="E135" s="4"/>
      <c r="F135" s="123"/>
      <c r="G135" s="4377"/>
      <c r="H135" s="4378"/>
      <c r="I135" s="2586"/>
      <c r="J135" s="2708"/>
      <c r="K135" s="2582"/>
      <c r="L135" s="4174"/>
      <c r="M135" s="2708"/>
      <c r="N135" s="2584"/>
      <c r="O135" s="2742"/>
      <c r="P135" s="3392"/>
      <c r="Q135" s="4257"/>
      <c r="R135" s="2742"/>
      <c r="S135" s="2742"/>
      <c r="T135" s="3559"/>
      <c r="U135" s="1126">
        <v>6800000</v>
      </c>
      <c r="V135" s="1059">
        <f>+U135</f>
        <v>6800000</v>
      </c>
      <c r="W135" s="1182">
        <f>+V135</f>
        <v>6800000</v>
      </c>
      <c r="X135" s="1105">
        <v>20</v>
      </c>
      <c r="Y135" s="2494" t="s">
        <v>85</v>
      </c>
      <c r="Z135" s="2584"/>
      <c r="AA135" s="2584"/>
      <c r="AB135" s="2584"/>
      <c r="AC135" s="2584"/>
      <c r="AD135" s="2584"/>
      <c r="AE135" s="2584"/>
      <c r="AF135" s="2584"/>
      <c r="AG135" s="2584"/>
      <c r="AH135" s="2584"/>
      <c r="AI135" s="2584"/>
      <c r="AJ135" s="2584"/>
      <c r="AK135" s="2584"/>
      <c r="AL135" s="2584"/>
      <c r="AM135" s="2584"/>
      <c r="AN135" s="2584"/>
      <c r="AO135" s="2584"/>
      <c r="AP135" s="2584"/>
      <c r="AQ135" s="2584"/>
      <c r="AR135" s="2584"/>
      <c r="AS135" s="2584"/>
      <c r="AT135" s="2584"/>
      <c r="AU135" s="2584"/>
      <c r="AV135" s="2584"/>
      <c r="AW135" s="2584"/>
      <c r="AX135" s="2584"/>
      <c r="AY135" s="2584"/>
      <c r="AZ135" s="2584"/>
      <c r="BA135" s="2584"/>
      <c r="BB135" s="2584"/>
      <c r="BC135" s="2584"/>
      <c r="BD135" s="2584"/>
      <c r="BE135" s="2584"/>
      <c r="BF135" s="2584"/>
      <c r="BG135" s="4187"/>
      <c r="BH135" s="4187"/>
      <c r="BI135" s="3392"/>
      <c r="BJ135" s="2584"/>
      <c r="BK135" s="2584"/>
      <c r="BL135" s="4202"/>
      <c r="BM135" s="4202"/>
      <c r="BN135" s="4202"/>
      <c r="BO135" s="4202"/>
      <c r="BP135" s="2584"/>
    </row>
    <row r="136" spans="1:68" ht="52.5" customHeight="1" x14ac:dyDescent="0.25">
      <c r="A136" s="121"/>
      <c r="B136" s="4"/>
      <c r="C136" s="4"/>
      <c r="D136" s="122"/>
      <c r="E136" s="4"/>
      <c r="F136" s="123"/>
      <c r="G136" s="4377"/>
      <c r="H136" s="4378"/>
      <c r="I136" s="2586"/>
      <c r="J136" s="2708"/>
      <c r="K136" s="2582"/>
      <c r="L136" s="4174"/>
      <c r="M136" s="2708"/>
      <c r="N136" s="2584"/>
      <c r="O136" s="2742"/>
      <c r="P136" s="3392"/>
      <c r="Q136" s="4257"/>
      <c r="R136" s="2742"/>
      <c r="S136" s="2742"/>
      <c r="T136" s="871" t="s">
        <v>902</v>
      </c>
      <c r="U136" s="1126"/>
      <c r="V136" s="1059">
        <v>0</v>
      </c>
      <c r="W136" s="1182">
        <v>0</v>
      </c>
      <c r="X136" s="1065"/>
      <c r="Y136" s="2495"/>
      <c r="Z136" s="2584"/>
      <c r="AA136" s="2584"/>
      <c r="AB136" s="2584"/>
      <c r="AC136" s="2584"/>
      <c r="AD136" s="2584"/>
      <c r="AE136" s="2584"/>
      <c r="AF136" s="2584"/>
      <c r="AG136" s="2584"/>
      <c r="AH136" s="2584"/>
      <c r="AI136" s="2584"/>
      <c r="AJ136" s="2584"/>
      <c r="AK136" s="2584"/>
      <c r="AL136" s="2584"/>
      <c r="AM136" s="2584"/>
      <c r="AN136" s="2584"/>
      <c r="AO136" s="2584"/>
      <c r="AP136" s="2584"/>
      <c r="AQ136" s="2584"/>
      <c r="AR136" s="2584"/>
      <c r="AS136" s="2584"/>
      <c r="AT136" s="2584"/>
      <c r="AU136" s="2584"/>
      <c r="AV136" s="2584"/>
      <c r="AW136" s="2584"/>
      <c r="AX136" s="2584"/>
      <c r="AY136" s="2584"/>
      <c r="AZ136" s="2584"/>
      <c r="BA136" s="2584"/>
      <c r="BB136" s="2584"/>
      <c r="BC136" s="2584"/>
      <c r="BD136" s="2584"/>
      <c r="BE136" s="2584"/>
      <c r="BF136" s="2584"/>
      <c r="BG136" s="4187"/>
      <c r="BH136" s="4187"/>
      <c r="BI136" s="3392"/>
      <c r="BJ136" s="2584"/>
      <c r="BK136" s="2584"/>
      <c r="BL136" s="4202"/>
      <c r="BM136" s="4202"/>
      <c r="BN136" s="4202"/>
      <c r="BO136" s="4202"/>
      <c r="BP136" s="2584"/>
    </row>
    <row r="137" spans="1:68" ht="75" customHeight="1" x14ac:dyDescent="0.25">
      <c r="A137" s="121"/>
      <c r="B137" s="4"/>
      <c r="C137" s="4"/>
      <c r="D137" s="122"/>
      <c r="E137" s="4"/>
      <c r="F137" s="123"/>
      <c r="G137" s="4377"/>
      <c r="H137" s="4378"/>
      <c r="I137" s="2586"/>
      <c r="J137" s="2708"/>
      <c r="K137" s="2582"/>
      <c r="L137" s="4283"/>
      <c r="M137" s="2708"/>
      <c r="N137" s="2584"/>
      <c r="O137" s="2742"/>
      <c r="P137" s="3392"/>
      <c r="Q137" s="4257"/>
      <c r="R137" s="2742"/>
      <c r="S137" s="2742"/>
      <c r="T137" s="869" t="s">
        <v>917</v>
      </c>
      <c r="U137" s="1112">
        <v>7525000</v>
      </c>
      <c r="V137" s="1112">
        <f>+U137</f>
        <v>7525000</v>
      </c>
      <c r="W137" s="1182">
        <f>+V137</f>
        <v>7525000</v>
      </c>
      <c r="X137" s="1105">
        <v>20</v>
      </c>
      <c r="Y137" s="2494" t="s">
        <v>85</v>
      </c>
      <c r="Z137" s="2720"/>
      <c r="AA137" s="2720"/>
      <c r="AB137" s="2720"/>
      <c r="AC137" s="2720"/>
      <c r="AD137" s="2720"/>
      <c r="AE137" s="2720"/>
      <c r="AF137" s="2720"/>
      <c r="AG137" s="2720"/>
      <c r="AH137" s="2720"/>
      <c r="AI137" s="2720"/>
      <c r="AJ137" s="2720"/>
      <c r="AK137" s="2720"/>
      <c r="AL137" s="2720"/>
      <c r="AM137" s="2720"/>
      <c r="AN137" s="2720"/>
      <c r="AO137" s="2720"/>
      <c r="AP137" s="2720"/>
      <c r="AQ137" s="2720"/>
      <c r="AR137" s="2720"/>
      <c r="AS137" s="2720"/>
      <c r="AT137" s="2720"/>
      <c r="AU137" s="2720"/>
      <c r="AV137" s="2720"/>
      <c r="AW137" s="2720"/>
      <c r="AX137" s="2720"/>
      <c r="AY137" s="2720"/>
      <c r="AZ137" s="2720"/>
      <c r="BA137" s="2720"/>
      <c r="BB137" s="2720"/>
      <c r="BC137" s="2720"/>
      <c r="BD137" s="2720"/>
      <c r="BE137" s="2720"/>
      <c r="BF137" s="2720"/>
      <c r="BG137" s="4188"/>
      <c r="BH137" s="4188"/>
      <c r="BI137" s="3393"/>
      <c r="BJ137" s="2720"/>
      <c r="BK137" s="2720"/>
      <c r="BL137" s="4380"/>
      <c r="BM137" s="4380"/>
      <c r="BN137" s="4380"/>
      <c r="BO137" s="4380"/>
      <c r="BP137" s="2720"/>
    </row>
    <row r="138" spans="1:68" s="861" customFormat="1" ht="51" customHeight="1" x14ac:dyDescent="0.25">
      <c r="A138" s="1120"/>
      <c r="B138" s="71"/>
      <c r="C138" s="71"/>
      <c r="D138" s="339"/>
      <c r="E138" s="71"/>
      <c r="F138" s="340"/>
      <c r="G138" s="4384" t="s">
        <v>603</v>
      </c>
      <c r="H138" s="4372">
        <v>38.9</v>
      </c>
      <c r="I138" s="4386" t="s">
        <v>918</v>
      </c>
      <c r="J138" s="3479" t="s">
        <v>919</v>
      </c>
      <c r="K138" s="3498">
        <v>1</v>
      </c>
      <c r="L138" s="4199">
        <v>0.8</v>
      </c>
      <c r="M138" s="2717" t="s">
        <v>920</v>
      </c>
      <c r="N138" s="2626" t="s">
        <v>921</v>
      </c>
      <c r="O138" s="2698" t="s">
        <v>922</v>
      </c>
      <c r="P138" s="4304">
        <v>2.167599924733745E-2</v>
      </c>
      <c r="Q138" s="4273">
        <v>4382727592.3900003</v>
      </c>
      <c r="R138" s="2698" t="s">
        <v>923</v>
      </c>
      <c r="S138" s="2698" t="s">
        <v>924</v>
      </c>
      <c r="T138" s="1187" t="s">
        <v>925</v>
      </c>
      <c r="U138" s="1188"/>
      <c r="V138" s="1189"/>
      <c r="W138" s="1189"/>
      <c r="X138" s="1190"/>
      <c r="Y138" s="2510"/>
      <c r="Z138" s="2793">
        <v>3500</v>
      </c>
      <c r="AA138" s="2721">
        <v>2550</v>
      </c>
      <c r="AB138" s="2583">
        <v>4000</v>
      </c>
      <c r="AC138" s="2721">
        <v>6000</v>
      </c>
      <c r="AD138" s="2583">
        <v>0</v>
      </c>
      <c r="AE138" s="2583">
        <v>0</v>
      </c>
      <c r="AF138" s="2583">
        <v>0</v>
      </c>
      <c r="AG138" s="2583">
        <v>0</v>
      </c>
      <c r="AH138" s="2583">
        <v>0</v>
      </c>
      <c r="AI138" s="2583">
        <v>11</v>
      </c>
      <c r="AJ138" s="2583">
        <v>7500</v>
      </c>
      <c r="AK138" s="2583">
        <v>8550</v>
      </c>
      <c r="AL138" s="2583">
        <v>0</v>
      </c>
      <c r="AM138" s="2583">
        <v>0</v>
      </c>
      <c r="AN138" s="2583">
        <v>0</v>
      </c>
      <c r="AO138" s="2583">
        <v>1</v>
      </c>
      <c r="AP138" s="2583">
        <v>0</v>
      </c>
      <c r="AQ138" s="2583">
        <v>0</v>
      </c>
      <c r="AR138" s="2583">
        <v>0</v>
      </c>
      <c r="AS138" s="2583">
        <v>0</v>
      </c>
      <c r="AT138" s="2583">
        <v>0</v>
      </c>
      <c r="AU138" s="2583">
        <v>15</v>
      </c>
      <c r="AV138" s="2583">
        <v>0</v>
      </c>
      <c r="AW138" s="2583">
        <v>0</v>
      </c>
      <c r="AX138" s="2583">
        <v>0</v>
      </c>
      <c r="AY138" s="2583">
        <v>0</v>
      </c>
      <c r="AZ138" s="2583">
        <v>0</v>
      </c>
      <c r="BA138" s="2583">
        <v>142</v>
      </c>
      <c r="BB138" s="2583">
        <v>0</v>
      </c>
      <c r="BC138" s="2583">
        <v>2</v>
      </c>
      <c r="BD138" s="2583">
        <v>7500</v>
      </c>
      <c r="BE138" s="2583">
        <f>AA138+AC138</f>
        <v>8550</v>
      </c>
      <c r="BF138" s="3175">
        <v>13</v>
      </c>
      <c r="BG138" s="4399">
        <f>SUM(V138:V160)</f>
        <v>3759322831</v>
      </c>
      <c r="BH138" s="4399">
        <f>SUM(W138:W160)</f>
        <v>3759322831</v>
      </c>
      <c r="BI138" s="3181">
        <f>BH138/BG138</f>
        <v>1</v>
      </c>
      <c r="BJ138" s="4394" t="s">
        <v>926</v>
      </c>
      <c r="BK138" s="4396" t="s">
        <v>844</v>
      </c>
      <c r="BL138" s="4190">
        <v>43832</v>
      </c>
      <c r="BM138" s="4190">
        <v>43832</v>
      </c>
      <c r="BN138" s="4190">
        <v>44195</v>
      </c>
      <c r="BO138" s="4190">
        <v>44195</v>
      </c>
      <c r="BP138" s="2988" t="s">
        <v>693</v>
      </c>
    </row>
    <row r="139" spans="1:68" s="861" customFormat="1" ht="60" customHeight="1" x14ac:dyDescent="0.25">
      <c r="A139" s="1120"/>
      <c r="B139" s="71"/>
      <c r="C139" s="71"/>
      <c r="D139" s="339"/>
      <c r="E139" s="71"/>
      <c r="F139" s="340"/>
      <c r="G139" s="4384"/>
      <c r="H139" s="4372"/>
      <c r="I139" s="4386"/>
      <c r="J139" s="3479"/>
      <c r="K139" s="3498"/>
      <c r="L139" s="4200"/>
      <c r="M139" s="2717"/>
      <c r="N139" s="2626"/>
      <c r="O139" s="2698"/>
      <c r="P139" s="4304"/>
      <c r="Q139" s="4273"/>
      <c r="R139" s="2698"/>
      <c r="S139" s="2821"/>
      <c r="T139" s="4289" t="s">
        <v>927</v>
      </c>
      <c r="U139" s="1191">
        <v>4066666</v>
      </c>
      <c r="V139" s="1192">
        <v>2000000</v>
      </c>
      <c r="W139" s="1192">
        <v>2000000</v>
      </c>
      <c r="X139" s="1190">
        <v>88</v>
      </c>
      <c r="Y139" s="2510" t="s">
        <v>411</v>
      </c>
      <c r="Z139" s="2794"/>
      <c r="AA139" s="2722"/>
      <c r="AB139" s="2584"/>
      <c r="AC139" s="2722"/>
      <c r="AD139" s="2584"/>
      <c r="AE139" s="2584"/>
      <c r="AF139" s="2584"/>
      <c r="AG139" s="2584"/>
      <c r="AH139" s="2584"/>
      <c r="AI139" s="2584"/>
      <c r="AJ139" s="2584"/>
      <c r="AK139" s="2584"/>
      <c r="AL139" s="2584"/>
      <c r="AM139" s="2584"/>
      <c r="AN139" s="2584"/>
      <c r="AO139" s="2584"/>
      <c r="AP139" s="2584"/>
      <c r="AQ139" s="2584"/>
      <c r="AR139" s="2584"/>
      <c r="AS139" s="2584"/>
      <c r="AT139" s="2584"/>
      <c r="AU139" s="2584"/>
      <c r="AV139" s="2584"/>
      <c r="AW139" s="2584"/>
      <c r="AX139" s="2584"/>
      <c r="AY139" s="2584"/>
      <c r="AZ139" s="2584"/>
      <c r="BA139" s="2584"/>
      <c r="BB139" s="2584"/>
      <c r="BC139" s="2584"/>
      <c r="BD139" s="2584"/>
      <c r="BE139" s="2584"/>
      <c r="BF139" s="3176"/>
      <c r="BG139" s="4400"/>
      <c r="BH139" s="4400"/>
      <c r="BI139" s="3182"/>
      <c r="BJ139" s="4395"/>
      <c r="BK139" s="4397"/>
      <c r="BL139" s="4202"/>
      <c r="BM139" s="4202"/>
      <c r="BN139" s="4202"/>
      <c r="BO139" s="4202"/>
      <c r="BP139" s="2988"/>
    </row>
    <row r="140" spans="1:68" s="861" customFormat="1" ht="42.75" customHeight="1" x14ac:dyDescent="0.25">
      <c r="A140" s="1120"/>
      <c r="B140" s="71"/>
      <c r="C140" s="71"/>
      <c r="D140" s="339"/>
      <c r="E140" s="71"/>
      <c r="F140" s="340"/>
      <c r="G140" s="4384"/>
      <c r="H140" s="4372"/>
      <c r="I140" s="4386"/>
      <c r="J140" s="3479"/>
      <c r="K140" s="3498"/>
      <c r="L140" s="4200"/>
      <c r="M140" s="2717"/>
      <c r="N140" s="2626"/>
      <c r="O140" s="2698"/>
      <c r="P140" s="4304"/>
      <c r="Q140" s="4273"/>
      <c r="R140" s="2698"/>
      <c r="S140" s="2821"/>
      <c r="T140" s="4289"/>
      <c r="U140" s="1160">
        <v>9686666</v>
      </c>
      <c r="V140" s="1112">
        <f t="shared" ref="V140:W143" si="0">+U140</f>
        <v>9686666</v>
      </c>
      <c r="W140" s="1112">
        <f t="shared" si="0"/>
        <v>9686666</v>
      </c>
      <c r="X140" s="1193">
        <v>20</v>
      </c>
      <c r="Y140" s="2510" t="s">
        <v>85</v>
      </c>
      <c r="Z140" s="2794"/>
      <c r="AA140" s="2722"/>
      <c r="AB140" s="2584"/>
      <c r="AC140" s="2722"/>
      <c r="AD140" s="2584"/>
      <c r="AE140" s="2584"/>
      <c r="AF140" s="2584"/>
      <c r="AG140" s="2584"/>
      <c r="AH140" s="2584"/>
      <c r="AI140" s="2584"/>
      <c r="AJ140" s="2584"/>
      <c r="AK140" s="2584"/>
      <c r="AL140" s="2584"/>
      <c r="AM140" s="2584"/>
      <c r="AN140" s="2584"/>
      <c r="AO140" s="2584"/>
      <c r="AP140" s="2584"/>
      <c r="AQ140" s="2584"/>
      <c r="AR140" s="2584"/>
      <c r="AS140" s="2584"/>
      <c r="AT140" s="2584"/>
      <c r="AU140" s="2584"/>
      <c r="AV140" s="2584"/>
      <c r="AW140" s="2584"/>
      <c r="AX140" s="2584"/>
      <c r="AY140" s="2584"/>
      <c r="AZ140" s="2584"/>
      <c r="BA140" s="2584"/>
      <c r="BB140" s="2584"/>
      <c r="BC140" s="2584"/>
      <c r="BD140" s="2584"/>
      <c r="BE140" s="2584"/>
      <c r="BF140" s="3176"/>
      <c r="BG140" s="4400"/>
      <c r="BH140" s="4400"/>
      <c r="BI140" s="3182"/>
      <c r="BJ140" s="4395"/>
      <c r="BK140" s="4397"/>
      <c r="BL140" s="4202"/>
      <c r="BM140" s="4202"/>
      <c r="BN140" s="4202"/>
      <c r="BO140" s="4202"/>
      <c r="BP140" s="2988"/>
    </row>
    <row r="141" spans="1:68" s="861" customFormat="1" ht="69" customHeight="1" x14ac:dyDescent="0.25">
      <c r="A141" s="1120"/>
      <c r="B141" s="71"/>
      <c r="C141" s="71"/>
      <c r="D141" s="339"/>
      <c r="E141" s="71"/>
      <c r="F141" s="340"/>
      <c r="G141" s="4384"/>
      <c r="H141" s="4372"/>
      <c r="I141" s="4386"/>
      <c r="J141" s="3479"/>
      <c r="K141" s="3498"/>
      <c r="L141" s="4200"/>
      <c r="M141" s="2717"/>
      <c r="N141" s="2626"/>
      <c r="O141" s="2698"/>
      <c r="P141" s="4304"/>
      <c r="Q141" s="4273"/>
      <c r="R141" s="2698"/>
      <c r="S141" s="2698"/>
      <c r="T141" s="913" t="s">
        <v>928</v>
      </c>
      <c r="U141" s="1194">
        <v>2800000</v>
      </c>
      <c r="V141" s="1125">
        <f t="shared" si="0"/>
        <v>2800000</v>
      </c>
      <c r="W141" s="1125">
        <f t="shared" si="0"/>
        <v>2800000</v>
      </c>
      <c r="X141" s="1193">
        <v>20</v>
      </c>
      <c r="Y141" s="2510" t="s">
        <v>85</v>
      </c>
      <c r="Z141" s="2794"/>
      <c r="AA141" s="2722"/>
      <c r="AB141" s="2584"/>
      <c r="AC141" s="2722"/>
      <c r="AD141" s="2584"/>
      <c r="AE141" s="2584"/>
      <c r="AF141" s="2584"/>
      <c r="AG141" s="2584"/>
      <c r="AH141" s="2584"/>
      <c r="AI141" s="2584"/>
      <c r="AJ141" s="2584"/>
      <c r="AK141" s="2584"/>
      <c r="AL141" s="2584"/>
      <c r="AM141" s="2584"/>
      <c r="AN141" s="2584"/>
      <c r="AO141" s="2584"/>
      <c r="AP141" s="2584"/>
      <c r="AQ141" s="2584"/>
      <c r="AR141" s="2584"/>
      <c r="AS141" s="2584"/>
      <c r="AT141" s="2584"/>
      <c r="AU141" s="2584"/>
      <c r="AV141" s="2584"/>
      <c r="AW141" s="2584"/>
      <c r="AX141" s="2584"/>
      <c r="AY141" s="2584"/>
      <c r="AZ141" s="2584"/>
      <c r="BA141" s="2584"/>
      <c r="BB141" s="2584"/>
      <c r="BC141" s="2584"/>
      <c r="BD141" s="2584"/>
      <c r="BE141" s="2584"/>
      <c r="BF141" s="3176"/>
      <c r="BG141" s="4400"/>
      <c r="BH141" s="4400"/>
      <c r="BI141" s="3182"/>
      <c r="BJ141" s="4395"/>
      <c r="BK141" s="4397"/>
      <c r="BL141" s="4202"/>
      <c r="BM141" s="4202"/>
      <c r="BN141" s="4202"/>
      <c r="BO141" s="4202"/>
      <c r="BP141" s="2988"/>
    </row>
    <row r="142" spans="1:68" s="861" customFormat="1" ht="75.75" customHeight="1" x14ac:dyDescent="0.25">
      <c r="A142" s="1120"/>
      <c r="B142" s="71"/>
      <c r="C142" s="71"/>
      <c r="D142" s="339"/>
      <c r="E142" s="71"/>
      <c r="F142" s="340"/>
      <c r="G142" s="4384"/>
      <c r="H142" s="4372"/>
      <c r="I142" s="4386"/>
      <c r="J142" s="3479"/>
      <c r="K142" s="3498"/>
      <c r="L142" s="4200"/>
      <c r="M142" s="2717"/>
      <c r="N142" s="2626"/>
      <c r="O142" s="2698"/>
      <c r="P142" s="4304"/>
      <c r="Q142" s="4273"/>
      <c r="R142" s="2698"/>
      <c r="S142" s="2698"/>
      <c r="T142" s="928" t="s">
        <v>929</v>
      </c>
      <c r="U142" s="1160">
        <v>8726667</v>
      </c>
      <c r="V142" s="1112">
        <f t="shared" si="0"/>
        <v>8726667</v>
      </c>
      <c r="W142" s="1112">
        <f t="shared" si="0"/>
        <v>8726667</v>
      </c>
      <c r="X142" s="1190">
        <v>20</v>
      </c>
      <c r="Y142" s="2510" t="s">
        <v>85</v>
      </c>
      <c r="Z142" s="2794"/>
      <c r="AA142" s="2722"/>
      <c r="AB142" s="2584"/>
      <c r="AC142" s="2722"/>
      <c r="AD142" s="2584"/>
      <c r="AE142" s="2584"/>
      <c r="AF142" s="2584"/>
      <c r="AG142" s="2584"/>
      <c r="AH142" s="2584"/>
      <c r="AI142" s="2584"/>
      <c r="AJ142" s="2584"/>
      <c r="AK142" s="2584"/>
      <c r="AL142" s="2584"/>
      <c r="AM142" s="2584"/>
      <c r="AN142" s="2584"/>
      <c r="AO142" s="2584"/>
      <c r="AP142" s="2584"/>
      <c r="AQ142" s="2584"/>
      <c r="AR142" s="2584"/>
      <c r="AS142" s="2584"/>
      <c r="AT142" s="2584"/>
      <c r="AU142" s="2584"/>
      <c r="AV142" s="2584"/>
      <c r="AW142" s="2584"/>
      <c r="AX142" s="2584"/>
      <c r="AY142" s="2584"/>
      <c r="AZ142" s="2584"/>
      <c r="BA142" s="2584"/>
      <c r="BB142" s="2584"/>
      <c r="BC142" s="2584"/>
      <c r="BD142" s="2584"/>
      <c r="BE142" s="2584"/>
      <c r="BF142" s="3176"/>
      <c r="BG142" s="4400"/>
      <c r="BH142" s="4400"/>
      <c r="BI142" s="3182"/>
      <c r="BJ142" s="4395"/>
      <c r="BK142" s="4397"/>
      <c r="BL142" s="4202"/>
      <c r="BM142" s="4202"/>
      <c r="BN142" s="4202"/>
      <c r="BO142" s="4202"/>
      <c r="BP142" s="2988"/>
    </row>
    <row r="143" spans="1:68" s="861" customFormat="1" ht="78" customHeight="1" x14ac:dyDescent="0.25">
      <c r="A143" s="1120"/>
      <c r="B143" s="71"/>
      <c r="C143" s="71"/>
      <c r="D143" s="339"/>
      <c r="E143" s="71"/>
      <c r="F143" s="340"/>
      <c r="G143" s="4384"/>
      <c r="H143" s="4372"/>
      <c r="I143" s="4386"/>
      <c r="J143" s="3479"/>
      <c r="K143" s="3498"/>
      <c r="L143" s="4200"/>
      <c r="M143" s="2717"/>
      <c r="N143" s="2626"/>
      <c r="O143" s="2698"/>
      <c r="P143" s="4304"/>
      <c r="Q143" s="4273"/>
      <c r="R143" s="2698"/>
      <c r="S143" s="2698"/>
      <c r="T143" s="928" t="s">
        <v>930</v>
      </c>
      <c r="U143" s="1194">
        <v>7840000</v>
      </c>
      <c r="V143" s="1112">
        <f t="shared" si="0"/>
        <v>7840000</v>
      </c>
      <c r="W143" s="1112">
        <f t="shared" si="0"/>
        <v>7840000</v>
      </c>
      <c r="X143" s="1190">
        <v>20</v>
      </c>
      <c r="Y143" s="2510" t="s">
        <v>85</v>
      </c>
      <c r="Z143" s="2794"/>
      <c r="AA143" s="2722"/>
      <c r="AB143" s="2584"/>
      <c r="AC143" s="2722"/>
      <c r="AD143" s="2584"/>
      <c r="AE143" s="2584"/>
      <c r="AF143" s="2584"/>
      <c r="AG143" s="2584"/>
      <c r="AH143" s="2584"/>
      <c r="AI143" s="2584"/>
      <c r="AJ143" s="2584"/>
      <c r="AK143" s="2584"/>
      <c r="AL143" s="2584"/>
      <c r="AM143" s="2584"/>
      <c r="AN143" s="2584"/>
      <c r="AO143" s="2584"/>
      <c r="AP143" s="2584"/>
      <c r="AQ143" s="2584"/>
      <c r="AR143" s="2584"/>
      <c r="AS143" s="2584"/>
      <c r="AT143" s="2584"/>
      <c r="AU143" s="2584"/>
      <c r="AV143" s="2584"/>
      <c r="AW143" s="2584"/>
      <c r="AX143" s="2584"/>
      <c r="AY143" s="2584"/>
      <c r="AZ143" s="2584"/>
      <c r="BA143" s="2584"/>
      <c r="BB143" s="2584"/>
      <c r="BC143" s="2584"/>
      <c r="BD143" s="2584"/>
      <c r="BE143" s="2584"/>
      <c r="BF143" s="3176"/>
      <c r="BG143" s="4400"/>
      <c r="BH143" s="4400"/>
      <c r="BI143" s="3182"/>
      <c r="BJ143" s="4395"/>
      <c r="BK143" s="4397"/>
      <c r="BL143" s="4202"/>
      <c r="BM143" s="4202"/>
      <c r="BN143" s="4202"/>
      <c r="BO143" s="4202"/>
      <c r="BP143" s="2988"/>
    </row>
    <row r="144" spans="1:68" s="861" customFormat="1" ht="60" x14ac:dyDescent="0.25">
      <c r="A144" s="1120"/>
      <c r="B144" s="71"/>
      <c r="C144" s="71"/>
      <c r="D144" s="339"/>
      <c r="E144" s="71"/>
      <c r="F144" s="340"/>
      <c r="G144" s="4384"/>
      <c r="H144" s="4372"/>
      <c r="I144" s="4386"/>
      <c r="J144" s="3479"/>
      <c r="K144" s="3498"/>
      <c r="L144" s="4200"/>
      <c r="M144" s="2717"/>
      <c r="N144" s="2626"/>
      <c r="O144" s="2698"/>
      <c r="P144" s="4304"/>
      <c r="Q144" s="4273"/>
      <c r="R144" s="2698"/>
      <c r="S144" s="2698"/>
      <c r="T144" s="1195" t="s">
        <v>931</v>
      </c>
      <c r="U144" s="1188">
        <v>2000000</v>
      </c>
      <c r="V144" s="1189">
        <v>2000000</v>
      </c>
      <c r="W144" s="1189">
        <v>2000000</v>
      </c>
      <c r="X144" s="1190">
        <v>88</v>
      </c>
      <c r="Y144" s="2510" t="s">
        <v>411</v>
      </c>
      <c r="Z144" s="2794"/>
      <c r="AA144" s="2722"/>
      <c r="AB144" s="2584"/>
      <c r="AC144" s="2722"/>
      <c r="AD144" s="2584"/>
      <c r="AE144" s="2584"/>
      <c r="AF144" s="2584"/>
      <c r="AG144" s="2584"/>
      <c r="AH144" s="2584"/>
      <c r="AI144" s="2584"/>
      <c r="AJ144" s="2584"/>
      <c r="AK144" s="2584"/>
      <c r="AL144" s="2584"/>
      <c r="AM144" s="2584"/>
      <c r="AN144" s="2584"/>
      <c r="AO144" s="2584"/>
      <c r="AP144" s="2584"/>
      <c r="AQ144" s="2584"/>
      <c r="AR144" s="2584"/>
      <c r="AS144" s="2584"/>
      <c r="AT144" s="2584"/>
      <c r="AU144" s="2584"/>
      <c r="AV144" s="2584"/>
      <c r="AW144" s="2584"/>
      <c r="AX144" s="2584"/>
      <c r="AY144" s="2584"/>
      <c r="AZ144" s="2584"/>
      <c r="BA144" s="2584"/>
      <c r="BB144" s="2584"/>
      <c r="BC144" s="2584"/>
      <c r="BD144" s="2584"/>
      <c r="BE144" s="2584"/>
      <c r="BF144" s="3176"/>
      <c r="BG144" s="4400"/>
      <c r="BH144" s="4400"/>
      <c r="BI144" s="3182"/>
      <c r="BJ144" s="4395"/>
      <c r="BK144" s="4397"/>
      <c r="BL144" s="4202"/>
      <c r="BM144" s="4202"/>
      <c r="BN144" s="4202"/>
      <c r="BO144" s="4202"/>
      <c r="BP144" s="2988"/>
    </row>
    <row r="145" spans="1:68" s="861" customFormat="1" ht="62.25" customHeight="1" x14ac:dyDescent="0.25">
      <c r="A145" s="1120"/>
      <c r="B145" s="71"/>
      <c r="C145" s="71"/>
      <c r="D145" s="339"/>
      <c r="E145" s="71"/>
      <c r="F145" s="340"/>
      <c r="G145" s="4384"/>
      <c r="H145" s="4372"/>
      <c r="I145" s="4386"/>
      <c r="J145" s="3479"/>
      <c r="K145" s="3498"/>
      <c r="L145" s="4200"/>
      <c r="M145" s="2717"/>
      <c r="N145" s="2626"/>
      <c r="O145" s="2698"/>
      <c r="P145" s="4304"/>
      <c r="Q145" s="4273"/>
      <c r="R145" s="2698"/>
      <c r="S145" s="2698"/>
      <c r="T145" s="1195" t="s">
        <v>932</v>
      </c>
      <c r="U145" s="1196">
        <v>20272000</v>
      </c>
      <c r="V145" s="1114">
        <f>+U145</f>
        <v>20272000</v>
      </c>
      <c r="W145" s="1114">
        <f>+V145</f>
        <v>20272000</v>
      </c>
      <c r="X145" s="1190">
        <v>20</v>
      </c>
      <c r="Y145" s="2510" t="s">
        <v>85</v>
      </c>
      <c r="Z145" s="2794"/>
      <c r="AA145" s="2722"/>
      <c r="AB145" s="2584"/>
      <c r="AC145" s="2722"/>
      <c r="AD145" s="2584"/>
      <c r="AE145" s="2584"/>
      <c r="AF145" s="2584"/>
      <c r="AG145" s="2584"/>
      <c r="AH145" s="2584"/>
      <c r="AI145" s="2584"/>
      <c r="AJ145" s="2584"/>
      <c r="AK145" s="2584"/>
      <c r="AL145" s="2584"/>
      <c r="AM145" s="2584"/>
      <c r="AN145" s="2584"/>
      <c r="AO145" s="2584"/>
      <c r="AP145" s="2584"/>
      <c r="AQ145" s="2584"/>
      <c r="AR145" s="2584"/>
      <c r="AS145" s="2584"/>
      <c r="AT145" s="2584"/>
      <c r="AU145" s="2584"/>
      <c r="AV145" s="2584"/>
      <c r="AW145" s="2584"/>
      <c r="AX145" s="2584"/>
      <c r="AY145" s="2584"/>
      <c r="AZ145" s="2584"/>
      <c r="BA145" s="2584"/>
      <c r="BB145" s="2584"/>
      <c r="BC145" s="2584"/>
      <c r="BD145" s="2584"/>
      <c r="BE145" s="2584"/>
      <c r="BF145" s="3176"/>
      <c r="BG145" s="4400"/>
      <c r="BH145" s="4400"/>
      <c r="BI145" s="3182"/>
      <c r="BJ145" s="4395"/>
      <c r="BK145" s="4397"/>
      <c r="BL145" s="4202"/>
      <c r="BM145" s="4202"/>
      <c r="BN145" s="4202"/>
      <c r="BO145" s="4202"/>
      <c r="BP145" s="2988"/>
    </row>
    <row r="146" spans="1:68" s="861" customFormat="1" ht="78.75" customHeight="1" x14ac:dyDescent="0.25">
      <c r="A146" s="1120"/>
      <c r="B146" s="71"/>
      <c r="C146" s="71"/>
      <c r="D146" s="339"/>
      <c r="E146" s="71"/>
      <c r="F146" s="340"/>
      <c r="G146" s="4384"/>
      <c r="H146" s="4385"/>
      <c r="I146" s="4387"/>
      <c r="J146" s="4062"/>
      <c r="K146" s="4294"/>
      <c r="L146" s="4200"/>
      <c r="M146" s="2717"/>
      <c r="N146" s="2626"/>
      <c r="O146" s="2698"/>
      <c r="P146" s="4305"/>
      <c r="Q146" s="4273"/>
      <c r="R146" s="2698"/>
      <c r="S146" s="2698"/>
      <c r="T146" s="1197" t="s">
        <v>928</v>
      </c>
      <c r="U146" s="1931">
        <v>35608000</v>
      </c>
      <c r="V146" s="1931">
        <f>22114667+1466667</f>
        <v>23581334</v>
      </c>
      <c r="W146" s="1931">
        <f>22114667+1466667</f>
        <v>23581334</v>
      </c>
      <c r="X146" s="1193">
        <v>20</v>
      </c>
      <c r="Y146" s="2510" t="s">
        <v>85</v>
      </c>
      <c r="Z146" s="2794"/>
      <c r="AA146" s="2722"/>
      <c r="AB146" s="2584"/>
      <c r="AC146" s="2722"/>
      <c r="AD146" s="2584"/>
      <c r="AE146" s="2584"/>
      <c r="AF146" s="2584"/>
      <c r="AG146" s="2584"/>
      <c r="AH146" s="2584"/>
      <c r="AI146" s="2584"/>
      <c r="AJ146" s="2584"/>
      <c r="AK146" s="2584"/>
      <c r="AL146" s="2584"/>
      <c r="AM146" s="2584"/>
      <c r="AN146" s="2584"/>
      <c r="AO146" s="2584"/>
      <c r="AP146" s="2584"/>
      <c r="AQ146" s="2584"/>
      <c r="AR146" s="2584"/>
      <c r="AS146" s="2584"/>
      <c r="AT146" s="2584"/>
      <c r="AU146" s="2584"/>
      <c r="AV146" s="2584"/>
      <c r="AW146" s="2584"/>
      <c r="AX146" s="2584"/>
      <c r="AY146" s="2584"/>
      <c r="AZ146" s="2584"/>
      <c r="BA146" s="2584"/>
      <c r="BB146" s="2584"/>
      <c r="BC146" s="2584"/>
      <c r="BD146" s="2584"/>
      <c r="BE146" s="2584"/>
      <c r="BF146" s="3176"/>
      <c r="BG146" s="4400"/>
      <c r="BH146" s="4400"/>
      <c r="BI146" s="3182"/>
      <c r="BJ146" s="4395"/>
      <c r="BK146" s="4397"/>
      <c r="BL146" s="4202"/>
      <c r="BM146" s="4202"/>
      <c r="BN146" s="4202"/>
      <c r="BO146" s="4202"/>
      <c r="BP146" s="2988"/>
    </row>
    <row r="147" spans="1:68" s="861" customFormat="1" ht="54" customHeight="1" x14ac:dyDescent="0.25">
      <c r="A147" s="1120"/>
      <c r="B147" s="71"/>
      <c r="C147" s="71"/>
      <c r="D147" s="339"/>
      <c r="E147" s="71"/>
      <c r="F147" s="340"/>
      <c r="G147" s="4389">
        <v>4104015</v>
      </c>
      <c r="H147" s="4392">
        <v>38.1</v>
      </c>
      <c r="I147" s="4248" t="s">
        <v>933</v>
      </c>
      <c r="J147" s="3816" t="s">
        <v>934</v>
      </c>
      <c r="K147" s="4251">
        <v>7500</v>
      </c>
      <c r="L147" s="4252">
        <v>8550</v>
      </c>
      <c r="M147" s="3069"/>
      <c r="N147" s="2626"/>
      <c r="O147" s="2821"/>
      <c r="P147" s="4393">
        <v>0.97</v>
      </c>
      <c r="Q147" s="4383"/>
      <c r="R147" s="2698"/>
      <c r="S147" s="2698"/>
      <c r="T147" s="1195" t="s">
        <v>935</v>
      </c>
      <c r="U147" s="1198">
        <v>650668</v>
      </c>
      <c r="V147" s="1199">
        <v>650668</v>
      </c>
      <c r="W147" s="1199">
        <v>650668</v>
      </c>
      <c r="X147" s="1190">
        <v>20</v>
      </c>
      <c r="Y147" s="2510" t="s">
        <v>85</v>
      </c>
      <c r="Z147" s="2794"/>
      <c r="AA147" s="2722"/>
      <c r="AB147" s="2584"/>
      <c r="AC147" s="2722"/>
      <c r="AD147" s="2584"/>
      <c r="AE147" s="2584"/>
      <c r="AF147" s="2584"/>
      <c r="AG147" s="2584"/>
      <c r="AH147" s="2584"/>
      <c r="AI147" s="2584"/>
      <c r="AJ147" s="2584"/>
      <c r="AK147" s="2584"/>
      <c r="AL147" s="2584"/>
      <c r="AM147" s="2584"/>
      <c r="AN147" s="2584"/>
      <c r="AO147" s="2584"/>
      <c r="AP147" s="2584"/>
      <c r="AQ147" s="2584"/>
      <c r="AR147" s="2584"/>
      <c r="AS147" s="2584"/>
      <c r="AT147" s="2584"/>
      <c r="AU147" s="2584"/>
      <c r="AV147" s="2584"/>
      <c r="AW147" s="2584"/>
      <c r="AX147" s="2584"/>
      <c r="AY147" s="2584"/>
      <c r="AZ147" s="2584"/>
      <c r="BA147" s="2584"/>
      <c r="BB147" s="2584"/>
      <c r="BC147" s="2584"/>
      <c r="BD147" s="2584"/>
      <c r="BE147" s="2584"/>
      <c r="BF147" s="3176"/>
      <c r="BG147" s="4400"/>
      <c r="BH147" s="4400"/>
      <c r="BI147" s="3182"/>
      <c r="BJ147" s="2722"/>
      <c r="BK147" s="4397"/>
      <c r="BL147" s="2584"/>
      <c r="BM147" s="2584"/>
      <c r="BN147" s="2584"/>
      <c r="BO147" s="2584"/>
      <c r="BP147" s="2988"/>
    </row>
    <row r="148" spans="1:68" s="861" customFormat="1" ht="67.5" customHeight="1" x14ac:dyDescent="0.25">
      <c r="A148" s="1120"/>
      <c r="B148" s="71"/>
      <c r="C148" s="71"/>
      <c r="D148" s="339"/>
      <c r="E148" s="71"/>
      <c r="F148" s="340"/>
      <c r="G148" s="4390"/>
      <c r="H148" s="4392"/>
      <c r="I148" s="4248"/>
      <c r="J148" s="3816"/>
      <c r="K148" s="4251"/>
      <c r="L148" s="4252"/>
      <c r="M148" s="3069"/>
      <c r="N148" s="2626"/>
      <c r="O148" s="2821"/>
      <c r="P148" s="4393"/>
      <c r="Q148" s="4383"/>
      <c r="R148" s="2698"/>
      <c r="S148" s="2698"/>
      <c r="T148" s="1195" t="s">
        <v>936</v>
      </c>
      <c r="U148" s="1188">
        <v>6048000</v>
      </c>
      <c r="V148" s="1112">
        <f>+U148</f>
        <v>6048000</v>
      </c>
      <c r="W148" s="1112">
        <f>+V148</f>
        <v>6048000</v>
      </c>
      <c r="X148" s="1190">
        <v>20</v>
      </c>
      <c r="Y148" s="2510" t="s">
        <v>85</v>
      </c>
      <c r="Z148" s="2794"/>
      <c r="AA148" s="2722"/>
      <c r="AB148" s="2584"/>
      <c r="AC148" s="2722"/>
      <c r="AD148" s="2584"/>
      <c r="AE148" s="2584"/>
      <c r="AF148" s="2584"/>
      <c r="AG148" s="2584"/>
      <c r="AH148" s="2584"/>
      <c r="AI148" s="2584"/>
      <c r="AJ148" s="2584"/>
      <c r="AK148" s="2584"/>
      <c r="AL148" s="2584"/>
      <c r="AM148" s="2584"/>
      <c r="AN148" s="2584"/>
      <c r="AO148" s="2584"/>
      <c r="AP148" s="2584"/>
      <c r="AQ148" s="2584"/>
      <c r="AR148" s="2584"/>
      <c r="AS148" s="2584"/>
      <c r="AT148" s="2584"/>
      <c r="AU148" s="2584"/>
      <c r="AV148" s="2584"/>
      <c r="AW148" s="2584"/>
      <c r="AX148" s="2584"/>
      <c r="AY148" s="2584"/>
      <c r="AZ148" s="2584"/>
      <c r="BA148" s="2584"/>
      <c r="BB148" s="2584"/>
      <c r="BC148" s="2584"/>
      <c r="BD148" s="2584"/>
      <c r="BE148" s="2584"/>
      <c r="BF148" s="3176"/>
      <c r="BG148" s="4400"/>
      <c r="BH148" s="4400"/>
      <c r="BI148" s="3182"/>
      <c r="BJ148" s="2722"/>
      <c r="BK148" s="4397"/>
      <c r="BL148" s="2584"/>
      <c r="BM148" s="2584"/>
      <c r="BN148" s="2584"/>
      <c r="BO148" s="2584"/>
      <c r="BP148" s="2583"/>
    </row>
    <row r="149" spans="1:68" s="861" customFormat="1" ht="54" customHeight="1" x14ac:dyDescent="0.25">
      <c r="A149" s="1120"/>
      <c r="B149" s="71"/>
      <c r="C149" s="71"/>
      <c r="D149" s="339"/>
      <c r="E149" s="71"/>
      <c r="F149" s="340"/>
      <c r="G149" s="4390"/>
      <c r="H149" s="4392"/>
      <c r="I149" s="4248"/>
      <c r="J149" s="3816"/>
      <c r="K149" s="4251"/>
      <c r="L149" s="4252"/>
      <c r="M149" s="3069"/>
      <c r="N149" s="2626"/>
      <c r="O149" s="2821"/>
      <c r="P149" s="4393"/>
      <c r="Q149" s="4383"/>
      <c r="R149" s="2698"/>
      <c r="S149" s="2698"/>
      <c r="T149" s="1187" t="s">
        <v>937</v>
      </c>
      <c r="U149" s="1196">
        <v>650666</v>
      </c>
      <c r="V149" s="1189">
        <v>650666</v>
      </c>
      <c r="W149" s="1189">
        <v>650666</v>
      </c>
      <c r="X149" s="1190">
        <v>20</v>
      </c>
      <c r="Y149" s="2510" t="s">
        <v>85</v>
      </c>
      <c r="Z149" s="2794"/>
      <c r="AA149" s="2722"/>
      <c r="AB149" s="2584"/>
      <c r="AC149" s="2722"/>
      <c r="AD149" s="2584"/>
      <c r="AE149" s="2584"/>
      <c r="AF149" s="2584"/>
      <c r="AG149" s="2584"/>
      <c r="AH149" s="2584"/>
      <c r="AI149" s="2584"/>
      <c r="AJ149" s="2584"/>
      <c r="AK149" s="2584"/>
      <c r="AL149" s="2584"/>
      <c r="AM149" s="2584"/>
      <c r="AN149" s="2584"/>
      <c r="AO149" s="2584"/>
      <c r="AP149" s="2584"/>
      <c r="AQ149" s="2584"/>
      <c r="AR149" s="2584"/>
      <c r="AS149" s="2584"/>
      <c r="AT149" s="2584"/>
      <c r="AU149" s="2584"/>
      <c r="AV149" s="2584"/>
      <c r="AW149" s="2584"/>
      <c r="AX149" s="2584"/>
      <c r="AY149" s="2584"/>
      <c r="AZ149" s="2584"/>
      <c r="BA149" s="2584"/>
      <c r="BB149" s="2584"/>
      <c r="BC149" s="2584"/>
      <c r="BD149" s="2584"/>
      <c r="BE149" s="2584"/>
      <c r="BF149" s="3176"/>
      <c r="BG149" s="4400"/>
      <c r="BH149" s="4400"/>
      <c r="BI149" s="3182"/>
      <c r="BJ149" s="2722"/>
      <c r="BK149" s="4397"/>
      <c r="BL149" s="2584"/>
      <c r="BM149" s="2584"/>
      <c r="BN149" s="2584"/>
      <c r="BO149" s="2584"/>
      <c r="BP149" s="2583"/>
    </row>
    <row r="150" spans="1:68" s="861" customFormat="1" ht="54" customHeight="1" x14ac:dyDescent="0.25">
      <c r="A150" s="1120"/>
      <c r="B150" s="71"/>
      <c r="C150" s="71"/>
      <c r="D150" s="339"/>
      <c r="E150" s="71"/>
      <c r="F150" s="340"/>
      <c r="G150" s="4390"/>
      <c r="H150" s="4392"/>
      <c r="I150" s="4248"/>
      <c r="J150" s="3816"/>
      <c r="K150" s="4251"/>
      <c r="L150" s="4252"/>
      <c r="M150" s="3069"/>
      <c r="N150" s="2626"/>
      <c r="O150" s="2821"/>
      <c r="P150" s="4393"/>
      <c r="Q150" s="4383"/>
      <c r="R150" s="2698"/>
      <c r="S150" s="2821"/>
      <c r="T150" s="4248" t="s">
        <v>938</v>
      </c>
      <c r="U150" s="1931">
        <v>11933334</v>
      </c>
      <c r="V150" s="1932">
        <v>8999999</v>
      </c>
      <c r="W150" s="1932">
        <v>8999999</v>
      </c>
      <c r="X150" s="1200">
        <v>88</v>
      </c>
      <c r="Y150" s="2511" t="s">
        <v>411</v>
      </c>
      <c r="Z150" s="2794"/>
      <c r="AA150" s="2722"/>
      <c r="AB150" s="2584"/>
      <c r="AC150" s="2722"/>
      <c r="AD150" s="2584"/>
      <c r="AE150" s="2584"/>
      <c r="AF150" s="2584"/>
      <c r="AG150" s="2584"/>
      <c r="AH150" s="2584"/>
      <c r="AI150" s="2584"/>
      <c r="AJ150" s="2584"/>
      <c r="AK150" s="2584"/>
      <c r="AL150" s="2584"/>
      <c r="AM150" s="2584"/>
      <c r="AN150" s="2584"/>
      <c r="AO150" s="2584"/>
      <c r="AP150" s="2584"/>
      <c r="AQ150" s="2584"/>
      <c r="AR150" s="2584"/>
      <c r="AS150" s="2584"/>
      <c r="AT150" s="2584"/>
      <c r="AU150" s="2584"/>
      <c r="AV150" s="2584"/>
      <c r="AW150" s="2584"/>
      <c r="AX150" s="2584"/>
      <c r="AY150" s="2584"/>
      <c r="AZ150" s="2584"/>
      <c r="BA150" s="2584"/>
      <c r="BB150" s="2584"/>
      <c r="BC150" s="2584"/>
      <c r="BD150" s="2584"/>
      <c r="BE150" s="2584"/>
      <c r="BF150" s="3176"/>
      <c r="BG150" s="4400"/>
      <c r="BH150" s="4400"/>
      <c r="BI150" s="3182"/>
      <c r="BJ150" s="2722"/>
      <c r="BK150" s="4397"/>
      <c r="BL150" s="2584"/>
      <c r="BM150" s="2584"/>
      <c r="BN150" s="2584"/>
      <c r="BO150" s="2584"/>
      <c r="BP150" s="2583"/>
    </row>
    <row r="151" spans="1:68" s="861" customFormat="1" ht="63.75" customHeight="1" x14ac:dyDescent="0.25">
      <c r="A151" s="1120"/>
      <c r="B151" s="71"/>
      <c r="C151" s="71"/>
      <c r="D151" s="339"/>
      <c r="E151" s="71"/>
      <c r="F151" s="340"/>
      <c r="G151" s="4390"/>
      <c r="H151" s="4392"/>
      <c r="I151" s="4248"/>
      <c r="J151" s="3816"/>
      <c r="K151" s="4251"/>
      <c r="L151" s="4252"/>
      <c r="M151" s="3069"/>
      <c r="N151" s="2626"/>
      <c r="O151" s="2821"/>
      <c r="P151" s="4393"/>
      <c r="Q151" s="4383"/>
      <c r="R151" s="2698"/>
      <c r="S151" s="2821"/>
      <c r="T151" s="4248"/>
      <c r="U151" s="1931">
        <v>6066667</v>
      </c>
      <c r="V151" s="1933"/>
      <c r="W151" s="1933"/>
      <c r="X151" s="1190">
        <v>20</v>
      </c>
      <c r="Y151" s="2510" t="s">
        <v>85</v>
      </c>
      <c r="Z151" s="2794"/>
      <c r="AA151" s="2722"/>
      <c r="AB151" s="2584"/>
      <c r="AC151" s="2722"/>
      <c r="AD151" s="2584"/>
      <c r="AE151" s="2584"/>
      <c r="AF151" s="2584"/>
      <c r="AG151" s="2584"/>
      <c r="AH151" s="2584"/>
      <c r="AI151" s="2584"/>
      <c r="AJ151" s="2584"/>
      <c r="AK151" s="2584"/>
      <c r="AL151" s="2584"/>
      <c r="AM151" s="2584"/>
      <c r="AN151" s="2584"/>
      <c r="AO151" s="2584"/>
      <c r="AP151" s="2584"/>
      <c r="AQ151" s="2584"/>
      <c r="AR151" s="2584"/>
      <c r="AS151" s="2584"/>
      <c r="AT151" s="2584"/>
      <c r="AU151" s="2584"/>
      <c r="AV151" s="2584"/>
      <c r="AW151" s="2584"/>
      <c r="AX151" s="2584"/>
      <c r="AY151" s="2584"/>
      <c r="AZ151" s="2584"/>
      <c r="BA151" s="2584"/>
      <c r="BB151" s="2584"/>
      <c r="BC151" s="2584"/>
      <c r="BD151" s="2584"/>
      <c r="BE151" s="2584"/>
      <c r="BF151" s="3176"/>
      <c r="BG151" s="4400"/>
      <c r="BH151" s="4400"/>
      <c r="BI151" s="3182"/>
      <c r="BJ151" s="2722"/>
      <c r="BK151" s="4397"/>
      <c r="BL151" s="2584"/>
      <c r="BM151" s="2584"/>
      <c r="BN151" s="2584"/>
      <c r="BO151" s="2584"/>
      <c r="BP151" s="2583"/>
    </row>
    <row r="152" spans="1:68" s="861" customFormat="1" ht="42" customHeight="1" x14ac:dyDescent="0.25">
      <c r="A152" s="1120"/>
      <c r="B152" s="71"/>
      <c r="C152" s="71"/>
      <c r="D152" s="339"/>
      <c r="E152" s="71"/>
      <c r="F152" s="340"/>
      <c r="G152" s="4390"/>
      <c r="H152" s="4392"/>
      <c r="I152" s="4248"/>
      <c r="J152" s="3816"/>
      <c r="K152" s="4251"/>
      <c r="L152" s="4252"/>
      <c r="M152" s="3069"/>
      <c r="N152" s="2626"/>
      <c r="O152" s="2821"/>
      <c r="P152" s="4393"/>
      <c r="Q152" s="4383"/>
      <c r="R152" s="2698"/>
      <c r="S152" s="2821"/>
      <c r="T152" s="4248" t="s">
        <v>939</v>
      </c>
      <c r="U152" s="1931">
        <v>5387626</v>
      </c>
      <c r="V152" s="1931">
        <v>5387626</v>
      </c>
      <c r="W152" s="1931">
        <v>5387626</v>
      </c>
      <c r="X152" s="1193">
        <v>20</v>
      </c>
      <c r="Y152" s="2510" t="s">
        <v>85</v>
      </c>
      <c r="Z152" s="2794"/>
      <c r="AA152" s="2722"/>
      <c r="AB152" s="2584"/>
      <c r="AC152" s="2722"/>
      <c r="AD152" s="2584"/>
      <c r="AE152" s="2584"/>
      <c r="AF152" s="2584"/>
      <c r="AG152" s="2584"/>
      <c r="AH152" s="2584"/>
      <c r="AI152" s="2584"/>
      <c r="AJ152" s="2584"/>
      <c r="AK152" s="2584"/>
      <c r="AL152" s="2584"/>
      <c r="AM152" s="2584"/>
      <c r="AN152" s="2584"/>
      <c r="AO152" s="2584"/>
      <c r="AP152" s="2584"/>
      <c r="AQ152" s="2584"/>
      <c r="AR152" s="2584"/>
      <c r="AS152" s="2584"/>
      <c r="AT152" s="2584"/>
      <c r="AU152" s="2584"/>
      <c r="AV152" s="2584"/>
      <c r="AW152" s="2584"/>
      <c r="AX152" s="2584"/>
      <c r="AY152" s="2584"/>
      <c r="AZ152" s="2584"/>
      <c r="BA152" s="2584"/>
      <c r="BB152" s="2584"/>
      <c r="BC152" s="2584"/>
      <c r="BD152" s="2584"/>
      <c r="BE152" s="2584"/>
      <c r="BF152" s="3176"/>
      <c r="BG152" s="4400"/>
      <c r="BH152" s="4400"/>
      <c r="BI152" s="3182"/>
      <c r="BJ152" s="2722"/>
      <c r="BK152" s="4397"/>
      <c r="BL152" s="2584"/>
      <c r="BM152" s="2584"/>
      <c r="BN152" s="2584"/>
      <c r="BO152" s="2584"/>
      <c r="BP152" s="2583"/>
    </row>
    <row r="153" spans="1:68" s="861" customFormat="1" ht="34.5" customHeight="1" x14ac:dyDescent="0.25">
      <c r="A153" s="1120"/>
      <c r="B153" s="71"/>
      <c r="C153" s="71"/>
      <c r="D153" s="339"/>
      <c r="E153" s="71"/>
      <c r="F153" s="340"/>
      <c r="G153" s="4390"/>
      <c r="H153" s="4392"/>
      <c r="I153" s="4248"/>
      <c r="J153" s="3816"/>
      <c r="K153" s="4251"/>
      <c r="L153" s="4252"/>
      <c r="M153" s="3069"/>
      <c r="N153" s="2626"/>
      <c r="O153" s="2821"/>
      <c r="P153" s="4393"/>
      <c r="Q153" s="4383"/>
      <c r="R153" s="2698"/>
      <c r="S153" s="2821"/>
      <c r="T153" s="4248"/>
      <c r="U153" s="1931">
        <v>14362941</v>
      </c>
      <c r="V153" s="1931">
        <v>14362941</v>
      </c>
      <c r="W153" s="1931">
        <v>14362941</v>
      </c>
      <c r="X153" s="1201">
        <v>88</v>
      </c>
      <c r="Y153" s="2511" t="s">
        <v>411</v>
      </c>
      <c r="Z153" s="2794"/>
      <c r="AA153" s="2722"/>
      <c r="AB153" s="2584"/>
      <c r="AC153" s="2722"/>
      <c r="AD153" s="2584"/>
      <c r="AE153" s="2584"/>
      <c r="AF153" s="2584"/>
      <c r="AG153" s="2584"/>
      <c r="AH153" s="2584"/>
      <c r="AI153" s="2584"/>
      <c r="AJ153" s="2584"/>
      <c r="AK153" s="2584"/>
      <c r="AL153" s="2584"/>
      <c r="AM153" s="2584"/>
      <c r="AN153" s="2584"/>
      <c r="AO153" s="2584"/>
      <c r="AP153" s="2584"/>
      <c r="AQ153" s="2584"/>
      <c r="AR153" s="2584"/>
      <c r="AS153" s="2584"/>
      <c r="AT153" s="2584"/>
      <c r="AU153" s="2584"/>
      <c r="AV153" s="2584"/>
      <c r="AW153" s="2584"/>
      <c r="AX153" s="2584"/>
      <c r="AY153" s="2584"/>
      <c r="AZ153" s="2584"/>
      <c r="BA153" s="2584"/>
      <c r="BB153" s="2584"/>
      <c r="BC153" s="2584"/>
      <c r="BD153" s="2584"/>
      <c r="BE153" s="2584"/>
      <c r="BF153" s="3176"/>
      <c r="BG153" s="4400"/>
      <c r="BH153" s="4400"/>
      <c r="BI153" s="3182"/>
      <c r="BJ153" s="2722"/>
      <c r="BK153" s="4397"/>
      <c r="BL153" s="2584"/>
      <c r="BM153" s="2584"/>
      <c r="BN153" s="2584"/>
      <c r="BO153" s="2584"/>
      <c r="BP153" s="2583"/>
    </row>
    <row r="154" spans="1:68" s="861" customFormat="1" ht="44.25" customHeight="1" x14ac:dyDescent="0.25">
      <c r="A154" s="1120"/>
      <c r="B154" s="71"/>
      <c r="C154" s="71"/>
      <c r="D154" s="339"/>
      <c r="E154" s="71"/>
      <c r="F154" s="340"/>
      <c r="G154" s="4390"/>
      <c r="H154" s="4392"/>
      <c r="I154" s="4248"/>
      <c r="J154" s="3816"/>
      <c r="K154" s="4251"/>
      <c r="L154" s="4252"/>
      <c r="M154" s="3069"/>
      <c r="N154" s="2626"/>
      <c r="O154" s="2821"/>
      <c r="P154" s="4393"/>
      <c r="Q154" s="4383"/>
      <c r="R154" s="2698"/>
      <c r="S154" s="2698"/>
      <c r="T154" s="1202" t="s">
        <v>940</v>
      </c>
      <c r="U154" s="1934">
        <v>0</v>
      </c>
      <c r="V154" s="1935">
        <v>0</v>
      </c>
      <c r="W154" s="1935">
        <v>0</v>
      </c>
      <c r="X154" s="1203"/>
      <c r="Y154" s="2512"/>
      <c r="Z154" s="2794"/>
      <c r="AA154" s="2722"/>
      <c r="AB154" s="2584"/>
      <c r="AC154" s="2722"/>
      <c r="AD154" s="2584"/>
      <c r="AE154" s="2584"/>
      <c r="AF154" s="2584"/>
      <c r="AG154" s="2584"/>
      <c r="AH154" s="2584"/>
      <c r="AI154" s="2584"/>
      <c r="AJ154" s="2584"/>
      <c r="AK154" s="2584"/>
      <c r="AL154" s="2584"/>
      <c r="AM154" s="2584"/>
      <c r="AN154" s="2584"/>
      <c r="AO154" s="2584"/>
      <c r="AP154" s="2584"/>
      <c r="AQ154" s="2584"/>
      <c r="AR154" s="2584"/>
      <c r="AS154" s="2584"/>
      <c r="AT154" s="2584"/>
      <c r="AU154" s="2584"/>
      <c r="AV154" s="2584"/>
      <c r="AW154" s="2584"/>
      <c r="AX154" s="2584"/>
      <c r="AY154" s="2584"/>
      <c r="AZ154" s="2584"/>
      <c r="BA154" s="2584"/>
      <c r="BB154" s="2584"/>
      <c r="BC154" s="2584"/>
      <c r="BD154" s="2584"/>
      <c r="BE154" s="2584"/>
      <c r="BF154" s="3176"/>
      <c r="BG154" s="4400"/>
      <c r="BH154" s="4400"/>
      <c r="BI154" s="3182"/>
      <c r="BJ154" s="2722"/>
      <c r="BK154" s="4397"/>
      <c r="BL154" s="2584"/>
      <c r="BM154" s="2584"/>
      <c r="BN154" s="2584"/>
      <c r="BO154" s="2584"/>
      <c r="BP154" s="2583"/>
    </row>
    <row r="155" spans="1:68" s="861" customFormat="1" ht="62.25" customHeight="1" x14ac:dyDescent="0.25">
      <c r="A155" s="1120"/>
      <c r="B155" s="71"/>
      <c r="C155" s="71"/>
      <c r="D155" s="339"/>
      <c r="E155" s="71"/>
      <c r="F155" s="340"/>
      <c r="G155" s="4391"/>
      <c r="H155" s="3596">
        <v>38.5</v>
      </c>
      <c r="I155" s="4403" t="s">
        <v>941</v>
      </c>
      <c r="J155" s="3005" t="s">
        <v>942</v>
      </c>
      <c r="K155" s="3596">
        <v>12</v>
      </c>
      <c r="L155" s="4261">
        <v>12</v>
      </c>
      <c r="M155" s="2717"/>
      <c r="N155" s="2626"/>
      <c r="O155" s="2698"/>
      <c r="P155" s="1939"/>
      <c r="Q155" s="4273"/>
      <c r="R155" s="2698"/>
      <c r="S155" s="2698"/>
      <c r="T155" s="1195" t="s">
        <v>943</v>
      </c>
      <c r="U155" s="1936">
        <v>1500000</v>
      </c>
      <c r="V155" s="1937">
        <v>1500000</v>
      </c>
      <c r="W155" s="1937">
        <v>1500000</v>
      </c>
      <c r="X155" s="1190">
        <v>20</v>
      </c>
      <c r="Y155" s="2510" t="s">
        <v>85</v>
      </c>
      <c r="Z155" s="2794"/>
      <c r="AA155" s="2722"/>
      <c r="AB155" s="2584"/>
      <c r="AC155" s="2722"/>
      <c r="AD155" s="2584"/>
      <c r="AE155" s="2584"/>
      <c r="AF155" s="2584"/>
      <c r="AG155" s="2584"/>
      <c r="AH155" s="2584"/>
      <c r="AI155" s="2584"/>
      <c r="AJ155" s="2584"/>
      <c r="AK155" s="2584"/>
      <c r="AL155" s="2584"/>
      <c r="AM155" s="2584"/>
      <c r="AN155" s="2584"/>
      <c r="AO155" s="2584"/>
      <c r="AP155" s="2584"/>
      <c r="AQ155" s="2584"/>
      <c r="AR155" s="2584"/>
      <c r="AS155" s="2584"/>
      <c r="AT155" s="2584"/>
      <c r="AU155" s="2584"/>
      <c r="AV155" s="2584"/>
      <c r="AW155" s="2584"/>
      <c r="AX155" s="2584"/>
      <c r="AY155" s="2584"/>
      <c r="AZ155" s="2584"/>
      <c r="BA155" s="2584"/>
      <c r="BB155" s="2584"/>
      <c r="BC155" s="2584"/>
      <c r="BD155" s="2584"/>
      <c r="BE155" s="2584"/>
      <c r="BF155" s="3176"/>
      <c r="BG155" s="4400"/>
      <c r="BH155" s="4400"/>
      <c r="BI155" s="3182"/>
      <c r="BJ155" s="2722"/>
      <c r="BK155" s="4397"/>
      <c r="BL155" s="2584"/>
      <c r="BM155" s="2584"/>
      <c r="BN155" s="2584"/>
      <c r="BO155" s="2584"/>
      <c r="BP155" s="2583"/>
    </row>
    <row r="156" spans="1:68" s="861" customFormat="1" ht="56.25" customHeight="1" x14ac:dyDescent="0.25">
      <c r="A156" s="1120"/>
      <c r="B156" s="71"/>
      <c r="C156" s="71"/>
      <c r="D156" s="339"/>
      <c r="E156" s="71"/>
      <c r="F156" s="340"/>
      <c r="G156" s="4391"/>
      <c r="H156" s="2782"/>
      <c r="I156" s="4388"/>
      <c r="J156" s="2864"/>
      <c r="K156" s="2782"/>
      <c r="L156" s="4146"/>
      <c r="M156" s="2717"/>
      <c r="N156" s="2626"/>
      <c r="O156" s="2698"/>
      <c r="P156" s="1939"/>
      <c r="Q156" s="4273"/>
      <c r="R156" s="2698"/>
      <c r="S156" s="2698"/>
      <c r="T156" s="1187" t="s">
        <v>944</v>
      </c>
      <c r="U156" s="1936">
        <v>2150666</v>
      </c>
      <c r="V156" s="1937">
        <v>2150666</v>
      </c>
      <c r="W156" s="1937">
        <v>2150666</v>
      </c>
      <c r="X156" s="1190">
        <v>20</v>
      </c>
      <c r="Y156" s="2510" t="s">
        <v>85</v>
      </c>
      <c r="Z156" s="2794"/>
      <c r="AA156" s="2722"/>
      <c r="AB156" s="2584"/>
      <c r="AC156" s="2722"/>
      <c r="AD156" s="2584"/>
      <c r="AE156" s="2584"/>
      <c r="AF156" s="2584"/>
      <c r="AG156" s="2584"/>
      <c r="AH156" s="2584"/>
      <c r="AI156" s="2584"/>
      <c r="AJ156" s="2584"/>
      <c r="AK156" s="2584"/>
      <c r="AL156" s="2584"/>
      <c r="AM156" s="2584"/>
      <c r="AN156" s="2584"/>
      <c r="AO156" s="2584"/>
      <c r="AP156" s="2584"/>
      <c r="AQ156" s="2584"/>
      <c r="AR156" s="2584"/>
      <c r="AS156" s="2584"/>
      <c r="AT156" s="2584"/>
      <c r="AU156" s="2584"/>
      <c r="AV156" s="2584"/>
      <c r="AW156" s="2584"/>
      <c r="AX156" s="2584"/>
      <c r="AY156" s="2584"/>
      <c r="AZ156" s="2584"/>
      <c r="BA156" s="2584"/>
      <c r="BB156" s="2584"/>
      <c r="BC156" s="2584"/>
      <c r="BD156" s="2584"/>
      <c r="BE156" s="2584"/>
      <c r="BF156" s="3176"/>
      <c r="BG156" s="4400"/>
      <c r="BH156" s="4400"/>
      <c r="BI156" s="3182"/>
      <c r="BJ156" s="2722"/>
      <c r="BK156" s="4397"/>
      <c r="BL156" s="2584"/>
      <c r="BM156" s="2584"/>
      <c r="BN156" s="2584"/>
      <c r="BO156" s="2584"/>
      <c r="BP156" s="2583"/>
    </row>
    <row r="157" spans="1:68" ht="58.5" customHeight="1" x14ac:dyDescent="0.25">
      <c r="A157" s="121"/>
      <c r="B157" s="4"/>
      <c r="C157" s="4"/>
      <c r="D157" s="122"/>
      <c r="E157" s="4"/>
      <c r="F157" s="123"/>
      <c r="G157" s="4391" t="s">
        <v>603</v>
      </c>
      <c r="H157" s="2782"/>
      <c r="I157" s="4388"/>
      <c r="J157" s="2864"/>
      <c r="K157" s="2782"/>
      <c r="L157" s="4146"/>
      <c r="M157" s="2717"/>
      <c r="N157" s="2626"/>
      <c r="O157" s="2698"/>
      <c r="P157" s="1872">
        <v>0.02</v>
      </c>
      <c r="Q157" s="4273"/>
      <c r="R157" s="2698"/>
      <c r="S157" s="2821"/>
      <c r="T157" s="4265" t="s">
        <v>945</v>
      </c>
      <c r="U157" s="1938">
        <v>2402517600</v>
      </c>
      <c r="V157" s="1204">
        <v>1968474204</v>
      </c>
      <c r="W157" s="1204">
        <v>1968474204</v>
      </c>
      <c r="X157" s="1190">
        <v>6</v>
      </c>
      <c r="Y157" s="2510" t="s">
        <v>1995</v>
      </c>
      <c r="Z157" s="2794"/>
      <c r="AA157" s="2722"/>
      <c r="AB157" s="2584"/>
      <c r="AC157" s="2722"/>
      <c r="AD157" s="2584"/>
      <c r="AE157" s="2584"/>
      <c r="AF157" s="2584"/>
      <c r="AG157" s="2584"/>
      <c r="AH157" s="2584"/>
      <c r="AI157" s="2584"/>
      <c r="AJ157" s="2584"/>
      <c r="AK157" s="2584"/>
      <c r="AL157" s="2584"/>
      <c r="AM157" s="2584"/>
      <c r="AN157" s="2584"/>
      <c r="AO157" s="2584"/>
      <c r="AP157" s="2584"/>
      <c r="AQ157" s="2584"/>
      <c r="AR157" s="2584"/>
      <c r="AS157" s="2584"/>
      <c r="AT157" s="2584"/>
      <c r="AU157" s="2584"/>
      <c r="AV157" s="2584"/>
      <c r="AW157" s="2584"/>
      <c r="AX157" s="2584"/>
      <c r="AY157" s="2584"/>
      <c r="AZ157" s="2584"/>
      <c r="BA157" s="2584"/>
      <c r="BB157" s="2584"/>
      <c r="BC157" s="2584"/>
      <c r="BD157" s="2584"/>
      <c r="BE157" s="2584"/>
      <c r="BF157" s="3176"/>
      <c r="BG157" s="4400"/>
      <c r="BH157" s="4400"/>
      <c r="BI157" s="3182"/>
      <c r="BJ157" s="2722"/>
      <c r="BK157" s="4397"/>
      <c r="BL157" s="2584"/>
      <c r="BM157" s="2584"/>
      <c r="BN157" s="2584"/>
      <c r="BO157" s="2584"/>
      <c r="BP157" s="2583"/>
    </row>
    <row r="158" spans="1:68" ht="71.25" customHeight="1" x14ac:dyDescent="0.25">
      <c r="A158" s="121"/>
      <c r="B158" s="4"/>
      <c r="C158" s="4"/>
      <c r="D158" s="122"/>
      <c r="E158" s="4"/>
      <c r="F158" s="123"/>
      <c r="G158" s="4391"/>
      <c r="H158" s="2782"/>
      <c r="I158" s="4388"/>
      <c r="J158" s="2864"/>
      <c r="K158" s="2782"/>
      <c r="L158" s="4146"/>
      <c r="M158" s="2717"/>
      <c r="N158" s="2626"/>
      <c r="O158" s="2698"/>
      <c r="P158" s="1872"/>
      <c r="Q158" s="4273"/>
      <c r="R158" s="2698"/>
      <c r="S158" s="2821"/>
      <c r="T158" s="4265"/>
      <c r="U158" s="1938">
        <v>581391714.38999999</v>
      </c>
      <c r="V158" s="1204">
        <f>581391714</f>
        <v>581391714</v>
      </c>
      <c r="W158" s="1204">
        <f>581391714</f>
        <v>581391714</v>
      </c>
      <c r="X158" s="1190">
        <v>84</v>
      </c>
      <c r="Y158" s="2510" t="s">
        <v>1996</v>
      </c>
      <c r="Z158" s="2794"/>
      <c r="AA158" s="2722"/>
      <c r="AB158" s="2584"/>
      <c r="AC158" s="2722"/>
      <c r="AD158" s="2584"/>
      <c r="AE158" s="2584"/>
      <c r="AF158" s="2584"/>
      <c r="AG158" s="2584"/>
      <c r="AH158" s="2584"/>
      <c r="AI158" s="2584"/>
      <c r="AJ158" s="2584"/>
      <c r="AK158" s="2584"/>
      <c r="AL158" s="2584"/>
      <c r="AM158" s="2584"/>
      <c r="AN158" s="2584"/>
      <c r="AO158" s="2584"/>
      <c r="AP158" s="2584"/>
      <c r="AQ158" s="2584"/>
      <c r="AR158" s="2584"/>
      <c r="AS158" s="2584"/>
      <c r="AT158" s="2584"/>
      <c r="AU158" s="2584"/>
      <c r="AV158" s="2584"/>
      <c r="AW158" s="2584"/>
      <c r="AX158" s="2584"/>
      <c r="AY158" s="2584"/>
      <c r="AZ158" s="2584"/>
      <c r="BA158" s="2584"/>
      <c r="BB158" s="2584"/>
      <c r="BC158" s="2584"/>
      <c r="BD158" s="2584"/>
      <c r="BE158" s="2584"/>
      <c r="BF158" s="3176"/>
      <c r="BG158" s="4400"/>
      <c r="BH158" s="4400"/>
      <c r="BI158" s="3182"/>
      <c r="BJ158" s="2722"/>
      <c r="BK158" s="4397"/>
      <c r="BL158" s="2584"/>
      <c r="BM158" s="2584"/>
      <c r="BN158" s="2584"/>
      <c r="BO158" s="2584"/>
      <c r="BP158" s="2583"/>
    </row>
    <row r="159" spans="1:68" ht="48.75" customHeight="1" x14ac:dyDescent="0.25">
      <c r="A159" s="121"/>
      <c r="B159" s="4"/>
      <c r="C159" s="4"/>
      <c r="D159" s="122"/>
      <c r="E159" s="4"/>
      <c r="F159" s="123"/>
      <c r="G159" s="4391"/>
      <c r="H159" s="2782"/>
      <c r="I159" s="4388"/>
      <c r="J159" s="2864"/>
      <c r="K159" s="2782"/>
      <c r="L159" s="4146"/>
      <c r="M159" s="2717"/>
      <c r="N159" s="2626"/>
      <c r="O159" s="2698"/>
      <c r="P159" s="1872"/>
      <c r="Q159" s="4273"/>
      <c r="R159" s="2698"/>
      <c r="S159" s="2698"/>
      <c r="T159" s="4388" t="s">
        <v>946</v>
      </c>
      <c r="U159" s="1936">
        <v>1029650400</v>
      </c>
      <c r="V159" s="1204">
        <v>843631802</v>
      </c>
      <c r="W159" s="1204">
        <v>843631802</v>
      </c>
      <c r="X159" s="1190">
        <v>6</v>
      </c>
      <c r="Y159" s="2510" t="s">
        <v>1995</v>
      </c>
      <c r="Z159" s="2794"/>
      <c r="AA159" s="2722"/>
      <c r="AB159" s="2584"/>
      <c r="AC159" s="2722"/>
      <c r="AD159" s="2584"/>
      <c r="AE159" s="2584"/>
      <c r="AF159" s="2584"/>
      <c r="AG159" s="2584"/>
      <c r="AH159" s="2584"/>
      <c r="AI159" s="2584"/>
      <c r="AJ159" s="2584"/>
      <c r="AK159" s="2584"/>
      <c r="AL159" s="2584"/>
      <c r="AM159" s="2584"/>
      <c r="AN159" s="2584"/>
      <c r="AO159" s="2584"/>
      <c r="AP159" s="2584"/>
      <c r="AQ159" s="2584"/>
      <c r="AR159" s="2584"/>
      <c r="AS159" s="2584"/>
      <c r="AT159" s="2584"/>
      <c r="AU159" s="2584"/>
      <c r="AV159" s="2584"/>
      <c r="AW159" s="2584"/>
      <c r="AX159" s="2584"/>
      <c r="AY159" s="2584"/>
      <c r="AZ159" s="2584"/>
      <c r="BA159" s="2584"/>
      <c r="BB159" s="2584"/>
      <c r="BC159" s="2584"/>
      <c r="BD159" s="2584"/>
      <c r="BE159" s="2584"/>
      <c r="BF159" s="3176"/>
      <c r="BG159" s="4400"/>
      <c r="BH159" s="4400"/>
      <c r="BI159" s="3182"/>
      <c r="BJ159" s="2722"/>
      <c r="BK159" s="4397"/>
      <c r="BL159" s="2584"/>
      <c r="BM159" s="2584"/>
      <c r="BN159" s="2584"/>
      <c r="BO159" s="2584"/>
      <c r="BP159" s="2583"/>
    </row>
    <row r="160" spans="1:68" ht="54" customHeight="1" x14ac:dyDescent="0.25">
      <c r="A160" s="121"/>
      <c r="B160" s="4"/>
      <c r="C160" s="4"/>
      <c r="D160" s="122"/>
      <c r="E160" s="4"/>
      <c r="F160" s="123"/>
      <c r="G160" s="4404"/>
      <c r="H160" s="2783"/>
      <c r="I160" s="4264"/>
      <c r="J160" s="2865"/>
      <c r="K160" s="2783"/>
      <c r="L160" s="4147"/>
      <c r="M160" s="2717"/>
      <c r="N160" s="2626"/>
      <c r="O160" s="2698"/>
      <c r="P160" s="1873"/>
      <c r="Q160" s="4273"/>
      <c r="R160" s="2698"/>
      <c r="S160" s="2698"/>
      <c r="T160" s="4264"/>
      <c r="U160" s="1936">
        <v>249167878</v>
      </c>
      <c r="V160" s="1204">
        <f>249167878</f>
        <v>249167878</v>
      </c>
      <c r="W160" s="1204">
        <f>249167878</f>
        <v>249167878</v>
      </c>
      <c r="X160" s="1190">
        <v>84</v>
      </c>
      <c r="Y160" s="2510" t="s">
        <v>1996</v>
      </c>
      <c r="Z160" s="2794"/>
      <c r="AA160" s="2723"/>
      <c r="AB160" s="2584"/>
      <c r="AC160" s="2723"/>
      <c r="AD160" s="2584"/>
      <c r="AE160" s="2720"/>
      <c r="AF160" s="2584"/>
      <c r="AG160" s="2720"/>
      <c r="AH160" s="2584"/>
      <c r="AI160" s="2720"/>
      <c r="AJ160" s="2584"/>
      <c r="AK160" s="2720"/>
      <c r="AL160" s="2584"/>
      <c r="AM160" s="2720"/>
      <c r="AN160" s="2584"/>
      <c r="AO160" s="2720"/>
      <c r="AP160" s="2584"/>
      <c r="AQ160" s="2720"/>
      <c r="AR160" s="2584"/>
      <c r="AS160" s="2720"/>
      <c r="AT160" s="2584"/>
      <c r="AU160" s="2720"/>
      <c r="AV160" s="2584"/>
      <c r="AW160" s="2720"/>
      <c r="AX160" s="2584"/>
      <c r="AY160" s="2720"/>
      <c r="AZ160" s="2584"/>
      <c r="BA160" s="2720"/>
      <c r="BB160" s="2584"/>
      <c r="BC160" s="2720"/>
      <c r="BD160" s="2584"/>
      <c r="BE160" s="3349"/>
      <c r="BF160" s="3176"/>
      <c r="BG160" s="4400"/>
      <c r="BH160" s="4400"/>
      <c r="BI160" s="3182"/>
      <c r="BJ160" s="2722"/>
      <c r="BK160" s="4398"/>
      <c r="BL160" s="2584"/>
      <c r="BM160" s="2584"/>
      <c r="BN160" s="2584"/>
      <c r="BO160" s="2584"/>
      <c r="BP160" s="2583"/>
    </row>
    <row r="161" spans="1:68" ht="56.25" customHeight="1" x14ac:dyDescent="0.25">
      <c r="A161" s="121"/>
      <c r="B161" s="4"/>
      <c r="C161" s="4"/>
      <c r="D161" s="3415"/>
      <c r="E161" s="4235"/>
      <c r="F161" s="123"/>
      <c r="G161" s="4369" t="s">
        <v>603</v>
      </c>
      <c r="H161" s="4371">
        <v>38.6</v>
      </c>
      <c r="I161" s="4264" t="s">
        <v>947</v>
      </c>
      <c r="J161" s="2865" t="s">
        <v>948</v>
      </c>
      <c r="K161" s="2783">
        <v>1</v>
      </c>
      <c r="L161" s="4199">
        <v>0.8</v>
      </c>
      <c r="M161" s="2865" t="s">
        <v>949</v>
      </c>
      <c r="N161" s="3168" t="s">
        <v>950</v>
      </c>
      <c r="O161" s="2787" t="s">
        <v>951</v>
      </c>
      <c r="P161" s="4401">
        <v>1</v>
      </c>
      <c r="Q161" s="4411">
        <v>188546842</v>
      </c>
      <c r="R161" s="2787" t="s">
        <v>952</v>
      </c>
      <c r="S161" s="3083" t="s">
        <v>953</v>
      </c>
      <c r="T161" s="4388" t="s">
        <v>843</v>
      </c>
      <c r="U161" s="1935">
        <v>5866667</v>
      </c>
      <c r="V161" s="1934">
        <v>5866667</v>
      </c>
      <c r="W161" s="1931">
        <v>5866667</v>
      </c>
      <c r="X161" s="1205">
        <v>88</v>
      </c>
      <c r="Y161" s="2505" t="s">
        <v>411</v>
      </c>
      <c r="Z161" s="2626">
        <v>2360</v>
      </c>
      <c r="AA161" s="3018">
        <f>76+9</f>
        <v>85</v>
      </c>
      <c r="AB161" s="2626">
        <v>2360</v>
      </c>
      <c r="AC161" s="4410">
        <v>47</v>
      </c>
      <c r="AD161" s="2592">
        <v>1500</v>
      </c>
      <c r="AE161" s="2592">
        <v>3</v>
      </c>
      <c r="AF161" s="2592">
        <v>480</v>
      </c>
      <c r="AG161" s="2592">
        <v>3</v>
      </c>
      <c r="AH161" s="2592">
        <v>1200</v>
      </c>
      <c r="AI161" s="2592">
        <f>110+15</f>
        <v>125</v>
      </c>
      <c r="AJ161" s="2592">
        <v>1500</v>
      </c>
      <c r="AK161" s="2592">
        <f>14+1</f>
        <v>15</v>
      </c>
      <c r="AL161" s="2592">
        <v>20</v>
      </c>
      <c r="AM161" s="2592">
        <v>1</v>
      </c>
      <c r="AN161" s="2592">
        <v>20</v>
      </c>
      <c r="AO161" s="2592"/>
      <c r="AP161" s="2592">
        <v>0</v>
      </c>
      <c r="AQ161" s="2592"/>
      <c r="AR161" s="2592">
        <v>0</v>
      </c>
      <c r="AS161" s="2592"/>
      <c r="AT161" s="2592">
        <v>0</v>
      </c>
      <c r="AU161" s="2592"/>
      <c r="AV161" s="2592">
        <v>0</v>
      </c>
      <c r="AW161" s="2592"/>
      <c r="AX161" s="2592">
        <v>1000</v>
      </c>
      <c r="AY161" s="2592">
        <v>2</v>
      </c>
      <c r="AZ161" s="2592">
        <v>0</v>
      </c>
      <c r="BA161" s="2592">
        <f>116+16</f>
        <v>132</v>
      </c>
      <c r="BB161" s="4406">
        <v>0</v>
      </c>
      <c r="BC161" s="4406">
        <v>2</v>
      </c>
      <c r="BD161" s="2592">
        <v>4720</v>
      </c>
      <c r="BE161" s="3276">
        <f>AA161+AC161</f>
        <v>132</v>
      </c>
      <c r="BF161" s="3167">
        <v>9</v>
      </c>
      <c r="BG161" s="4209">
        <f>SUM(V161:V178)</f>
        <v>59736100</v>
      </c>
      <c r="BH161" s="4209">
        <f>SUM(W161:W178)</f>
        <v>59736100</v>
      </c>
      <c r="BI161" s="4213">
        <f>BH161/BG161</f>
        <v>1</v>
      </c>
      <c r="BJ161" s="3167" t="s">
        <v>691</v>
      </c>
      <c r="BK161" s="3167" t="s">
        <v>844</v>
      </c>
      <c r="BL161" s="4211">
        <v>43832</v>
      </c>
      <c r="BM161" s="4211">
        <v>43832</v>
      </c>
      <c r="BN161" s="4211">
        <v>44195</v>
      </c>
      <c r="BO161" s="4211">
        <v>44195</v>
      </c>
      <c r="BP161" s="2626" t="s">
        <v>693</v>
      </c>
    </row>
    <row r="162" spans="1:68" ht="39.75" customHeight="1" x14ac:dyDescent="0.25">
      <c r="A162" s="121"/>
      <c r="B162" s="4"/>
      <c r="C162" s="4"/>
      <c r="D162" s="3415"/>
      <c r="E162" s="4235"/>
      <c r="F162" s="123"/>
      <c r="G162" s="4370"/>
      <c r="H162" s="4372"/>
      <c r="I162" s="4265"/>
      <c r="J162" s="2717"/>
      <c r="K162" s="2625"/>
      <c r="L162" s="4200"/>
      <c r="M162" s="2717"/>
      <c r="N162" s="2626"/>
      <c r="O162" s="2698"/>
      <c r="P162" s="4402"/>
      <c r="Q162" s="4412"/>
      <c r="R162" s="2698"/>
      <c r="S162" s="3083"/>
      <c r="T162" s="4264"/>
      <c r="U162" s="1937">
        <v>21000000</v>
      </c>
      <c r="V162" s="1937">
        <v>0</v>
      </c>
      <c r="W162" s="1184"/>
      <c r="X162" s="1105">
        <v>20</v>
      </c>
      <c r="Y162" s="2494" t="s">
        <v>85</v>
      </c>
      <c r="Z162" s="2626"/>
      <c r="AA162" s="3019"/>
      <c r="AB162" s="2626"/>
      <c r="AC162" s="4262"/>
      <c r="AD162" s="2592"/>
      <c r="AE162" s="2592"/>
      <c r="AF162" s="2592"/>
      <c r="AG162" s="2592"/>
      <c r="AH162" s="2592"/>
      <c r="AI162" s="2592"/>
      <c r="AJ162" s="2592"/>
      <c r="AK162" s="2592"/>
      <c r="AL162" s="2592"/>
      <c r="AM162" s="2592"/>
      <c r="AN162" s="2592"/>
      <c r="AO162" s="2592"/>
      <c r="AP162" s="2592"/>
      <c r="AQ162" s="2592"/>
      <c r="AR162" s="2592"/>
      <c r="AS162" s="2592"/>
      <c r="AT162" s="2592"/>
      <c r="AU162" s="2592"/>
      <c r="AV162" s="2592"/>
      <c r="AW162" s="2592"/>
      <c r="AX162" s="2592"/>
      <c r="AY162" s="2592"/>
      <c r="AZ162" s="2592"/>
      <c r="BA162" s="2592"/>
      <c r="BB162" s="4406"/>
      <c r="BC162" s="4406"/>
      <c r="BD162" s="2592"/>
      <c r="BE162" s="2696"/>
      <c r="BF162" s="3019"/>
      <c r="BG162" s="4228"/>
      <c r="BH162" s="4228"/>
      <c r="BI162" s="4230"/>
      <c r="BJ162" s="3019"/>
      <c r="BK162" s="3019"/>
      <c r="BL162" s="4211"/>
      <c r="BM162" s="4211"/>
      <c r="BN162" s="4211"/>
      <c r="BO162" s="4211"/>
      <c r="BP162" s="2626"/>
    </row>
    <row r="163" spans="1:68" ht="56.25" customHeight="1" x14ac:dyDescent="0.25">
      <c r="A163" s="121"/>
      <c r="B163" s="4"/>
      <c r="C163" s="4"/>
      <c r="D163" s="3415"/>
      <c r="E163" s="4235"/>
      <c r="F163" s="123"/>
      <c r="G163" s="4370"/>
      <c r="H163" s="4372"/>
      <c r="I163" s="4265"/>
      <c r="J163" s="2717"/>
      <c r="K163" s="2625"/>
      <c r="L163" s="4200"/>
      <c r="M163" s="2717"/>
      <c r="N163" s="2626"/>
      <c r="O163" s="2698"/>
      <c r="P163" s="4402"/>
      <c r="Q163" s="4412"/>
      <c r="R163" s="2698"/>
      <c r="S163" s="3083"/>
      <c r="T163" s="1206" t="s">
        <v>954</v>
      </c>
      <c r="U163" s="1937">
        <v>39501135</v>
      </c>
      <c r="V163" s="1937">
        <v>0</v>
      </c>
      <c r="W163" s="1937">
        <v>0</v>
      </c>
      <c r="X163" s="1105">
        <v>20</v>
      </c>
      <c r="Y163" s="2494" t="s">
        <v>85</v>
      </c>
      <c r="Z163" s="2626"/>
      <c r="AA163" s="3019"/>
      <c r="AB163" s="2626"/>
      <c r="AC163" s="4262"/>
      <c r="AD163" s="2592"/>
      <c r="AE163" s="2592"/>
      <c r="AF163" s="2592"/>
      <c r="AG163" s="2592"/>
      <c r="AH163" s="2592"/>
      <c r="AI163" s="2592"/>
      <c r="AJ163" s="2592"/>
      <c r="AK163" s="2592"/>
      <c r="AL163" s="2592"/>
      <c r="AM163" s="2592"/>
      <c r="AN163" s="2592"/>
      <c r="AO163" s="2592"/>
      <c r="AP163" s="2592"/>
      <c r="AQ163" s="2592"/>
      <c r="AR163" s="2592"/>
      <c r="AS163" s="2592"/>
      <c r="AT163" s="2592"/>
      <c r="AU163" s="2592"/>
      <c r="AV163" s="2592"/>
      <c r="AW163" s="2592"/>
      <c r="AX163" s="2592"/>
      <c r="AY163" s="2592"/>
      <c r="AZ163" s="2592"/>
      <c r="BA163" s="2592"/>
      <c r="BB163" s="4406"/>
      <c r="BC163" s="4406"/>
      <c r="BD163" s="2592"/>
      <c r="BE163" s="2696"/>
      <c r="BF163" s="3019"/>
      <c r="BG163" s="4228"/>
      <c r="BH163" s="4228"/>
      <c r="BI163" s="4230"/>
      <c r="BJ163" s="3019"/>
      <c r="BK163" s="3019"/>
      <c r="BL163" s="4211"/>
      <c r="BM163" s="4211"/>
      <c r="BN163" s="4211"/>
      <c r="BO163" s="4211"/>
      <c r="BP163" s="2626"/>
    </row>
    <row r="164" spans="1:68" ht="57.75" customHeight="1" x14ac:dyDescent="0.25">
      <c r="A164" s="121"/>
      <c r="B164" s="4"/>
      <c r="C164" s="4"/>
      <c r="D164" s="3415"/>
      <c r="E164" s="4235"/>
      <c r="F164" s="123"/>
      <c r="G164" s="4370"/>
      <c r="H164" s="4372"/>
      <c r="I164" s="4265"/>
      <c r="J164" s="2717"/>
      <c r="K164" s="2625"/>
      <c r="L164" s="4200"/>
      <c r="M164" s="2717"/>
      <c r="N164" s="2626"/>
      <c r="O164" s="2698"/>
      <c r="P164" s="4402"/>
      <c r="Q164" s="4412"/>
      <c r="R164" s="2698"/>
      <c r="S164" s="3083"/>
      <c r="T164" s="1206" t="s">
        <v>955</v>
      </c>
      <c r="U164" s="1937">
        <v>4300000</v>
      </c>
      <c r="V164" s="1937">
        <v>4300000</v>
      </c>
      <c r="W164" s="1184">
        <v>4300000</v>
      </c>
      <c r="X164" s="1105">
        <v>88</v>
      </c>
      <c r="Y164" s="2494" t="s">
        <v>411</v>
      </c>
      <c r="Z164" s="2626"/>
      <c r="AA164" s="3019"/>
      <c r="AB164" s="2626"/>
      <c r="AC164" s="4262"/>
      <c r="AD164" s="2592"/>
      <c r="AE164" s="2592"/>
      <c r="AF164" s="2592"/>
      <c r="AG164" s="2592"/>
      <c r="AH164" s="2592"/>
      <c r="AI164" s="2592"/>
      <c r="AJ164" s="2592"/>
      <c r="AK164" s="2592"/>
      <c r="AL164" s="2592"/>
      <c r="AM164" s="2592"/>
      <c r="AN164" s="2592"/>
      <c r="AO164" s="2592"/>
      <c r="AP164" s="2592"/>
      <c r="AQ164" s="2592"/>
      <c r="AR164" s="2592"/>
      <c r="AS164" s="2592"/>
      <c r="AT164" s="2592"/>
      <c r="AU164" s="2592"/>
      <c r="AV164" s="2592"/>
      <c r="AW164" s="2592"/>
      <c r="AX164" s="2592"/>
      <c r="AY164" s="2592"/>
      <c r="AZ164" s="2592"/>
      <c r="BA164" s="2592"/>
      <c r="BB164" s="4406"/>
      <c r="BC164" s="4406"/>
      <c r="BD164" s="2592"/>
      <c r="BE164" s="2696"/>
      <c r="BF164" s="3019"/>
      <c r="BG164" s="4228"/>
      <c r="BH164" s="4228"/>
      <c r="BI164" s="4230"/>
      <c r="BJ164" s="3019"/>
      <c r="BK164" s="3019"/>
      <c r="BL164" s="4211"/>
      <c r="BM164" s="4211"/>
      <c r="BN164" s="4211"/>
      <c r="BO164" s="4211"/>
      <c r="BP164" s="2626"/>
    </row>
    <row r="165" spans="1:68" ht="60" x14ac:dyDescent="0.25">
      <c r="A165" s="121"/>
      <c r="B165" s="4"/>
      <c r="C165" s="4"/>
      <c r="D165" s="3415"/>
      <c r="E165" s="4235"/>
      <c r="F165" s="123"/>
      <c r="G165" s="4370"/>
      <c r="H165" s="4372"/>
      <c r="I165" s="4265"/>
      <c r="J165" s="2717"/>
      <c r="K165" s="2625"/>
      <c r="L165" s="4200"/>
      <c r="M165" s="2717"/>
      <c r="N165" s="2626"/>
      <c r="O165" s="2698"/>
      <c r="P165" s="4402"/>
      <c r="Q165" s="4412"/>
      <c r="R165" s="2698"/>
      <c r="S165" s="3083"/>
      <c r="T165" s="1206" t="s">
        <v>956</v>
      </c>
      <c r="U165" s="1937">
        <v>5000000</v>
      </c>
      <c r="V165" s="1937">
        <v>5000000</v>
      </c>
      <c r="W165" s="1937">
        <v>5000000</v>
      </c>
      <c r="X165" s="1105">
        <v>88</v>
      </c>
      <c r="Y165" s="2494" t="s">
        <v>411</v>
      </c>
      <c r="Z165" s="2626"/>
      <c r="AA165" s="3019"/>
      <c r="AB165" s="2626"/>
      <c r="AC165" s="4262"/>
      <c r="AD165" s="2592"/>
      <c r="AE165" s="2592"/>
      <c r="AF165" s="2592"/>
      <c r="AG165" s="2592"/>
      <c r="AH165" s="2592"/>
      <c r="AI165" s="2592"/>
      <c r="AJ165" s="2592"/>
      <c r="AK165" s="2592"/>
      <c r="AL165" s="2592"/>
      <c r="AM165" s="2592"/>
      <c r="AN165" s="2592"/>
      <c r="AO165" s="2592"/>
      <c r="AP165" s="2592"/>
      <c r="AQ165" s="2592"/>
      <c r="AR165" s="2592"/>
      <c r="AS165" s="2592"/>
      <c r="AT165" s="2592"/>
      <c r="AU165" s="2592"/>
      <c r="AV165" s="2592"/>
      <c r="AW165" s="2592"/>
      <c r="AX165" s="2592"/>
      <c r="AY165" s="2592"/>
      <c r="AZ165" s="2592"/>
      <c r="BA165" s="2592"/>
      <c r="BB165" s="4406"/>
      <c r="BC165" s="4406"/>
      <c r="BD165" s="2592"/>
      <c r="BE165" s="2696"/>
      <c r="BF165" s="3019"/>
      <c r="BG165" s="4228"/>
      <c r="BH165" s="4228"/>
      <c r="BI165" s="4230"/>
      <c r="BJ165" s="3019"/>
      <c r="BK165" s="3019"/>
      <c r="BL165" s="4211"/>
      <c r="BM165" s="4211"/>
      <c r="BN165" s="4211"/>
      <c r="BO165" s="4211"/>
      <c r="BP165" s="2626"/>
    </row>
    <row r="166" spans="1:68" ht="64.5" customHeight="1" x14ac:dyDescent="0.25">
      <c r="A166" s="121"/>
      <c r="B166" s="4"/>
      <c r="C166" s="4"/>
      <c r="D166" s="3415"/>
      <c r="E166" s="4235"/>
      <c r="F166" s="123"/>
      <c r="G166" s="4370"/>
      <c r="H166" s="4372"/>
      <c r="I166" s="4265"/>
      <c r="J166" s="2717"/>
      <c r="K166" s="2625"/>
      <c r="L166" s="4200"/>
      <c r="M166" s="2717"/>
      <c r="N166" s="2626"/>
      <c r="O166" s="2698"/>
      <c r="P166" s="4402"/>
      <c r="Q166" s="4412"/>
      <c r="R166" s="2698"/>
      <c r="S166" s="3083"/>
      <c r="T166" s="1206" t="s">
        <v>957</v>
      </c>
      <c r="U166" s="1937">
        <v>5266667</v>
      </c>
      <c r="V166" s="1937">
        <v>5266667</v>
      </c>
      <c r="W166" s="1937">
        <v>5266667</v>
      </c>
      <c r="X166" s="1105">
        <v>88</v>
      </c>
      <c r="Y166" s="2494" t="s">
        <v>411</v>
      </c>
      <c r="Z166" s="2626"/>
      <c r="AA166" s="3019"/>
      <c r="AB166" s="2626"/>
      <c r="AC166" s="4262"/>
      <c r="AD166" s="2592"/>
      <c r="AE166" s="2592"/>
      <c r="AF166" s="2592"/>
      <c r="AG166" s="2592"/>
      <c r="AH166" s="2592"/>
      <c r="AI166" s="2592"/>
      <c r="AJ166" s="2592"/>
      <c r="AK166" s="2592"/>
      <c r="AL166" s="2592"/>
      <c r="AM166" s="2592"/>
      <c r="AN166" s="2592"/>
      <c r="AO166" s="2592"/>
      <c r="AP166" s="2592"/>
      <c r="AQ166" s="2592"/>
      <c r="AR166" s="2592"/>
      <c r="AS166" s="2592"/>
      <c r="AT166" s="2592"/>
      <c r="AU166" s="2592"/>
      <c r="AV166" s="2592"/>
      <c r="AW166" s="2592"/>
      <c r="AX166" s="2592"/>
      <c r="AY166" s="2592"/>
      <c r="AZ166" s="2592"/>
      <c r="BA166" s="2592"/>
      <c r="BB166" s="4406"/>
      <c r="BC166" s="4406"/>
      <c r="BD166" s="2592"/>
      <c r="BE166" s="2696"/>
      <c r="BF166" s="3019"/>
      <c r="BG166" s="4228"/>
      <c r="BH166" s="4228"/>
      <c r="BI166" s="4230"/>
      <c r="BJ166" s="3019"/>
      <c r="BK166" s="3019"/>
      <c r="BL166" s="4211"/>
      <c r="BM166" s="4211"/>
      <c r="BN166" s="4211"/>
      <c r="BO166" s="4211"/>
      <c r="BP166" s="2626"/>
    </row>
    <row r="167" spans="1:68" ht="47.25" customHeight="1" x14ac:dyDescent="0.25">
      <c r="A167" s="121"/>
      <c r="B167" s="4"/>
      <c r="C167" s="4"/>
      <c r="D167" s="3415"/>
      <c r="E167" s="4235"/>
      <c r="F167" s="123"/>
      <c r="G167" s="4370"/>
      <c r="H167" s="4372"/>
      <c r="I167" s="4265"/>
      <c r="J167" s="2717"/>
      <c r="K167" s="2625"/>
      <c r="L167" s="4200"/>
      <c r="M167" s="2717"/>
      <c r="N167" s="2626"/>
      <c r="O167" s="2698"/>
      <c r="P167" s="4402"/>
      <c r="Q167" s="4412"/>
      <c r="R167" s="2698"/>
      <c r="S167" s="3083"/>
      <c r="T167" s="1206" t="s">
        <v>958</v>
      </c>
      <c r="U167" s="1937">
        <v>36057906</v>
      </c>
      <c r="V167" s="1937">
        <v>0</v>
      </c>
      <c r="W167" s="1184"/>
      <c r="X167" s="1105">
        <v>20</v>
      </c>
      <c r="Y167" s="2494" t="s">
        <v>85</v>
      </c>
      <c r="Z167" s="2626"/>
      <c r="AA167" s="3019"/>
      <c r="AB167" s="2626"/>
      <c r="AC167" s="4262"/>
      <c r="AD167" s="2592"/>
      <c r="AE167" s="2592"/>
      <c r="AF167" s="2592"/>
      <c r="AG167" s="2592"/>
      <c r="AH167" s="2592"/>
      <c r="AI167" s="2592"/>
      <c r="AJ167" s="2592"/>
      <c r="AK167" s="2592"/>
      <c r="AL167" s="2592"/>
      <c r="AM167" s="2592"/>
      <c r="AN167" s="2592"/>
      <c r="AO167" s="2592"/>
      <c r="AP167" s="2592"/>
      <c r="AQ167" s="2592"/>
      <c r="AR167" s="2592"/>
      <c r="AS167" s="2592"/>
      <c r="AT167" s="2592"/>
      <c r="AU167" s="2592"/>
      <c r="AV167" s="2592"/>
      <c r="AW167" s="2592"/>
      <c r="AX167" s="2592"/>
      <c r="AY167" s="2592"/>
      <c r="AZ167" s="2592"/>
      <c r="BA167" s="2592"/>
      <c r="BB167" s="4406"/>
      <c r="BC167" s="4406"/>
      <c r="BD167" s="2592"/>
      <c r="BE167" s="2696"/>
      <c r="BF167" s="3019"/>
      <c r="BG167" s="4228"/>
      <c r="BH167" s="4228"/>
      <c r="BI167" s="4230"/>
      <c r="BJ167" s="3019"/>
      <c r="BK167" s="3019"/>
      <c r="BL167" s="4211"/>
      <c r="BM167" s="4211"/>
      <c r="BN167" s="4211"/>
      <c r="BO167" s="4211"/>
      <c r="BP167" s="2626"/>
    </row>
    <row r="168" spans="1:68" ht="63.75" customHeight="1" x14ac:dyDescent="0.25">
      <c r="A168" s="121"/>
      <c r="B168" s="4"/>
      <c r="C168" s="4"/>
      <c r="D168" s="3415"/>
      <c r="E168" s="4235"/>
      <c r="F168" s="123"/>
      <c r="G168" s="4370"/>
      <c r="H168" s="4372"/>
      <c r="I168" s="4265"/>
      <c r="J168" s="2717"/>
      <c r="K168" s="2625"/>
      <c r="L168" s="4200"/>
      <c r="M168" s="2717"/>
      <c r="N168" s="2626"/>
      <c r="O168" s="2698"/>
      <c r="P168" s="4402"/>
      <c r="Q168" s="4412"/>
      <c r="R168" s="2698"/>
      <c r="S168" s="3083"/>
      <c r="T168" s="1206" t="s">
        <v>959</v>
      </c>
      <c r="U168" s="1937">
        <v>19750567</v>
      </c>
      <c r="V168" s="1937">
        <v>7249433</v>
      </c>
      <c r="W168" s="1937">
        <v>7249433</v>
      </c>
      <c r="X168" s="1105">
        <v>88</v>
      </c>
      <c r="Y168" s="2494" t="s">
        <v>411</v>
      </c>
      <c r="Z168" s="2626"/>
      <c r="AA168" s="3019"/>
      <c r="AB168" s="2626"/>
      <c r="AC168" s="4262"/>
      <c r="AD168" s="2592"/>
      <c r="AE168" s="2592"/>
      <c r="AF168" s="2592"/>
      <c r="AG168" s="2592"/>
      <c r="AH168" s="2592"/>
      <c r="AI168" s="2592"/>
      <c r="AJ168" s="2592"/>
      <c r="AK168" s="2592"/>
      <c r="AL168" s="2592"/>
      <c r="AM168" s="2592"/>
      <c r="AN168" s="2592"/>
      <c r="AO168" s="2592"/>
      <c r="AP168" s="2592"/>
      <c r="AQ168" s="2592"/>
      <c r="AR168" s="2592"/>
      <c r="AS168" s="2592"/>
      <c r="AT168" s="2592"/>
      <c r="AU168" s="2592"/>
      <c r="AV168" s="2592"/>
      <c r="AW168" s="2592"/>
      <c r="AX168" s="2592"/>
      <c r="AY168" s="2592"/>
      <c r="AZ168" s="2592"/>
      <c r="BA168" s="2592"/>
      <c r="BB168" s="4406"/>
      <c r="BC168" s="4406"/>
      <c r="BD168" s="2592"/>
      <c r="BE168" s="2696"/>
      <c r="BF168" s="3019"/>
      <c r="BG168" s="4228"/>
      <c r="BH168" s="4228"/>
      <c r="BI168" s="4230"/>
      <c r="BJ168" s="3019"/>
      <c r="BK168" s="3019"/>
      <c r="BL168" s="4211"/>
      <c r="BM168" s="4211"/>
      <c r="BN168" s="4211"/>
      <c r="BO168" s="4211"/>
      <c r="BP168" s="2626"/>
    </row>
    <row r="169" spans="1:68" ht="65.25" customHeight="1" x14ac:dyDescent="0.25">
      <c r="A169" s="121"/>
      <c r="B169" s="4"/>
      <c r="C169" s="4"/>
      <c r="D169" s="3415"/>
      <c r="E169" s="4235"/>
      <c r="F169" s="123"/>
      <c r="G169" s="4370"/>
      <c r="H169" s="4372"/>
      <c r="I169" s="4265"/>
      <c r="J169" s="2717"/>
      <c r="K169" s="2625"/>
      <c r="L169" s="4200"/>
      <c r="M169" s="2717"/>
      <c r="N169" s="2626"/>
      <c r="O169" s="2698"/>
      <c r="P169" s="4402"/>
      <c r="Q169" s="4412"/>
      <c r="R169" s="2698"/>
      <c r="S169" s="3083"/>
      <c r="T169" s="1207" t="s">
        <v>960</v>
      </c>
      <c r="U169" s="1937"/>
      <c r="V169" s="1937">
        <v>0</v>
      </c>
      <c r="W169" s="1184"/>
      <c r="X169" s="1105">
        <v>20</v>
      </c>
      <c r="Y169" s="2494" t="s">
        <v>85</v>
      </c>
      <c r="Z169" s="2626"/>
      <c r="AA169" s="3019"/>
      <c r="AB169" s="2626"/>
      <c r="AC169" s="4262"/>
      <c r="AD169" s="2592"/>
      <c r="AE169" s="2592"/>
      <c r="AF169" s="2592"/>
      <c r="AG169" s="2592"/>
      <c r="AH169" s="2592"/>
      <c r="AI169" s="2592"/>
      <c r="AJ169" s="2592"/>
      <c r="AK169" s="2592"/>
      <c r="AL169" s="2592"/>
      <c r="AM169" s="2592"/>
      <c r="AN169" s="2592"/>
      <c r="AO169" s="2592"/>
      <c r="AP169" s="2592"/>
      <c r="AQ169" s="2592"/>
      <c r="AR169" s="2592"/>
      <c r="AS169" s="2592"/>
      <c r="AT169" s="2592"/>
      <c r="AU169" s="2592"/>
      <c r="AV169" s="2592"/>
      <c r="AW169" s="2592"/>
      <c r="AX169" s="2592"/>
      <c r="AY169" s="2592"/>
      <c r="AZ169" s="2592"/>
      <c r="BA169" s="2592"/>
      <c r="BB169" s="4406"/>
      <c r="BC169" s="4406"/>
      <c r="BD169" s="2592"/>
      <c r="BE169" s="2696"/>
      <c r="BF169" s="3019"/>
      <c r="BG169" s="4228"/>
      <c r="BH169" s="4228"/>
      <c r="BI169" s="4230"/>
      <c r="BJ169" s="3019"/>
      <c r="BK169" s="3019"/>
      <c r="BL169" s="4211"/>
      <c r="BM169" s="4211"/>
      <c r="BN169" s="4211"/>
      <c r="BO169" s="4211"/>
      <c r="BP169" s="2626"/>
    </row>
    <row r="170" spans="1:68" ht="109.5" customHeight="1" x14ac:dyDescent="0.25">
      <c r="A170" s="121"/>
      <c r="B170" s="4"/>
      <c r="C170" s="4"/>
      <c r="D170" s="3415"/>
      <c r="E170" s="4235"/>
      <c r="F170" s="123"/>
      <c r="G170" s="4370"/>
      <c r="H170" s="4372"/>
      <c r="I170" s="4265"/>
      <c r="J170" s="2717"/>
      <c r="K170" s="2625"/>
      <c r="L170" s="4200"/>
      <c r="M170" s="2717"/>
      <c r="N170" s="2626"/>
      <c r="O170" s="2698"/>
      <c r="P170" s="4402"/>
      <c r="Q170" s="4412"/>
      <c r="R170" s="2698"/>
      <c r="S170" s="3083"/>
      <c r="T170" s="1206" t="s">
        <v>961</v>
      </c>
      <c r="U170" s="1923">
        <v>4053333</v>
      </c>
      <c r="V170" s="1923">
        <v>4053333</v>
      </c>
      <c r="W170" s="1923">
        <v>4053333</v>
      </c>
      <c r="X170" s="1105">
        <v>20</v>
      </c>
      <c r="Y170" s="2494" t="s">
        <v>85</v>
      </c>
      <c r="Z170" s="2626"/>
      <c r="AA170" s="3019"/>
      <c r="AB170" s="2626"/>
      <c r="AC170" s="4262"/>
      <c r="AD170" s="2592"/>
      <c r="AE170" s="2592"/>
      <c r="AF170" s="2592"/>
      <c r="AG170" s="2592"/>
      <c r="AH170" s="2592"/>
      <c r="AI170" s="2592"/>
      <c r="AJ170" s="2592"/>
      <c r="AK170" s="2592"/>
      <c r="AL170" s="2592"/>
      <c r="AM170" s="2592"/>
      <c r="AN170" s="2592"/>
      <c r="AO170" s="2592"/>
      <c r="AP170" s="2592"/>
      <c r="AQ170" s="2592"/>
      <c r="AR170" s="2592"/>
      <c r="AS170" s="2592"/>
      <c r="AT170" s="2592"/>
      <c r="AU170" s="2592"/>
      <c r="AV170" s="2592"/>
      <c r="AW170" s="2592"/>
      <c r="AX170" s="2592"/>
      <c r="AY170" s="2592"/>
      <c r="AZ170" s="2592"/>
      <c r="BA170" s="2592"/>
      <c r="BB170" s="4406"/>
      <c r="BC170" s="4406"/>
      <c r="BD170" s="2592"/>
      <c r="BE170" s="2696"/>
      <c r="BF170" s="3019"/>
      <c r="BG170" s="4228"/>
      <c r="BH170" s="4228"/>
      <c r="BI170" s="4230"/>
      <c r="BJ170" s="3019"/>
      <c r="BK170" s="3019"/>
      <c r="BL170" s="4211"/>
      <c r="BM170" s="4211"/>
      <c r="BN170" s="4211"/>
      <c r="BO170" s="4211"/>
      <c r="BP170" s="2626"/>
    </row>
    <row r="171" spans="1:68" ht="60" customHeight="1" x14ac:dyDescent="0.25">
      <c r="A171" s="121"/>
      <c r="B171" s="4"/>
      <c r="C171" s="4"/>
      <c r="D171" s="3415"/>
      <c r="E171" s="4235"/>
      <c r="F171" s="123"/>
      <c r="G171" s="4370"/>
      <c r="H171" s="4372"/>
      <c r="I171" s="4265"/>
      <c r="J171" s="2717"/>
      <c r="K171" s="2625"/>
      <c r="L171" s="4200"/>
      <c r="M171" s="2717"/>
      <c r="N171" s="2626"/>
      <c r="O171" s="2698"/>
      <c r="P171" s="4402"/>
      <c r="Q171" s="4412"/>
      <c r="R171" s="2698"/>
      <c r="S171" s="3083"/>
      <c r="T171" s="1208" t="s">
        <v>962</v>
      </c>
      <c r="U171" s="1923">
        <v>4480000</v>
      </c>
      <c r="V171" s="1923">
        <v>4480000</v>
      </c>
      <c r="W171" s="1923">
        <v>4480000</v>
      </c>
      <c r="X171" s="1105">
        <v>20</v>
      </c>
      <c r="Y171" s="2494" t="s">
        <v>85</v>
      </c>
      <c r="Z171" s="2618"/>
      <c r="AA171" s="3019"/>
      <c r="AB171" s="2626"/>
      <c r="AC171" s="4262"/>
      <c r="AD171" s="2592"/>
      <c r="AE171" s="2592"/>
      <c r="AF171" s="2592"/>
      <c r="AG171" s="2592"/>
      <c r="AH171" s="2592"/>
      <c r="AI171" s="2592"/>
      <c r="AJ171" s="2592"/>
      <c r="AK171" s="2592"/>
      <c r="AL171" s="2592"/>
      <c r="AM171" s="2592"/>
      <c r="AN171" s="2592"/>
      <c r="AO171" s="2592"/>
      <c r="AP171" s="2592"/>
      <c r="AQ171" s="2592"/>
      <c r="AR171" s="2592"/>
      <c r="AS171" s="2592"/>
      <c r="AT171" s="2592"/>
      <c r="AU171" s="2592"/>
      <c r="AV171" s="2592"/>
      <c r="AW171" s="2592"/>
      <c r="AX171" s="2592"/>
      <c r="AY171" s="2592"/>
      <c r="AZ171" s="2592"/>
      <c r="BA171" s="2592"/>
      <c r="BB171" s="4406"/>
      <c r="BC171" s="4406"/>
      <c r="BD171" s="2592"/>
      <c r="BE171" s="2696"/>
      <c r="BF171" s="3019"/>
      <c r="BG171" s="4228"/>
      <c r="BH171" s="4228"/>
      <c r="BI171" s="4230"/>
      <c r="BJ171" s="3019"/>
      <c r="BK171" s="3019"/>
      <c r="BL171" s="4211"/>
      <c r="BM171" s="4211"/>
      <c r="BN171" s="4211"/>
      <c r="BO171" s="4211"/>
      <c r="BP171" s="2626"/>
    </row>
    <row r="172" spans="1:68" ht="90" x14ac:dyDescent="0.25">
      <c r="A172" s="121"/>
      <c r="B172" s="4"/>
      <c r="C172" s="4"/>
      <c r="D172" s="3415"/>
      <c r="E172" s="4235"/>
      <c r="F172" s="123"/>
      <c r="G172" s="4370"/>
      <c r="H172" s="4372"/>
      <c r="I172" s="4265"/>
      <c r="J172" s="2717"/>
      <c r="K172" s="2625"/>
      <c r="L172" s="4200"/>
      <c r="M172" s="2717"/>
      <c r="N172" s="2626"/>
      <c r="O172" s="2698"/>
      <c r="P172" s="4402"/>
      <c r="Q172" s="4412"/>
      <c r="R172" s="2698"/>
      <c r="S172" s="3083"/>
      <c r="T172" s="1208" t="s">
        <v>963</v>
      </c>
      <c r="U172" s="1923">
        <v>2240000</v>
      </c>
      <c r="V172" s="1923">
        <v>2240000</v>
      </c>
      <c r="W172" s="1923">
        <v>2240000</v>
      </c>
      <c r="X172" s="1105">
        <v>20</v>
      </c>
      <c r="Y172" s="2494" t="s">
        <v>85</v>
      </c>
      <c r="Z172" s="2618"/>
      <c r="AA172" s="3019"/>
      <c r="AB172" s="2626"/>
      <c r="AC172" s="4262"/>
      <c r="AD172" s="2592"/>
      <c r="AE172" s="2592"/>
      <c r="AF172" s="2592"/>
      <c r="AG172" s="2592"/>
      <c r="AH172" s="2592"/>
      <c r="AI172" s="2592"/>
      <c r="AJ172" s="2592"/>
      <c r="AK172" s="2592"/>
      <c r="AL172" s="2592"/>
      <c r="AM172" s="2592"/>
      <c r="AN172" s="2592"/>
      <c r="AO172" s="2592"/>
      <c r="AP172" s="2592"/>
      <c r="AQ172" s="2592"/>
      <c r="AR172" s="2592"/>
      <c r="AS172" s="2592"/>
      <c r="AT172" s="2592"/>
      <c r="AU172" s="2592"/>
      <c r="AV172" s="2592"/>
      <c r="AW172" s="2592"/>
      <c r="AX172" s="2592"/>
      <c r="AY172" s="2592"/>
      <c r="AZ172" s="2592"/>
      <c r="BA172" s="2592"/>
      <c r="BB172" s="4406"/>
      <c r="BC172" s="4406"/>
      <c r="BD172" s="2592"/>
      <c r="BE172" s="2696"/>
      <c r="BF172" s="3019"/>
      <c r="BG172" s="4228"/>
      <c r="BH172" s="4228"/>
      <c r="BI172" s="4230"/>
      <c r="BJ172" s="3019"/>
      <c r="BK172" s="3019"/>
      <c r="BL172" s="4211"/>
      <c r="BM172" s="4211"/>
      <c r="BN172" s="4211"/>
      <c r="BO172" s="4211"/>
      <c r="BP172" s="2626"/>
    </row>
    <row r="173" spans="1:68" ht="67.5" customHeight="1" x14ac:dyDescent="0.25">
      <c r="A173" s="121"/>
      <c r="B173" s="4"/>
      <c r="C173" s="4"/>
      <c r="D173" s="3415"/>
      <c r="E173" s="4235"/>
      <c r="F173" s="123"/>
      <c r="G173" s="4370"/>
      <c r="H173" s="4372"/>
      <c r="I173" s="4265"/>
      <c r="J173" s="2717"/>
      <c r="K173" s="2625"/>
      <c r="L173" s="4200"/>
      <c r="M173" s="2717"/>
      <c r="N173" s="2626"/>
      <c r="O173" s="2698"/>
      <c r="P173" s="4402"/>
      <c r="Q173" s="4412"/>
      <c r="R173" s="2698"/>
      <c r="S173" s="3083"/>
      <c r="T173" s="1209" t="s">
        <v>964</v>
      </c>
      <c r="U173" s="1923">
        <v>2240000</v>
      </c>
      <c r="V173" s="1923">
        <v>2240000</v>
      </c>
      <c r="W173" s="1923">
        <v>2240000</v>
      </c>
      <c r="X173" s="1105">
        <v>20</v>
      </c>
      <c r="Y173" s="2494" t="s">
        <v>85</v>
      </c>
      <c r="Z173" s="2626"/>
      <c r="AA173" s="3019"/>
      <c r="AB173" s="2626"/>
      <c r="AC173" s="4262"/>
      <c r="AD173" s="2592"/>
      <c r="AE173" s="2592"/>
      <c r="AF173" s="2592"/>
      <c r="AG173" s="2592"/>
      <c r="AH173" s="2592"/>
      <c r="AI173" s="2592"/>
      <c r="AJ173" s="2592"/>
      <c r="AK173" s="2592"/>
      <c r="AL173" s="2592"/>
      <c r="AM173" s="2592"/>
      <c r="AN173" s="2592"/>
      <c r="AO173" s="2592"/>
      <c r="AP173" s="2592"/>
      <c r="AQ173" s="2592"/>
      <c r="AR173" s="2592"/>
      <c r="AS173" s="2592"/>
      <c r="AT173" s="2592"/>
      <c r="AU173" s="2592"/>
      <c r="AV173" s="2592"/>
      <c r="AW173" s="2592"/>
      <c r="AX173" s="2592"/>
      <c r="AY173" s="2592"/>
      <c r="AZ173" s="2592"/>
      <c r="BA173" s="2592"/>
      <c r="BB173" s="4406"/>
      <c r="BC173" s="4406"/>
      <c r="BD173" s="2592"/>
      <c r="BE173" s="2696"/>
      <c r="BF173" s="3019"/>
      <c r="BG173" s="4228"/>
      <c r="BH173" s="4228"/>
      <c r="BI173" s="4230"/>
      <c r="BJ173" s="3019"/>
      <c r="BK173" s="3019"/>
      <c r="BL173" s="4211"/>
      <c r="BM173" s="4211"/>
      <c r="BN173" s="4211"/>
      <c r="BO173" s="4211"/>
      <c r="BP173" s="2626"/>
    </row>
    <row r="174" spans="1:68" ht="60" x14ac:dyDescent="0.25">
      <c r="A174" s="121"/>
      <c r="B174" s="4"/>
      <c r="C174" s="4"/>
      <c r="D174" s="3415"/>
      <c r="E174" s="4235"/>
      <c r="F174" s="123"/>
      <c r="G174" s="4370"/>
      <c r="H174" s="4372"/>
      <c r="I174" s="4265"/>
      <c r="J174" s="2717"/>
      <c r="K174" s="2625"/>
      <c r="L174" s="4200"/>
      <c r="M174" s="2717"/>
      <c r="N174" s="2626"/>
      <c r="O174" s="2698"/>
      <c r="P174" s="4402"/>
      <c r="Q174" s="4412"/>
      <c r="R174" s="2698"/>
      <c r="S174" s="3083"/>
      <c r="T174" s="1206" t="s">
        <v>965</v>
      </c>
      <c r="U174" s="1923">
        <v>2240000</v>
      </c>
      <c r="V174" s="1923">
        <v>2240000</v>
      </c>
      <c r="W174" s="1923">
        <v>2240000</v>
      </c>
      <c r="X174" s="1105">
        <v>20</v>
      </c>
      <c r="Y174" s="2494" t="s">
        <v>85</v>
      </c>
      <c r="Z174" s="2626"/>
      <c r="AA174" s="3019"/>
      <c r="AB174" s="2626"/>
      <c r="AC174" s="4262"/>
      <c r="AD174" s="2592"/>
      <c r="AE174" s="2592"/>
      <c r="AF174" s="2592"/>
      <c r="AG174" s="2592"/>
      <c r="AH174" s="2592"/>
      <c r="AI174" s="2592"/>
      <c r="AJ174" s="2592"/>
      <c r="AK174" s="2592"/>
      <c r="AL174" s="2592"/>
      <c r="AM174" s="2592"/>
      <c r="AN174" s="2592"/>
      <c r="AO174" s="2592"/>
      <c r="AP174" s="2592"/>
      <c r="AQ174" s="2592"/>
      <c r="AR174" s="2592"/>
      <c r="AS174" s="2592"/>
      <c r="AT174" s="2592"/>
      <c r="AU174" s="2592"/>
      <c r="AV174" s="2592"/>
      <c r="AW174" s="2592"/>
      <c r="AX174" s="2592"/>
      <c r="AY174" s="2592"/>
      <c r="AZ174" s="2592"/>
      <c r="BA174" s="2592"/>
      <c r="BB174" s="4406"/>
      <c r="BC174" s="4406"/>
      <c r="BD174" s="2592"/>
      <c r="BE174" s="2696"/>
      <c r="BF174" s="3019"/>
      <c r="BG174" s="4228"/>
      <c r="BH174" s="4228"/>
      <c r="BI174" s="4230"/>
      <c r="BJ174" s="3019"/>
      <c r="BK174" s="3019"/>
      <c r="BL174" s="4211"/>
      <c r="BM174" s="4211"/>
      <c r="BN174" s="4211"/>
      <c r="BO174" s="4211"/>
      <c r="BP174" s="2626"/>
    </row>
    <row r="175" spans="1:68" ht="57" customHeight="1" x14ac:dyDescent="0.25">
      <c r="A175" s="121"/>
      <c r="B175" s="4"/>
      <c r="C175" s="4"/>
      <c r="D175" s="3415"/>
      <c r="E175" s="4235"/>
      <c r="F175" s="123"/>
      <c r="G175" s="4370"/>
      <c r="H175" s="4372"/>
      <c r="I175" s="4265"/>
      <c r="J175" s="2717"/>
      <c r="K175" s="2625"/>
      <c r="L175" s="4200"/>
      <c r="M175" s="2717"/>
      <c r="N175" s="2626"/>
      <c r="O175" s="2698"/>
      <c r="P175" s="4402"/>
      <c r="Q175" s="4412"/>
      <c r="R175" s="2698"/>
      <c r="S175" s="3083"/>
      <c r="T175" s="1206" t="s">
        <v>879</v>
      </c>
      <c r="U175" s="1923">
        <v>6720000</v>
      </c>
      <c r="V175" s="1923">
        <v>6720000</v>
      </c>
      <c r="W175" s="1923">
        <v>6720000</v>
      </c>
      <c r="X175" s="1105">
        <v>20</v>
      </c>
      <c r="Y175" s="2494" t="s">
        <v>85</v>
      </c>
      <c r="Z175" s="2626"/>
      <c r="AA175" s="3019"/>
      <c r="AB175" s="2626"/>
      <c r="AC175" s="4262"/>
      <c r="AD175" s="2592"/>
      <c r="AE175" s="2592"/>
      <c r="AF175" s="2592"/>
      <c r="AG175" s="2592"/>
      <c r="AH175" s="2592"/>
      <c r="AI175" s="2592"/>
      <c r="AJ175" s="2592"/>
      <c r="AK175" s="2592"/>
      <c r="AL175" s="2592"/>
      <c r="AM175" s="2592"/>
      <c r="AN175" s="2592"/>
      <c r="AO175" s="2592"/>
      <c r="AP175" s="2592"/>
      <c r="AQ175" s="2592"/>
      <c r="AR175" s="2592"/>
      <c r="AS175" s="2592"/>
      <c r="AT175" s="2592"/>
      <c r="AU175" s="2592"/>
      <c r="AV175" s="2592"/>
      <c r="AW175" s="2592"/>
      <c r="AX175" s="2592"/>
      <c r="AY175" s="2592"/>
      <c r="AZ175" s="2592"/>
      <c r="BA175" s="2592"/>
      <c r="BB175" s="4406"/>
      <c r="BC175" s="4406"/>
      <c r="BD175" s="2592"/>
      <c r="BE175" s="2696"/>
      <c r="BF175" s="3019"/>
      <c r="BG175" s="4228"/>
      <c r="BH175" s="4228"/>
      <c r="BI175" s="4230"/>
      <c r="BJ175" s="3019"/>
      <c r="BK175" s="3019"/>
      <c r="BL175" s="4211"/>
      <c r="BM175" s="4211"/>
      <c r="BN175" s="4211"/>
      <c r="BO175" s="4211"/>
      <c r="BP175" s="2626"/>
    </row>
    <row r="176" spans="1:68" ht="40.5" customHeight="1" x14ac:dyDescent="0.25">
      <c r="A176" s="121"/>
      <c r="B176" s="4"/>
      <c r="C176" s="4"/>
      <c r="D176" s="3415"/>
      <c r="E176" s="4235"/>
      <c r="F176" s="123"/>
      <c r="G176" s="4370"/>
      <c r="H176" s="4372"/>
      <c r="I176" s="4265"/>
      <c r="J176" s="2717"/>
      <c r="K176" s="2625"/>
      <c r="L176" s="4200"/>
      <c r="M176" s="2717"/>
      <c r="N176" s="2626"/>
      <c r="O176" s="2698"/>
      <c r="P176" s="4402"/>
      <c r="Q176" s="4412"/>
      <c r="R176" s="2698"/>
      <c r="S176" s="3083"/>
      <c r="T176" s="1206" t="s">
        <v>880</v>
      </c>
      <c r="U176" s="1937">
        <v>1120000</v>
      </c>
      <c r="V176" s="1937">
        <v>1120000</v>
      </c>
      <c r="W176" s="1937">
        <v>1120000</v>
      </c>
      <c r="X176" s="1105">
        <v>20</v>
      </c>
      <c r="Y176" s="2494" t="s">
        <v>85</v>
      </c>
      <c r="Z176" s="2626"/>
      <c r="AA176" s="3019"/>
      <c r="AB176" s="2626"/>
      <c r="AC176" s="4262"/>
      <c r="AD176" s="2592"/>
      <c r="AE176" s="2592"/>
      <c r="AF176" s="2592"/>
      <c r="AG176" s="2592"/>
      <c r="AH176" s="2592"/>
      <c r="AI176" s="2592"/>
      <c r="AJ176" s="2592"/>
      <c r="AK176" s="2592"/>
      <c r="AL176" s="2592"/>
      <c r="AM176" s="2592"/>
      <c r="AN176" s="2592"/>
      <c r="AO176" s="2592"/>
      <c r="AP176" s="2592"/>
      <c r="AQ176" s="2592"/>
      <c r="AR176" s="2592"/>
      <c r="AS176" s="2592"/>
      <c r="AT176" s="2592"/>
      <c r="AU176" s="2592"/>
      <c r="AV176" s="2592"/>
      <c r="AW176" s="2592"/>
      <c r="AX176" s="2592"/>
      <c r="AY176" s="2592"/>
      <c r="AZ176" s="2592"/>
      <c r="BA176" s="2592"/>
      <c r="BB176" s="4406"/>
      <c r="BC176" s="4406"/>
      <c r="BD176" s="2592"/>
      <c r="BE176" s="2696"/>
      <c r="BF176" s="3019"/>
      <c r="BG176" s="4228"/>
      <c r="BH176" s="4228"/>
      <c r="BI176" s="4230"/>
      <c r="BJ176" s="3019"/>
      <c r="BK176" s="3019"/>
      <c r="BL176" s="4211"/>
      <c r="BM176" s="4211"/>
      <c r="BN176" s="4211"/>
      <c r="BO176" s="4211"/>
      <c r="BP176" s="2626"/>
    </row>
    <row r="177" spans="1:69" ht="50.25" customHeight="1" x14ac:dyDescent="0.25">
      <c r="A177" s="121"/>
      <c r="B177" s="4"/>
      <c r="C177" s="4"/>
      <c r="D177" s="3415"/>
      <c r="E177" s="4235"/>
      <c r="F177" s="123"/>
      <c r="G177" s="4370"/>
      <c r="H177" s="4372"/>
      <c r="I177" s="4265"/>
      <c r="J177" s="2717"/>
      <c r="K177" s="2625"/>
      <c r="L177" s="4200"/>
      <c r="M177" s="2717"/>
      <c r="N177" s="2626"/>
      <c r="O177" s="2698"/>
      <c r="P177" s="4402"/>
      <c r="Q177" s="4412"/>
      <c r="R177" s="2698"/>
      <c r="S177" s="3083"/>
      <c r="T177" s="1206" t="s">
        <v>966</v>
      </c>
      <c r="U177" s="1923">
        <v>5600000</v>
      </c>
      <c r="V177" s="1923">
        <v>5600000</v>
      </c>
      <c r="W177" s="1923">
        <v>5600000</v>
      </c>
      <c r="X177" s="1105">
        <v>20</v>
      </c>
      <c r="Y177" s="2494" t="s">
        <v>85</v>
      </c>
      <c r="Z177" s="2626"/>
      <c r="AA177" s="3019"/>
      <c r="AB177" s="2626"/>
      <c r="AC177" s="4262"/>
      <c r="AD177" s="2592"/>
      <c r="AE177" s="2592"/>
      <c r="AF177" s="2592"/>
      <c r="AG177" s="2592"/>
      <c r="AH177" s="2592"/>
      <c r="AI177" s="2592"/>
      <c r="AJ177" s="2592"/>
      <c r="AK177" s="2592"/>
      <c r="AL177" s="2592"/>
      <c r="AM177" s="2592"/>
      <c r="AN177" s="2592"/>
      <c r="AO177" s="2592"/>
      <c r="AP177" s="2592"/>
      <c r="AQ177" s="2592"/>
      <c r="AR177" s="2592"/>
      <c r="AS177" s="2592"/>
      <c r="AT177" s="2592"/>
      <c r="AU177" s="2592"/>
      <c r="AV177" s="2592"/>
      <c r="AW177" s="2592"/>
      <c r="AX177" s="2592"/>
      <c r="AY177" s="2592"/>
      <c r="AZ177" s="2592"/>
      <c r="BA177" s="2592"/>
      <c r="BB177" s="4406"/>
      <c r="BC177" s="4406"/>
      <c r="BD177" s="2592"/>
      <c r="BE177" s="2696"/>
      <c r="BF177" s="3019"/>
      <c r="BG177" s="4228"/>
      <c r="BH177" s="4228"/>
      <c r="BI177" s="4230"/>
      <c r="BJ177" s="3019"/>
      <c r="BK177" s="3019"/>
      <c r="BL177" s="4211"/>
      <c r="BM177" s="4211"/>
      <c r="BN177" s="4211"/>
      <c r="BO177" s="4211"/>
      <c r="BP177" s="2626"/>
    </row>
    <row r="178" spans="1:69" ht="58.5" customHeight="1" x14ac:dyDescent="0.25">
      <c r="A178" s="121"/>
      <c r="B178" s="4"/>
      <c r="C178" s="4"/>
      <c r="D178" s="4266"/>
      <c r="E178" s="4267"/>
      <c r="F178" s="265"/>
      <c r="G178" s="4370"/>
      <c r="H178" s="4372"/>
      <c r="I178" s="4265"/>
      <c r="J178" s="2717"/>
      <c r="K178" s="2625"/>
      <c r="L178" s="4201"/>
      <c r="M178" s="2717"/>
      <c r="N178" s="2626"/>
      <c r="O178" s="2698"/>
      <c r="P178" s="4402"/>
      <c r="Q178" s="4412"/>
      <c r="R178" s="2698"/>
      <c r="S178" s="4413"/>
      <c r="T178" s="1206" t="s">
        <v>881</v>
      </c>
      <c r="U178" s="1112">
        <v>3360000</v>
      </c>
      <c r="V178" s="1112">
        <v>3360000</v>
      </c>
      <c r="W178" s="1112">
        <v>3360000</v>
      </c>
      <c r="X178" s="1185">
        <v>20</v>
      </c>
      <c r="Y178" s="2494" t="s">
        <v>85</v>
      </c>
      <c r="Z178" s="2626"/>
      <c r="AA178" s="3168"/>
      <c r="AB178" s="2626"/>
      <c r="AC178" s="3407"/>
      <c r="AD178" s="2592"/>
      <c r="AE178" s="2592"/>
      <c r="AF178" s="2592"/>
      <c r="AG178" s="2592"/>
      <c r="AH178" s="2592"/>
      <c r="AI178" s="2592"/>
      <c r="AJ178" s="2592"/>
      <c r="AK178" s="2592"/>
      <c r="AL178" s="2592"/>
      <c r="AM178" s="2592"/>
      <c r="AN178" s="2592"/>
      <c r="AO178" s="2592"/>
      <c r="AP178" s="2592"/>
      <c r="AQ178" s="2592"/>
      <c r="AR178" s="2592"/>
      <c r="AS178" s="2592"/>
      <c r="AT178" s="2592"/>
      <c r="AU178" s="2592"/>
      <c r="AV178" s="2592"/>
      <c r="AW178" s="2592"/>
      <c r="AX178" s="2592"/>
      <c r="AY178" s="2592"/>
      <c r="AZ178" s="2592"/>
      <c r="BA178" s="2592"/>
      <c r="BB178" s="4406"/>
      <c r="BC178" s="4406"/>
      <c r="BD178" s="2592"/>
      <c r="BE178" s="2617"/>
      <c r="BF178" s="3168"/>
      <c r="BG178" s="4229"/>
      <c r="BH178" s="4229"/>
      <c r="BI178" s="4231"/>
      <c r="BJ178" s="3168"/>
      <c r="BK178" s="3168"/>
      <c r="BL178" s="4211"/>
      <c r="BM178" s="4211"/>
      <c r="BN178" s="4211"/>
      <c r="BO178" s="4211"/>
      <c r="BP178" s="2626"/>
    </row>
    <row r="179" spans="1:69" ht="25.5" customHeight="1" x14ac:dyDescent="0.25">
      <c r="A179" s="121"/>
      <c r="B179" s="4"/>
      <c r="C179" s="4"/>
      <c r="D179" s="1134">
        <v>41</v>
      </c>
      <c r="E179" s="1135" t="s">
        <v>967</v>
      </c>
      <c r="F179" s="1136"/>
      <c r="G179" s="1138"/>
      <c r="H179" s="1138"/>
      <c r="I179" s="1139"/>
      <c r="J179" s="1139"/>
      <c r="K179" s="1167"/>
      <c r="L179" s="1139"/>
      <c r="M179" s="1139"/>
      <c r="N179" s="1169"/>
      <c r="O179" s="1139"/>
      <c r="P179" s="1142"/>
      <c r="Q179" s="1143"/>
      <c r="R179" s="1139"/>
      <c r="S179" s="1210"/>
      <c r="T179" s="1139"/>
      <c r="U179" s="1144"/>
      <c r="V179" s="1144"/>
      <c r="W179" s="1144"/>
      <c r="X179" s="1145"/>
      <c r="Y179" s="2506"/>
      <c r="Z179" s="1146"/>
      <c r="AA179" s="1146"/>
      <c r="AB179" s="1146"/>
      <c r="AC179" s="1146"/>
      <c r="AD179" s="1146"/>
      <c r="AE179" s="1146"/>
      <c r="AF179" s="1146"/>
      <c r="AG179" s="1146"/>
      <c r="AH179" s="1146"/>
      <c r="AI179" s="1146"/>
      <c r="AJ179" s="1146"/>
      <c r="AK179" s="1146"/>
      <c r="AL179" s="1146"/>
      <c r="AM179" s="1146"/>
      <c r="AN179" s="1146"/>
      <c r="AO179" s="1146"/>
      <c r="AP179" s="1146"/>
      <c r="AQ179" s="1146"/>
      <c r="AR179" s="1146"/>
      <c r="AS179" s="1146"/>
      <c r="AT179" s="1146"/>
      <c r="AU179" s="1146"/>
      <c r="AV179" s="1146"/>
      <c r="AW179" s="1146"/>
      <c r="AX179" s="1146"/>
      <c r="AY179" s="1146"/>
      <c r="AZ179" s="1146"/>
      <c r="BA179" s="1146"/>
      <c r="BB179" s="1146"/>
      <c r="BC179" s="1146"/>
      <c r="BD179" s="1146"/>
      <c r="BE179" s="1146"/>
      <c r="BF179" s="1146"/>
      <c r="BG179" s="1211"/>
      <c r="BH179" s="1211"/>
      <c r="BI179" s="1146"/>
      <c r="BJ179" s="1146"/>
      <c r="BK179" s="1138"/>
      <c r="BL179" s="1146"/>
      <c r="BM179" s="1146"/>
      <c r="BN179" s="1146"/>
      <c r="BO179" s="1146"/>
      <c r="BP179" s="1138"/>
    </row>
    <row r="180" spans="1:69" s="861" customFormat="1" ht="107.25" customHeight="1" x14ac:dyDescent="0.25">
      <c r="A180" s="1120"/>
      <c r="B180" s="71"/>
      <c r="C180" s="71"/>
      <c r="D180" s="334"/>
      <c r="E180" s="239"/>
      <c r="F180" s="335"/>
      <c r="G180" s="4345">
        <v>4501024</v>
      </c>
      <c r="H180" s="4348">
        <v>41.2</v>
      </c>
      <c r="I180" s="2908" t="s">
        <v>968</v>
      </c>
      <c r="J180" s="3647" t="s">
        <v>969</v>
      </c>
      <c r="K180" s="4251">
        <v>1</v>
      </c>
      <c r="L180" s="4252">
        <v>0</v>
      </c>
      <c r="M180" s="4408" t="s">
        <v>970</v>
      </c>
      <c r="N180" s="3815" t="s">
        <v>971</v>
      </c>
      <c r="O180" s="3042" t="s">
        <v>972</v>
      </c>
      <c r="P180" s="4249">
        <f>SUM(U180:U181)/(Q194+Q180)</f>
        <v>0.72727272727272729</v>
      </c>
      <c r="Q180" s="4409">
        <v>40000000</v>
      </c>
      <c r="R180" s="3042" t="s">
        <v>973</v>
      </c>
      <c r="S180" s="3042" t="s">
        <v>974</v>
      </c>
      <c r="T180" s="3042" t="s">
        <v>968</v>
      </c>
      <c r="U180" s="1152">
        <v>25000000</v>
      </c>
      <c r="V180" s="1152">
        <v>0</v>
      </c>
      <c r="W180" s="1152">
        <v>0</v>
      </c>
      <c r="X180" s="1129">
        <v>20</v>
      </c>
      <c r="Y180" s="2504" t="s">
        <v>975</v>
      </c>
      <c r="Z180" s="4407">
        <v>295972</v>
      </c>
      <c r="AA180" s="4407"/>
      <c r="AB180" s="4407">
        <v>285580</v>
      </c>
      <c r="AC180" s="4407"/>
      <c r="AD180" s="4407">
        <v>135545</v>
      </c>
      <c r="AE180" s="4414"/>
      <c r="AF180" s="4414">
        <v>44254</v>
      </c>
      <c r="AG180" s="4414"/>
      <c r="AH180" s="4414">
        <v>309146</v>
      </c>
      <c r="AI180" s="4414"/>
      <c r="AJ180" s="4414">
        <v>92607</v>
      </c>
      <c r="AK180" s="4414"/>
      <c r="AL180" s="4414">
        <v>2145</v>
      </c>
      <c r="AM180" s="4414"/>
      <c r="AN180" s="4414">
        <v>12718</v>
      </c>
      <c r="AO180" s="4414"/>
      <c r="AP180" s="4414">
        <v>26</v>
      </c>
      <c r="AQ180" s="4414"/>
      <c r="AR180" s="4414">
        <v>37</v>
      </c>
      <c r="AS180" s="4414"/>
      <c r="AT180" s="4414">
        <v>0</v>
      </c>
      <c r="AU180" s="4414"/>
      <c r="AV180" s="4414">
        <v>0</v>
      </c>
      <c r="AW180" s="4414"/>
      <c r="AX180" s="4414">
        <v>44350</v>
      </c>
      <c r="AY180" s="4414"/>
      <c r="AZ180" s="4414">
        <v>21944</v>
      </c>
      <c r="BA180" s="4414"/>
      <c r="BB180" s="4414">
        <v>75687</v>
      </c>
      <c r="BC180" s="4414"/>
      <c r="BD180" s="4414">
        <v>581552</v>
      </c>
      <c r="BE180" s="4414">
        <f>AA180+AC180</f>
        <v>0</v>
      </c>
      <c r="BF180" s="4414"/>
      <c r="BG180" s="4142">
        <f>SUM(V180:V181)</f>
        <v>0</v>
      </c>
      <c r="BH180" s="4142">
        <f>SUM(W180:W181)</f>
        <v>0</v>
      </c>
      <c r="BI180" s="4165"/>
      <c r="BJ180" s="4414" t="s">
        <v>691</v>
      </c>
      <c r="BK180" s="4422" t="s">
        <v>899</v>
      </c>
      <c r="BL180" s="4360">
        <v>44033</v>
      </c>
      <c r="BM180" s="4360" t="s">
        <v>976</v>
      </c>
      <c r="BN180" s="4360">
        <v>44195</v>
      </c>
      <c r="BO180" s="4360">
        <v>44195</v>
      </c>
      <c r="BP180" s="3224" t="s">
        <v>693</v>
      </c>
    </row>
    <row r="181" spans="1:69" s="861" customFormat="1" ht="107.25" customHeight="1" x14ac:dyDescent="0.25">
      <c r="A181" s="1120"/>
      <c r="B181" s="71"/>
      <c r="C181" s="71"/>
      <c r="D181" s="339"/>
      <c r="E181" s="71"/>
      <c r="F181" s="340"/>
      <c r="G181" s="4347"/>
      <c r="H181" s="4405"/>
      <c r="I181" s="3422"/>
      <c r="J181" s="3649"/>
      <c r="K181" s="4251"/>
      <c r="L181" s="4252"/>
      <c r="M181" s="4408"/>
      <c r="N181" s="3815"/>
      <c r="O181" s="3042"/>
      <c r="P181" s="4249"/>
      <c r="Q181" s="4409"/>
      <c r="R181" s="3042"/>
      <c r="S181" s="3042"/>
      <c r="T181" s="3042"/>
      <c r="U181" s="1152">
        <v>15000000</v>
      </c>
      <c r="V181" s="1152">
        <v>0</v>
      </c>
      <c r="W181" s="1152">
        <v>0</v>
      </c>
      <c r="X181" s="1129">
        <v>88</v>
      </c>
      <c r="Y181" s="2504" t="s">
        <v>74</v>
      </c>
      <c r="Z181" s="4407"/>
      <c r="AA181" s="4407"/>
      <c r="AB181" s="4407"/>
      <c r="AC181" s="4407"/>
      <c r="AD181" s="4407"/>
      <c r="AE181" s="4415"/>
      <c r="AF181" s="4415"/>
      <c r="AG181" s="4415"/>
      <c r="AH181" s="4415"/>
      <c r="AI181" s="4415"/>
      <c r="AJ181" s="4415"/>
      <c r="AK181" s="4415"/>
      <c r="AL181" s="4415"/>
      <c r="AM181" s="4415"/>
      <c r="AN181" s="4415"/>
      <c r="AO181" s="4415"/>
      <c r="AP181" s="4415"/>
      <c r="AQ181" s="4415"/>
      <c r="AR181" s="4415"/>
      <c r="AS181" s="4415"/>
      <c r="AT181" s="4415"/>
      <c r="AU181" s="4415"/>
      <c r="AV181" s="4415"/>
      <c r="AW181" s="4415"/>
      <c r="AX181" s="4415"/>
      <c r="AY181" s="4415"/>
      <c r="AZ181" s="4415"/>
      <c r="BA181" s="4415"/>
      <c r="BB181" s="4415"/>
      <c r="BC181" s="4415"/>
      <c r="BD181" s="4415"/>
      <c r="BE181" s="4415"/>
      <c r="BF181" s="4415"/>
      <c r="BG181" s="4144"/>
      <c r="BH181" s="4144"/>
      <c r="BI181" s="4167"/>
      <c r="BJ181" s="4415"/>
      <c r="BK181" s="4423"/>
      <c r="BL181" s="4418"/>
      <c r="BM181" s="4418"/>
      <c r="BN181" s="4418"/>
      <c r="BO181" s="4418"/>
      <c r="BP181" s="3384"/>
    </row>
    <row r="182" spans="1:69" ht="65.25" customHeight="1" x14ac:dyDescent="0.25">
      <c r="A182" s="121"/>
      <c r="B182" s="4"/>
      <c r="C182" s="4"/>
      <c r="D182" s="3415"/>
      <c r="E182" s="4235"/>
      <c r="F182" s="3417"/>
      <c r="G182" s="4311">
        <v>4501024</v>
      </c>
      <c r="H182" s="4420">
        <v>41.2</v>
      </c>
      <c r="I182" s="2787" t="s">
        <v>968</v>
      </c>
      <c r="J182" s="2865" t="s">
        <v>977</v>
      </c>
      <c r="K182" s="3864">
        <v>1</v>
      </c>
      <c r="L182" s="4416">
        <v>0</v>
      </c>
      <c r="M182" s="2865" t="s">
        <v>978</v>
      </c>
      <c r="N182" s="3168" t="s">
        <v>979</v>
      </c>
      <c r="O182" s="2787" t="s">
        <v>980</v>
      </c>
      <c r="P182" s="3684">
        <v>1</v>
      </c>
      <c r="Q182" s="4425">
        <v>40000000</v>
      </c>
      <c r="R182" s="2787" t="s">
        <v>981</v>
      </c>
      <c r="S182" s="2621" t="s">
        <v>982</v>
      </c>
      <c r="T182" s="886" t="s">
        <v>983</v>
      </c>
      <c r="U182" s="1212">
        <v>12297635</v>
      </c>
      <c r="V182" s="1212">
        <v>0</v>
      </c>
      <c r="W182" s="1212">
        <v>0</v>
      </c>
      <c r="X182" s="1213">
        <v>88</v>
      </c>
      <c r="Y182" s="2505" t="s">
        <v>74</v>
      </c>
      <c r="Z182" s="3616">
        <v>2000</v>
      </c>
      <c r="AA182" s="4424"/>
      <c r="AB182" s="3616">
        <v>0</v>
      </c>
      <c r="AC182" s="4424"/>
      <c r="AD182" s="3616">
        <v>0</v>
      </c>
      <c r="AE182" s="4424"/>
      <c r="AF182" s="3616">
        <v>250</v>
      </c>
      <c r="AG182" s="4424"/>
      <c r="AH182" s="3616">
        <v>500</v>
      </c>
      <c r="AI182" s="4424"/>
      <c r="AJ182" s="3616">
        <v>300</v>
      </c>
      <c r="AK182" s="4424"/>
      <c r="AL182" s="3616">
        <v>20</v>
      </c>
      <c r="AM182" s="4424"/>
      <c r="AN182" s="3616">
        <v>20</v>
      </c>
      <c r="AO182" s="4424"/>
      <c r="AP182" s="3616">
        <v>20</v>
      </c>
      <c r="AQ182" s="4424"/>
      <c r="AR182" s="3616">
        <v>20</v>
      </c>
      <c r="AS182" s="4424"/>
      <c r="AT182" s="3616">
        <v>20</v>
      </c>
      <c r="AU182" s="4424"/>
      <c r="AV182" s="3616">
        <v>20</v>
      </c>
      <c r="AW182" s="4424"/>
      <c r="AX182" s="3616">
        <v>20</v>
      </c>
      <c r="AY182" s="4424"/>
      <c r="AZ182" s="3616">
        <v>200</v>
      </c>
      <c r="BA182" s="4424"/>
      <c r="BB182" s="3616">
        <v>610</v>
      </c>
      <c r="BC182" s="4424"/>
      <c r="BD182" s="3616">
        <v>2000</v>
      </c>
      <c r="BE182" s="4424">
        <f>AA182+AC182</f>
        <v>0</v>
      </c>
      <c r="BF182" s="4424"/>
      <c r="BG182" s="4432">
        <f>SUM(V182:V185)</f>
        <v>0</v>
      </c>
      <c r="BH182" s="4432">
        <f>SUM(W182:W185)</f>
        <v>0</v>
      </c>
      <c r="BI182" s="4433"/>
      <c r="BJ182" s="4434" t="s">
        <v>691</v>
      </c>
      <c r="BK182" s="4281" t="s">
        <v>899</v>
      </c>
      <c r="BL182" s="4216">
        <v>44033</v>
      </c>
      <c r="BM182" s="4215" t="s">
        <v>976</v>
      </c>
      <c r="BN182" s="4216">
        <v>44195</v>
      </c>
      <c r="BO182" s="4215">
        <v>44195</v>
      </c>
      <c r="BP182" s="3168" t="s">
        <v>693</v>
      </c>
    </row>
    <row r="183" spans="1:69" ht="59.25" customHeight="1" x14ac:dyDescent="0.25">
      <c r="A183" s="121"/>
      <c r="B183" s="4"/>
      <c r="C183" s="4"/>
      <c r="D183" s="3415"/>
      <c r="E183" s="4235"/>
      <c r="F183" s="3417"/>
      <c r="G183" s="4311"/>
      <c r="H183" s="4421"/>
      <c r="I183" s="2698"/>
      <c r="J183" s="2717"/>
      <c r="K183" s="2811"/>
      <c r="L183" s="4416"/>
      <c r="M183" s="2717"/>
      <c r="N183" s="2626"/>
      <c r="O183" s="2698"/>
      <c r="P183" s="3731"/>
      <c r="Q183" s="4426"/>
      <c r="R183" s="2698"/>
      <c r="S183" s="2608"/>
      <c r="T183" s="889" t="s">
        <v>984</v>
      </c>
      <c r="U183" s="1214">
        <v>27702365</v>
      </c>
      <c r="V183" s="1214">
        <v>0</v>
      </c>
      <c r="W183" s="1214">
        <v>0</v>
      </c>
      <c r="X183" s="1215">
        <v>20</v>
      </c>
      <c r="Y183" s="2494" t="s">
        <v>975</v>
      </c>
      <c r="Z183" s="3617"/>
      <c r="AA183" s="3615"/>
      <c r="AB183" s="3617"/>
      <c r="AC183" s="3615"/>
      <c r="AD183" s="3617"/>
      <c r="AE183" s="3615"/>
      <c r="AF183" s="3617"/>
      <c r="AG183" s="3615"/>
      <c r="AH183" s="3617"/>
      <c r="AI183" s="3615"/>
      <c r="AJ183" s="3617"/>
      <c r="AK183" s="3615"/>
      <c r="AL183" s="3617"/>
      <c r="AM183" s="3615"/>
      <c r="AN183" s="3617"/>
      <c r="AO183" s="3615"/>
      <c r="AP183" s="3617"/>
      <c r="AQ183" s="3615"/>
      <c r="AR183" s="3617"/>
      <c r="AS183" s="3615"/>
      <c r="AT183" s="3617"/>
      <c r="AU183" s="3615"/>
      <c r="AV183" s="3617"/>
      <c r="AW183" s="3615"/>
      <c r="AX183" s="3617"/>
      <c r="AY183" s="3615"/>
      <c r="AZ183" s="3617"/>
      <c r="BA183" s="3615"/>
      <c r="BB183" s="3617"/>
      <c r="BC183" s="3615"/>
      <c r="BD183" s="3617"/>
      <c r="BE183" s="3615"/>
      <c r="BF183" s="3615"/>
      <c r="BG183" s="4432"/>
      <c r="BH183" s="4432"/>
      <c r="BI183" s="4433"/>
      <c r="BJ183" s="4434"/>
      <c r="BK183" s="4281"/>
      <c r="BL183" s="4211"/>
      <c r="BM183" s="4215"/>
      <c r="BN183" s="4211"/>
      <c r="BO183" s="4215"/>
      <c r="BP183" s="2626"/>
    </row>
    <row r="184" spans="1:69" ht="62.25" customHeight="1" x14ac:dyDescent="0.25">
      <c r="A184" s="121"/>
      <c r="B184" s="4"/>
      <c r="C184" s="4"/>
      <c r="D184" s="3415"/>
      <c r="E184" s="4235"/>
      <c r="F184" s="3417"/>
      <c r="G184" s="4311"/>
      <c r="H184" s="4421"/>
      <c r="I184" s="2698"/>
      <c r="J184" s="2717"/>
      <c r="K184" s="2811"/>
      <c r="L184" s="4416"/>
      <c r="M184" s="2717"/>
      <c r="N184" s="2626"/>
      <c r="O184" s="2698"/>
      <c r="P184" s="3731"/>
      <c r="Q184" s="4426"/>
      <c r="R184" s="2698"/>
      <c r="S184" s="2608"/>
      <c r="T184" s="889" t="s">
        <v>985</v>
      </c>
      <c r="U184" s="1214">
        <v>0</v>
      </c>
      <c r="V184" s="1214">
        <v>0</v>
      </c>
      <c r="W184" s="1214">
        <v>0</v>
      </c>
      <c r="X184" s="1215"/>
      <c r="Y184" s="2494"/>
      <c r="Z184" s="3617"/>
      <c r="AA184" s="3615"/>
      <c r="AB184" s="3617"/>
      <c r="AC184" s="3615"/>
      <c r="AD184" s="3617"/>
      <c r="AE184" s="3615"/>
      <c r="AF184" s="3617"/>
      <c r="AG184" s="3615"/>
      <c r="AH184" s="3617"/>
      <c r="AI184" s="3615"/>
      <c r="AJ184" s="3617"/>
      <c r="AK184" s="3615"/>
      <c r="AL184" s="3617"/>
      <c r="AM184" s="3615"/>
      <c r="AN184" s="3617"/>
      <c r="AO184" s="3615"/>
      <c r="AP184" s="3617"/>
      <c r="AQ184" s="3615"/>
      <c r="AR184" s="3617"/>
      <c r="AS184" s="3615"/>
      <c r="AT184" s="3617"/>
      <c r="AU184" s="3615"/>
      <c r="AV184" s="3617"/>
      <c r="AW184" s="3615"/>
      <c r="AX184" s="3617"/>
      <c r="AY184" s="3615"/>
      <c r="AZ184" s="3617"/>
      <c r="BA184" s="3615"/>
      <c r="BB184" s="3617"/>
      <c r="BC184" s="3615"/>
      <c r="BD184" s="3617"/>
      <c r="BE184" s="3615"/>
      <c r="BF184" s="3615"/>
      <c r="BG184" s="4432"/>
      <c r="BH184" s="4432"/>
      <c r="BI184" s="4433"/>
      <c r="BJ184" s="4434"/>
      <c r="BK184" s="4281"/>
      <c r="BL184" s="4211"/>
      <c r="BM184" s="4215"/>
      <c r="BN184" s="4211"/>
      <c r="BO184" s="4215"/>
      <c r="BP184" s="2626"/>
    </row>
    <row r="185" spans="1:69" ht="62.25" customHeight="1" x14ac:dyDescent="0.25">
      <c r="A185" s="121"/>
      <c r="B185" s="171"/>
      <c r="C185" s="4"/>
      <c r="D185" s="4266"/>
      <c r="E185" s="4267"/>
      <c r="F185" s="4268"/>
      <c r="G185" s="4419"/>
      <c r="H185" s="4421"/>
      <c r="I185" s="2698"/>
      <c r="J185" s="2717"/>
      <c r="K185" s="2812"/>
      <c r="L185" s="4417"/>
      <c r="M185" s="2717"/>
      <c r="N185" s="2626"/>
      <c r="O185" s="2698"/>
      <c r="P185" s="3731"/>
      <c r="Q185" s="4426"/>
      <c r="R185" s="2698"/>
      <c r="S185" s="2608"/>
      <c r="T185" s="889" t="s">
        <v>986</v>
      </c>
      <c r="U185" s="1214">
        <v>0</v>
      </c>
      <c r="V185" s="1214">
        <v>0</v>
      </c>
      <c r="W185" s="1214">
        <v>0</v>
      </c>
      <c r="X185" s="1215"/>
      <c r="Y185" s="2494"/>
      <c r="Z185" s="3617"/>
      <c r="AA185" s="3616"/>
      <c r="AB185" s="3617"/>
      <c r="AC185" s="3616"/>
      <c r="AD185" s="3617"/>
      <c r="AE185" s="3616"/>
      <c r="AF185" s="3617"/>
      <c r="AG185" s="3616"/>
      <c r="AH185" s="3617"/>
      <c r="AI185" s="3616"/>
      <c r="AJ185" s="3617"/>
      <c r="AK185" s="3616"/>
      <c r="AL185" s="3617"/>
      <c r="AM185" s="3616"/>
      <c r="AN185" s="3617"/>
      <c r="AO185" s="3616"/>
      <c r="AP185" s="3617"/>
      <c r="AQ185" s="3616"/>
      <c r="AR185" s="3617"/>
      <c r="AS185" s="3616"/>
      <c r="AT185" s="3617"/>
      <c r="AU185" s="3616"/>
      <c r="AV185" s="3617"/>
      <c r="AW185" s="3616"/>
      <c r="AX185" s="3617"/>
      <c r="AY185" s="3616"/>
      <c r="AZ185" s="3617"/>
      <c r="BA185" s="3616"/>
      <c r="BB185" s="3617"/>
      <c r="BC185" s="3616"/>
      <c r="BD185" s="3617"/>
      <c r="BE185" s="3616"/>
      <c r="BF185" s="3616"/>
      <c r="BG185" s="4279"/>
      <c r="BH185" s="4279"/>
      <c r="BI185" s="4322"/>
      <c r="BJ185" s="4435"/>
      <c r="BK185" s="4282"/>
      <c r="BL185" s="4211"/>
      <c r="BM185" s="4216"/>
      <c r="BN185" s="4211"/>
      <c r="BO185" s="4216"/>
      <c r="BP185" s="2626"/>
    </row>
    <row r="186" spans="1:69" ht="15.75" x14ac:dyDescent="0.25">
      <c r="A186" s="1043">
        <v>2</v>
      </c>
      <c r="B186" s="1044" t="s">
        <v>354</v>
      </c>
      <c r="C186" s="316"/>
      <c r="D186" s="948"/>
      <c r="E186" s="949"/>
      <c r="F186" s="948"/>
      <c r="G186" s="1216"/>
      <c r="H186" s="1216"/>
      <c r="I186" s="948"/>
      <c r="J186" s="948"/>
      <c r="K186" s="1217"/>
      <c r="L186" s="1218"/>
      <c r="M186" s="948"/>
      <c r="N186" s="1219"/>
      <c r="O186" s="948"/>
      <c r="P186" s="1220"/>
      <c r="Q186" s="1221"/>
      <c r="R186" s="948"/>
      <c r="S186" s="948"/>
      <c r="T186" s="948"/>
      <c r="U186" s="1222"/>
      <c r="V186" s="1222"/>
      <c r="W186" s="1222"/>
      <c r="X186" s="1223"/>
      <c r="Y186" s="2513"/>
      <c r="Z186" s="1219"/>
      <c r="AA186" s="1219"/>
      <c r="AB186" s="1219"/>
      <c r="AC186" s="1219"/>
      <c r="AD186" s="1219"/>
      <c r="AE186" s="1219"/>
      <c r="AF186" s="1219"/>
      <c r="AG186" s="1219"/>
      <c r="AH186" s="1219"/>
      <c r="AI186" s="1219"/>
      <c r="AJ186" s="1219"/>
      <c r="AK186" s="1219"/>
      <c r="AL186" s="1219"/>
      <c r="AM186" s="1219"/>
      <c r="AN186" s="1219"/>
      <c r="AO186" s="1219"/>
      <c r="AP186" s="1219"/>
      <c r="AQ186" s="1219"/>
      <c r="AR186" s="1219"/>
      <c r="AS186" s="1219"/>
      <c r="AT186" s="1219"/>
      <c r="AU186" s="1219"/>
      <c r="AV186" s="1219"/>
      <c r="AW186" s="1219"/>
      <c r="AX186" s="1219"/>
      <c r="AY186" s="1219"/>
      <c r="AZ186" s="1219"/>
      <c r="BA186" s="1219"/>
      <c r="BB186" s="1219"/>
      <c r="BC186" s="1219"/>
      <c r="BD186" s="1219"/>
      <c r="BE186" s="1219"/>
      <c r="BF186" s="1219"/>
      <c r="BG186" s="1224"/>
      <c r="BH186" s="1224"/>
      <c r="BI186" s="1219"/>
      <c r="BJ186" s="1219"/>
      <c r="BK186" s="1216"/>
      <c r="BL186" s="1219"/>
      <c r="BM186" s="1219"/>
      <c r="BN186" s="1219"/>
      <c r="BO186" s="1219"/>
      <c r="BP186" s="1216"/>
    </row>
    <row r="187" spans="1:69" ht="21.75" customHeight="1" x14ac:dyDescent="0.25">
      <c r="A187" s="121"/>
      <c r="B187" s="4"/>
      <c r="C187" s="4"/>
      <c r="D187" s="1225">
        <v>29</v>
      </c>
      <c r="E187" s="1226" t="s">
        <v>987</v>
      </c>
      <c r="F187" s="1227"/>
      <c r="G187" s="1080"/>
      <c r="H187" s="1080"/>
      <c r="I187" s="1081"/>
      <c r="J187" s="1081"/>
      <c r="K187" s="1227"/>
      <c r="L187" s="1228"/>
      <c r="M187" s="1081"/>
      <c r="N187" s="1229"/>
      <c r="O187" s="1230"/>
      <c r="P187" s="1231"/>
      <c r="Q187" s="1232"/>
      <c r="R187" s="1230"/>
      <c r="S187" s="1081"/>
      <c r="T187" s="1081"/>
      <c r="U187" s="1233"/>
      <c r="V187" s="1233"/>
      <c r="W187" s="1233"/>
      <c r="X187" s="1234"/>
      <c r="Y187" s="2514"/>
      <c r="Z187" s="1229"/>
      <c r="AA187" s="1229"/>
      <c r="AB187" s="1229"/>
      <c r="AC187" s="1229"/>
      <c r="AD187" s="1229"/>
      <c r="AE187" s="1229"/>
      <c r="AF187" s="1229"/>
      <c r="AG187" s="1229"/>
      <c r="AH187" s="1229"/>
      <c r="AI187" s="1229"/>
      <c r="AJ187" s="1229"/>
      <c r="AK187" s="1229"/>
      <c r="AL187" s="1229"/>
      <c r="AM187" s="1229"/>
      <c r="AN187" s="1229"/>
      <c r="AO187" s="1229"/>
      <c r="AP187" s="1229"/>
      <c r="AQ187" s="1229"/>
      <c r="AR187" s="1229"/>
      <c r="AS187" s="1229"/>
      <c r="AT187" s="1229"/>
      <c r="AU187" s="1229"/>
      <c r="AV187" s="1229"/>
      <c r="AW187" s="1229"/>
      <c r="AX187" s="1229"/>
      <c r="AY187" s="1229"/>
      <c r="AZ187" s="1229"/>
      <c r="BA187" s="1229"/>
      <c r="BB187" s="1229"/>
      <c r="BC187" s="1229"/>
      <c r="BD187" s="1229"/>
      <c r="BE187" s="1229"/>
      <c r="BF187" s="1229"/>
      <c r="BG187" s="1235"/>
      <c r="BH187" s="1235"/>
      <c r="BI187" s="1229"/>
      <c r="BJ187" s="1229"/>
      <c r="BK187" s="1080"/>
      <c r="BL187" s="1236"/>
      <c r="BM187" s="1236"/>
      <c r="BN187" s="1236"/>
      <c r="BO187" s="1236"/>
      <c r="BP187" s="1237"/>
      <c r="BQ187" s="4"/>
    </row>
    <row r="188" spans="1:69" ht="80.25" customHeight="1" x14ac:dyDescent="0.25">
      <c r="A188" s="121"/>
      <c r="B188" s="4"/>
      <c r="C188" s="4"/>
      <c r="D188" s="4427"/>
      <c r="E188" s="1238"/>
      <c r="F188" s="4428"/>
      <c r="G188" s="4429">
        <v>3604006</v>
      </c>
      <c r="H188" s="2873">
        <v>29.1</v>
      </c>
      <c r="I188" s="2608" t="s">
        <v>988</v>
      </c>
      <c r="J188" s="2717" t="s">
        <v>989</v>
      </c>
      <c r="K188" s="2625">
        <v>50</v>
      </c>
      <c r="L188" s="4145">
        <v>70</v>
      </c>
      <c r="M188" s="3106" t="s">
        <v>794</v>
      </c>
      <c r="N188" s="3188" t="s">
        <v>795</v>
      </c>
      <c r="O188" s="4265" t="s">
        <v>990</v>
      </c>
      <c r="P188" s="3731">
        <f>(U188+U191+U190)/(Q76+Q188)</f>
        <v>0.3125</v>
      </c>
      <c r="Q188" s="4438">
        <v>25000000</v>
      </c>
      <c r="R188" s="4265" t="s">
        <v>797</v>
      </c>
      <c r="S188" s="2608" t="s">
        <v>798</v>
      </c>
      <c r="T188" s="867" t="s">
        <v>991</v>
      </c>
      <c r="U188" s="1239">
        <v>18000000</v>
      </c>
      <c r="V188" s="1239"/>
      <c r="W188" s="1239"/>
      <c r="X188" s="1177">
        <v>88</v>
      </c>
      <c r="Y188" s="2273" t="s">
        <v>992</v>
      </c>
      <c r="Z188" s="4291">
        <v>2080</v>
      </c>
      <c r="AA188" s="4436">
        <v>50</v>
      </c>
      <c r="AB188" s="4291">
        <v>1920</v>
      </c>
      <c r="AC188" s="4436">
        <v>80</v>
      </c>
      <c r="AD188" s="4291">
        <v>2500</v>
      </c>
      <c r="AE188" s="4436"/>
      <c r="AF188" s="4291">
        <v>1500</v>
      </c>
      <c r="AG188" s="4436"/>
      <c r="AH188" s="4291">
        <v>0</v>
      </c>
      <c r="AI188" s="4436">
        <v>120</v>
      </c>
      <c r="AJ188" s="2634">
        <v>0</v>
      </c>
      <c r="AK188" s="4436">
        <v>10</v>
      </c>
      <c r="AL188" s="2634">
        <v>40</v>
      </c>
      <c r="AM188" s="4436"/>
      <c r="AN188" s="2634">
        <v>40</v>
      </c>
      <c r="AO188" s="4436"/>
      <c r="AP188" s="2634">
        <v>0</v>
      </c>
      <c r="AQ188" s="4436"/>
      <c r="AR188" s="2634">
        <v>0</v>
      </c>
      <c r="AS188" s="4436"/>
      <c r="AT188" s="2634">
        <v>0</v>
      </c>
      <c r="AU188" s="4436"/>
      <c r="AV188" s="2634">
        <v>0</v>
      </c>
      <c r="AW188" s="4436"/>
      <c r="AX188" s="2634">
        <v>40</v>
      </c>
      <c r="AY188" s="4436"/>
      <c r="AZ188" s="2634">
        <v>0</v>
      </c>
      <c r="BA188" s="4436"/>
      <c r="BB188" s="2634">
        <v>0</v>
      </c>
      <c r="BC188" s="4436"/>
      <c r="BD188" s="4444">
        <v>4000</v>
      </c>
      <c r="BE188" s="4436">
        <f>AA188+AC188</f>
        <v>130</v>
      </c>
      <c r="BF188" s="4436">
        <v>2</v>
      </c>
      <c r="BG188" s="4441">
        <f>SUM(V188:V191)</f>
        <v>0</v>
      </c>
      <c r="BH188" s="4441">
        <f>SUM(W188:W191)</f>
        <v>0</v>
      </c>
      <c r="BI188" s="4442"/>
      <c r="BJ188" s="4436">
        <v>88</v>
      </c>
      <c r="BK188" s="4443" t="s">
        <v>727</v>
      </c>
      <c r="BL188" s="4275">
        <v>44033</v>
      </c>
      <c r="BM188" s="4440"/>
      <c r="BN188" s="4275">
        <v>44195</v>
      </c>
      <c r="BO188" s="4440"/>
      <c r="BP188" s="2626" t="s">
        <v>693</v>
      </c>
      <c r="BQ188" s="4"/>
    </row>
    <row r="189" spans="1:69" ht="67.5" customHeight="1" x14ac:dyDescent="0.25">
      <c r="A189" s="121"/>
      <c r="B189" s="4"/>
      <c r="C189" s="4"/>
      <c r="D189" s="3415"/>
      <c r="E189" s="1240"/>
      <c r="F189" s="3417"/>
      <c r="G189" s="4430"/>
      <c r="H189" s="2873"/>
      <c r="I189" s="2608"/>
      <c r="J189" s="2717"/>
      <c r="K189" s="2625"/>
      <c r="L189" s="4146"/>
      <c r="M189" s="3106"/>
      <c r="N189" s="3188"/>
      <c r="O189" s="4265"/>
      <c r="P189" s="3731"/>
      <c r="Q189" s="4438"/>
      <c r="R189" s="4265"/>
      <c r="S189" s="2608"/>
      <c r="T189" s="867" t="s">
        <v>774</v>
      </c>
      <c r="U189" s="1239">
        <v>0</v>
      </c>
      <c r="V189" s="1239"/>
      <c r="W189" s="1239"/>
      <c r="X189" s="1177">
        <v>88</v>
      </c>
      <c r="Y189" s="2273" t="s">
        <v>992</v>
      </c>
      <c r="Z189" s="4291"/>
      <c r="AA189" s="4437"/>
      <c r="AB189" s="4291"/>
      <c r="AC189" s="4437"/>
      <c r="AD189" s="4291"/>
      <c r="AE189" s="4437"/>
      <c r="AF189" s="4291"/>
      <c r="AG189" s="4437"/>
      <c r="AH189" s="4291"/>
      <c r="AI189" s="4437"/>
      <c r="AJ189" s="2634"/>
      <c r="AK189" s="4437"/>
      <c r="AL189" s="2634"/>
      <c r="AM189" s="4437"/>
      <c r="AN189" s="2634"/>
      <c r="AO189" s="4437"/>
      <c r="AP189" s="2634"/>
      <c r="AQ189" s="4437"/>
      <c r="AR189" s="2634"/>
      <c r="AS189" s="4437"/>
      <c r="AT189" s="2634"/>
      <c r="AU189" s="4437"/>
      <c r="AV189" s="2634"/>
      <c r="AW189" s="4437"/>
      <c r="AX189" s="2634"/>
      <c r="AY189" s="4437"/>
      <c r="AZ189" s="2634"/>
      <c r="BA189" s="4437"/>
      <c r="BB189" s="2634"/>
      <c r="BC189" s="4437"/>
      <c r="BD189" s="4444"/>
      <c r="BE189" s="4437"/>
      <c r="BF189" s="4437"/>
      <c r="BG189" s="4432"/>
      <c r="BH189" s="4432"/>
      <c r="BI189" s="4433"/>
      <c r="BJ189" s="4437"/>
      <c r="BK189" s="4281"/>
      <c r="BL189" s="4275"/>
      <c r="BM189" s="4276"/>
      <c r="BN189" s="4275"/>
      <c r="BO189" s="4276"/>
      <c r="BP189" s="2626"/>
      <c r="BQ189" s="4"/>
    </row>
    <row r="190" spans="1:69" ht="80.25" customHeight="1" x14ac:dyDescent="0.25">
      <c r="A190" s="121"/>
      <c r="B190" s="4"/>
      <c r="C190" s="4"/>
      <c r="D190" s="3415"/>
      <c r="E190" s="1240"/>
      <c r="F190" s="3417"/>
      <c r="G190" s="4430"/>
      <c r="H190" s="2873"/>
      <c r="I190" s="2608"/>
      <c r="J190" s="2717"/>
      <c r="K190" s="2625"/>
      <c r="L190" s="4146"/>
      <c r="M190" s="3106"/>
      <c r="N190" s="3188"/>
      <c r="O190" s="4265"/>
      <c r="P190" s="3731"/>
      <c r="Q190" s="4438"/>
      <c r="R190" s="4265"/>
      <c r="S190" s="2608"/>
      <c r="T190" s="867" t="s">
        <v>993</v>
      </c>
      <c r="U190" s="1239">
        <v>4000000</v>
      </c>
      <c r="V190" s="1239"/>
      <c r="W190" s="1239"/>
      <c r="X190" s="1177">
        <v>88</v>
      </c>
      <c r="Y190" s="2273" t="s">
        <v>992</v>
      </c>
      <c r="Z190" s="4291"/>
      <c r="AA190" s="4437"/>
      <c r="AB190" s="4291"/>
      <c r="AC190" s="4437"/>
      <c r="AD190" s="4291"/>
      <c r="AE190" s="4437"/>
      <c r="AF190" s="4291"/>
      <c r="AG190" s="4437"/>
      <c r="AH190" s="4291"/>
      <c r="AI190" s="4437"/>
      <c r="AJ190" s="2634"/>
      <c r="AK190" s="4437"/>
      <c r="AL190" s="2634"/>
      <c r="AM190" s="4437"/>
      <c r="AN190" s="2634"/>
      <c r="AO190" s="4437"/>
      <c r="AP190" s="2634"/>
      <c r="AQ190" s="4437"/>
      <c r="AR190" s="2634"/>
      <c r="AS190" s="4437"/>
      <c r="AT190" s="2634"/>
      <c r="AU190" s="4437"/>
      <c r="AV190" s="2634"/>
      <c r="AW190" s="4437"/>
      <c r="AX190" s="2634"/>
      <c r="AY190" s="4437"/>
      <c r="AZ190" s="2634"/>
      <c r="BA190" s="4437"/>
      <c r="BB190" s="2634"/>
      <c r="BC190" s="4437"/>
      <c r="BD190" s="4444"/>
      <c r="BE190" s="4437"/>
      <c r="BF190" s="4437"/>
      <c r="BG190" s="4432"/>
      <c r="BH190" s="4432"/>
      <c r="BI190" s="4433"/>
      <c r="BJ190" s="4437"/>
      <c r="BK190" s="4281"/>
      <c r="BL190" s="4275"/>
      <c r="BM190" s="4276"/>
      <c r="BN190" s="4275"/>
      <c r="BO190" s="4276"/>
      <c r="BP190" s="2626"/>
      <c r="BQ190" s="4"/>
    </row>
    <row r="191" spans="1:69" ht="52.5" customHeight="1" x14ac:dyDescent="0.25">
      <c r="A191" s="121"/>
      <c r="B191" s="4"/>
      <c r="C191" s="4"/>
      <c r="D191" s="4266"/>
      <c r="E191" s="1241"/>
      <c r="F191" s="4268"/>
      <c r="G191" s="4431"/>
      <c r="H191" s="2873"/>
      <c r="I191" s="2608"/>
      <c r="J191" s="2717"/>
      <c r="K191" s="2625"/>
      <c r="L191" s="4147"/>
      <c r="M191" s="3106"/>
      <c r="N191" s="3188"/>
      <c r="O191" s="4265"/>
      <c r="P191" s="3731"/>
      <c r="Q191" s="4439"/>
      <c r="R191" s="4265"/>
      <c r="S191" s="2608"/>
      <c r="T191" s="867" t="s">
        <v>994</v>
      </c>
      <c r="U191" s="1239">
        <v>3000000</v>
      </c>
      <c r="V191" s="1239"/>
      <c r="W191" s="1239"/>
      <c r="X191" s="1177" t="s">
        <v>995</v>
      </c>
      <c r="Y191" s="2273" t="s">
        <v>992</v>
      </c>
      <c r="Z191" s="4291"/>
      <c r="AA191" s="4290"/>
      <c r="AB191" s="4291"/>
      <c r="AC191" s="4290"/>
      <c r="AD191" s="4291"/>
      <c r="AE191" s="4290"/>
      <c r="AF191" s="4291"/>
      <c r="AG191" s="4290"/>
      <c r="AH191" s="4291"/>
      <c r="AI191" s="4290"/>
      <c r="AJ191" s="2634"/>
      <c r="AK191" s="4290"/>
      <c r="AL191" s="2634"/>
      <c r="AM191" s="4290"/>
      <c r="AN191" s="2634"/>
      <c r="AO191" s="4290"/>
      <c r="AP191" s="2634"/>
      <c r="AQ191" s="4290"/>
      <c r="AR191" s="2634"/>
      <c r="AS191" s="4290"/>
      <c r="AT191" s="2634"/>
      <c r="AU191" s="4290"/>
      <c r="AV191" s="2634"/>
      <c r="AW191" s="4290"/>
      <c r="AX191" s="2634"/>
      <c r="AY191" s="4290"/>
      <c r="AZ191" s="2634"/>
      <c r="BA191" s="4290"/>
      <c r="BB191" s="2634"/>
      <c r="BC191" s="4290"/>
      <c r="BD191" s="4444"/>
      <c r="BE191" s="4290"/>
      <c r="BF191" s="4290"/>
      <c r="BG191" s="4279"/>
      <c r="BH191" s="4279"/>
      <c r="BI191" s="4322"/>
      <c r="BJ191" s="4290"/>
      <c r="BK191" s="4282"/>
      <c r="BL191" s="4275"/>
      <c r="BM191" s="4274"/>
      <c r="BN191" s="4275"/>
      <c r="BO191" s="4274"/>
      <c r="BP191" s="2626"/>
      <c r="BQ191" s="4"/>
    </row>
    <row r="192" spans="1:69" ht="15.75" x14ac:dyDescent="0.25">
      <c r="A192" s="753">
        <v>4</v>
      </c>
      <c r="B192" s="204" t="s">
        <v>289</v>
      </c>
      <c r="C192" s="754"/>
      <c r="D192" s="948"/>
      <c r="E192" s="949"/>
      <c r="F192" s="948"/>
      <c r="G192" s="1216"/>
      <c r="H192" s="1216"/>
      <c r="I192" s="948"/>
      <c r="J192" s="948"/>
      <c r="K192" s="948"/>
      <c r="L192" s="1242"/>
      <c r="M192" s="948"/>
      <c r="N192" s="1219"/>
      <c r="O192" s="948"/>
      <c r="P192" s="1220"/>
      <c r="Q192" s="1221"/>
      <c r="R192" s="1243"/>
      <c r="S192" s="1243"/>
      <c r="T192" s="948"/>
      <c r="U192" s="1222"/>
      <c r="V192" s="1222"/>
      <c r="W192" s="1222"/>
      <c r="X192" s="1223"/>
      <c r="Y192" s="2513"/>
      <c r="Z192" s="1219"/>
      <c r="AA192" s="1219"/>
      <c r="AB192" s="1219"/>
      <c r="AC192" s="1219"/>
      <c r="AD192" s="1219"/>
      <c r="AE192" s="1219"/>
      <c r="AF192" s="1219"/>
      <c r="AG192" s="1219"/>
      <c r="AH192" s="1219"/>
      <c r="AI192" s="1219"/>
      <c r="AJ192" s="1219"/>
      <c r="AK192" s="1219"/>
      <c r="AL192" s="1219"/>
      <c r="AM192" s="1219"/>
      <c r="AN192" s="1219"/>
      <c r="AO192" s="1219"/>
      <c r="AP192" s="1219"/>
      <c r="AQ192" s="1219"/>
      <c r="AR192" s="1219"/>
      <c r="AS192" s="1219"/>
      <c r="AT192" s="1219"/>
      <c r="AU192" s="1219"/>
      <c r="AV192" s="1219"/>
      <c r="AW192" s="1219"/>
      <c r="AX192" s="1219"/>
      <c r="AY192" s="1219"/>
      <c r="AZ192" s="1219"/>
      <c r="BA192" s="1219"/>
      <c r="BB192" s="1219"/>
      <c r="BC192" s="1219"/>
      <c r="BD192" s="1219"/>
      <c r="BE192" s="1219"/>
      <c r="BF192" s="1219"/>
      <c r="BG192" s="1224"/>
      <c r="BH192" s="1224"/>
      <c r="BI192" s="1219"/>
      <c r="BJ192" s="1219"/>
      <c r="BK192" s="1216"/>
      <c r="BL192" s="1219"/>
      <c r="BM192" s="1219"/>
      <c r="BN192" s="1219"/>
      <c r="BO192" s="1219"/>
      <c r="BP192" s="1216"/>
      <c r="BQ192" s="4"/>
    </row>
    <row r="193" spans="1:69" ht="15.75" x14ac:dyDescent="0.25">
      <c r="A193" s="1244"/>
      <c r="B193" s="1245"/>
      <c r="C193" s="1246"/>
      <c r="D193" s="1225">
        <v>42</v>
      </c>
      <c r="E193" s="1226" t="s">
        <v>63</v>
      </c>
      <c r="F193" s="1227"/>
      <c r="G193" s="1137"/>
      <c r="H193" s="1137"/>
      <c r="I193" s="1210"/>
      <c r="J193" s="1210"/>
      <c r="K193" s="1247"/>
      <c r="L193" s="1248"/>
      <c r="M193" s="1210"/>
      <c r="N193" s="1249"/>
      <c r="O193" s="1250"/>
      <c r="P193" s="1251"/>
      <c r="Q193" s="1252"/>
      <c r="R193" s="1250"/>
      <c r="S193" s="1210"/>
      <c r="T193" s="1210"/>
      <c r="U193" s="1253"/>
      <c r="V193" s="1253"/>
      <c r="W193" s="1253"/>
      <c r="X193" s="1254"/>
      <c r="Y193" s="2515"/>
      <c r="Z193" s="1249"/>
      <c r="AA193" s="1249"/>
      <c r="AB193" s="1249"/>
      <c r="AC193" s="1249"/>
      <c r="AD193" s="1249"/>
      <c r="AE193" s="1249"/>
      <c r="AF193" s="1249"/>
      <c r="AG193" s="1249"/>
      <c r="AH193" s="1249"/>
      <c r="AI193" s="1249"/>
      <c r="AJ193" s="1249"/>
      <c r="AK193" s="1249"/>
      <c r="AL193" s="1249"/>
      <c r="AM193" s="1249"/>
      <c r="AN193" s="1249"/>
      <c r="AO193" s="1249"/>
      <c r="AP193" s="1249"/>
      <c r="AQ193" s="1249"/>
      <c r="AR193" s="1249"/>
      <c r="AS193" s="1249"/>
      <c r="AT193" s="1249"/>
      <c r="AU193" s="1249"/>
      <c r="AV193" s="1249"/>
      <c r="AW193" s="1249"/>
      <c r="AX193" s="1249"/>
      <c r="AY193" s="1249"/>
      <c r="AZ193" s="1249"/>
      <c r="BA193" s="1249"/>
      <c r="BB193" s="1249"/>
      <c r="BC193" s="1249"/>
      <c r="BD193" s="1249"/>
      <c r="BE193" s="1249"/>
      <c r="BF193" s="1249"/>
      <c r="BG193" s="1255"/>
      <c r="BH193" s="1255"/>
      <c r="BI193" s="1249"/>
      <c r="BJ193" s="1249"/>
      <c r="BK193" s="1137"/>
      <c r="BL193" s="1256"/>
      <c r="BM193" s="1256"/>
      <c r="BN193" s="1256"/>
      <c r="BO193" s="1256"/>
      <c r="BP193" s="1257"/>
      <c r="BQ193" s="4"/>
    </row>
    <row r="194" spans="1:69" s="861" customFormat="1" ht="112.5" customHeight="1" x14ac:dyDescent="0.25">
      <c r="A194" s="813"/>
      <c r="B194" s="71"/>
      <c r="C194" s="156"/>
      <c r="D194" s="814"/>
      <c r="E194" s="680"/>
      <c r="F194" s="681"/>
      <c r="G194" s="815">
        <v>4502001</v>
      </c>
      <c r="H194" s="1916">
        <v>42.8</v>
      </c>
      <c r="I194" s="928" t="s">
        <v>996</v>
      </c>
      <c r="J194" s="908" t="s">
        <v>997</v>
      </c>
      <c r="K194" s="938">
        <v>1</v>
      </c>
      <c r="L194" s="1149">
        <v>0</v>
      </c>
      <c r="M194" s="908" t="s">
        <v>970</v>
      </c>
      <c r="N194" s="911" t="s">
        <v>971</v>
      </c>
      <c r="O194" s="928" t="s">
        <v>972</v>
      </c>
      <c r="P194" s="939">
        <f>U194/(Q194+Q180)</f>
        <v>0.27272727272727271</v>
      </c>
      <c r="Q194" s="1258">
        <v>15000000</v>
      </c>
      <c r="R194" s="912" t="s">
        <v>973</v>
      </c>
      <c r="S194" s="928" t="s">
        <v>974</v>
      </c>
      <c r="T194" s="928" t="s">
        <v>996</v>
      </c>
      <c r="U194" s="1152">
        <v>15000000</v>
      </c>
      <c r="V194" s="1152">
        <v>0</v>
      </c>
      <c r="W194" s="1152">
        <v>0</v>
      </c>
      <c r="X194" s="1129">
        <v>88</v>
      </c>
      <c r="Y194" s="2504" t="s">
        <v>134</v>
      </c>
      <c r="Z194" s="1259">
        <v>295972</v>
      </c>
      <c r="AA194" s="1259"/>
      <c r="AB194" s="1259">
        <v>285580</v>
      </c>
      <c r="AC194" s="1259"/>
      <c r="AD194" s="1259">
        <v>135545</v>
      </c>
      <c r="AE194" s="1259"/>
      <c r="AF194" s="1259">
        <v>44254</v>
      </c>
      <c r="AG194" s="1259"/>
      <c r="AH194" s="1259">
        <v>309146</v>
      </c>
      <c r="AI194" s="1259"/>
      <c r="AJ194" s="1259">
        <v>92607</v>
      </c>
      <c r="AK194" s="1259"/>
      <c r="AL194" s="1259">
        <v>2145</v>
      </c>
      <c r="AM194" s="1259"/>
      <c r="AN194" s="1259">
        <v>12718</v>
      </c>
      <c r="AO194" s="1259"/>
      <c r="AP194" s="1259">
        <v>26</v>
      </c>
      <c r="AQ194" s="1259"/>
      <c r="AR194" s="1259">
        <v>37</v>
      </c>
      <c r="AS194" s="1259"/>
      <c r="AT194" s="1259">
        <v>0</v>
      </c>
      <c r="AU194" s="1259"/>
      <c r="AV194" s="1259">
        <v>0</v>
      </c>
      <c r="AW194" s="1259"/>
      <c r="AX194" s="1259">
        <v>44350</v>
      </c>
      <c r="AY194" s="1259"/>
      <c r="AZ194" s="1259">
        <v>21944</v>
      </c>
      <c r="BA194" s="1259"/>
      <c r="BB194" s="1259">
        <v>75687</v>
      </c>
      <c r="BC194" s="1259"/>
      <c r="BD194" s="1259">
        <v>581552</v>
      </c>
      <c r="BE194" s="1259">
        <f>AA194+AC194</f>
        <v>0</v>
      </c>
      <c r="BF194" s="1259"/>
      <c r="BG194" s="1260">
        <f>SUM(V194)</f>
        <v>0</v>
      </c>
      <c r="BH194" s="1260">
        <f>SUM(W194)</f>
        <v>0</v>
      </c>
      <c r="BI194" s="939"/>
      <c r="BJ194" s="1259">
        <v>20</v>
      </c>
      <c r="BK194" s="1261" t="s">
        <v>899</v>
      </c>
      <c r="BL194" s="1262">
        <v>44033</v>
      </c>
      <c r="BM194" s="1262" t="s">
        <v>976</v>
      </c>
      <c r="BN194" s="1262">
        <v>44195</v>
      </c>
      <c r="BO194" s="1262">
        <v>44195</v>
      </c>
      <c r="BP194" s="907" t="s">
        <v>693</v>
      </c>
      <c r="BQ194" s="71"/>
    </row>
    <row r="195" spans="1:69" ht="30.75" customHeight="1" x14ac:dyDescent="0.25">
      <c r="A195" s="349"/>
      <c r="B195" s="263"/>
      <c r="C195" s="265"/>
      <c r="D195" s="263"/>
      <c r="E195" s="263"/>
      <c r="F195" s="265"/>
      <c r="G195" s="1263"/>
      <c r="H195" s="1263"/>
      <c r="I195" s="871"/>
      <c r="J195" s="871"/>
      <c r="K195" s="323"/>
      <c r="L195" s="1264"/>
      <c r="M195" s="871"/>
      <c r="N195" s="1265"/>
      <c r="O195" s="871"/>
      <c r="P195" s="939"/>
      <c r="Q195" s="1266">
        <f>SUM(Q12:Q194)</f>
        <v>5933774901.3900003</v>
      </c>
      <c r="R195" s="1267"/>
      <c r="S195" s="1267"/>
      <c r="T195" s="1268"/>
      <c r="U195" s="1269">
        <f>SUM(U12:U194)</f>
        <v>5933774901.3900003</v>
      </c>
      <c r="V195" s="1269">
        <f t="shared" ref="V195:W195" si="1">SUM(V12:V194)</f>
        <v>4791921765</v>
      </c>
      <c r="W195" s="1269">
        <f t="shared" si="1"/>
        <v>4791921765</v>
      </c>
      <c r="X195" s="893"/>
      <c r="Y195" s="1267"/>
      <c r="Z195" s="126"/>
      <c r="AA195" s="126"/>
      <c r="AB195" s="126"/>
      <c r="AC195" s="126"/>
      <c r="AD195" s="126"/>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126"/>
      <c r="BA195" s="126"/>
      <c r="BB195" s="126"/>
      <c r="BC195" s="126"/>
      <c r="BD195" s="126"/>
      <c r="BE195" s="126"/>
      <c r="BF195" s="126"/>
      <c r="BG195" s="1270">
        <f>SUM(BG12:BG194)</f>
        <v>4791921765</v>
      </c>
      <c r="BH195" s="1270">
        <f>SUM(BH12:BH194)</f>
        <v>4791921765</v>
      </c>
      <c r="BI195" s="126"/>
      <c r="BJ195" s="126"/>
      <c r="BK195" s="893"/>
      <c r="BL195" s="934"/>
      <c r="BM195" s="934"/>
      <c r="BN195" s="934"/>
      <c r="BO195" s="934"/>
      <c r="BP195" s="126"/>
      <c r="BQ195" s="4"/>
    </row>
    <row r="199" spans="1:69" x14ac:dyDescent="0.25">
      <c r="W199" s="1271"/>
    </row>
    <row r="200" spans="1:69" x14ac:dyDescent="0.25">
      <c r="Q200" s="1272">
        <f>U195-Q195</f>
        <v>0</v>
      </c>
    </row>
  </sheetData>
  <sheetProtection password="A60F" sheet="1" objects="1" scenarios="1"/>
  <mergeCells count="1430">
    <mergeCell ref="BL188:BL191"/>
    <mergeCell ref="BM188:BM191"/>
    <mergeCell ref="BN188:BN191"/>
    <mergeCell ref="BO188:BO191"/>
    <mergeCell ref="BP188:BP191"/>
    <mergeCell ref="BF188:BF191"/>
    <mergeCell ref="BG188:BG191"/>
    <mergeCell ref="BH188:BH191"/>
    <mergeCell ref="BI188:BI191"/>
    <mergeCell ref="BJ188:BJ191"/>
    <mergeCell ref="BK188:BK191"/>
    <mergeCell ref="AZ188:AZ191"/>
    <mergeCell ref="BA188:BA191"/>
    <mergeCell ref="BB188:BB191"/>
    <mergeCell ref="BC188:BC191"/>
    <mergeCell ref="BD188:BD191"/>
    <mergeCell ref="BE188:BE191"/>
    <mergeCell ref="AT188:AT191"/>
    <mergeCell ref="AU188:AU191"/>
    <mergeCell ref="AV188:AV191"/>
    <mergeCell ref="AW188:AW191"/>
    <mergeCell ref="AX188:AX191"/>
    <mergeCell ref="AY188:AY191"/>
    <mergeCell ref="AN188:AN191"/>
    <mergeCell ref="AO188:AO191"/>
    <mergeCell ref="AP188:AP191"/>
    <mergeCell ref="AQ188:AQ191"/>
    <mergeCell ref="AR188:AR191"/>
    <mergeCell ref="AS188:AS191"/>
    <mergeCell ref="AH188:AH191"/>
    <mergeCell ref="AI188:AI191"/>
    <mergeCell ref="AJ188:AJ191"/>
    <mergeCell ref="AK188:AK191"/>
    <mergeCell ref="AL188:AL191"/>
    <mergeCell ref="AM188:AM191"/>
    <mergeCell ref="AB188:AB191"/>
    <mergeCell ref="AC188:AC191"/>
    <mergeCell ref="AD188:AD191"/>
    <mergeCell ref="AE188:AE191"/>
    <mergeCell ref="AF188:AF191"/>
    <mergeCell ref="AG188:AG191"/>
    <mergeCell ref="P188:P191"/>
    <mergeCell ref="Q188:Q191"/>
    <mergeCell ref="R188:R191"/>
    <mergeCell ref="S188:S191"/>
    <mergeCell ref="Z188:Z191"/>
    <mergeCell ref="AA188:AA191"/>
    <mergeCell ref="J188:J191"/>
    <mergeCell ref="K188:K191"/>
    <mergeCell ref="L188:L191"/>
    <mergeCell ref="M188:M191"/>
    <mergeCell ref="N188:N191"/>
    <mergeCell ref="O188:O191"/>
    <mergeCell ref="BL182:BL185"/>
    <mergeCell ref="BM182:BM185"/>
    <mergeCell ref="BN182:BN185"/>
    <mergeCell ref="BO182:BO185"/>
    <mergeCell ref="BP182:BP185"/>
    <mergeCell ref="D188:D191"/>
    <mergeCell ref="F188:F191"/>
    <mergeCell ref="G188:G191"/>
    <mergeCell ref="H188:H191"/>
    <mergeCell ref="I188:I191"/>
    <mergeCell ref="BF182:BF185"/>
    <mergeCell ref="BG182:BG185"/>
    <mergeCell ref="BH182:BH185"/>
    <mergeCell ref="BI182:BI185"/>
    <mergeCell ref="BJ182:BJ185"/>
    <mergeCell ref="BK182:BK185"/>
    <mergeCell ref="AZ182:AZ185"/>
    <mergeCell ref="BA182:BA185"/>
    <mergeCell ref="BB182:BB185"/>
    <mergeCell ref="BC182:BC185"/>
    <mergeCell ref="BD182:BD185"/>
    <mergeCell ref="BE182:BE185"/>
    <mergeCell ref="AT182:AT185"/>
    <mergeCell ref="AU182:AU185"/>
    <mergeCell ref="AV182:AV185"/>
    <mergeCell ref="AW182:AW185"/>
    <mergeCell ref="AX182:AX185"/>
    <mergeCell ref="AY182:AY185"/>
    <mergeCell ref="AN182:AN185"/>
    <mergeCell ref="AO182:AO185"/>
    <mergeCell ref="AP182:AP185"/>
    <mergeCell ref="AQ182:AQ185"/>
    <mergeCell ref="AR182:AR185"/>
    <mergeCell ref="AS182:AS185"/>
    <mergeCell ref="AH182:AH185"/>
    <mergeCell ref="AI182:AI185"/>
    <mergeCell ref="AJ182:AJ185"/>
    <mergeCell ref="AK182:AK185"/>
    <mergeCell ref="AL182:AL185"/>
    <mergeCell ref="AM182:AM185"/>
    <mergeCell ref="AB182:AB185"/>
    <mergeCell ref="AC182:AC185"/>
    <mergeCell ref="AD182:AD185"/>
    <mergeCell ref="AE182:AE185"/>
    <mergeCell ref="AF182:AF185"/>
    <mergeCell ref="AG182:AG185"/>
    <mergeCell ref="P182:P185"/>
    <mergeCell ref="Q182:Q185"/>
    <mergeCell ref="R182:R185"/>
    <mergeCell ref="S182:S185"/>
    <mergeCell ref="Z182:Z185"/>
    <mergeCell ref="AA182:AA185"/>
    <mergeCell ref="J182:J185"/>
    <mergeCell ref="K182:K185"/>
    <mergeCell ref="L182:L185"/>
    <mergeCell ref="M182:M185"/>
    <mergeCell ref="N182:N185"/>
    <mergeCell ref="O182:O185"/>
    <mergeCell ref="BM180:BM181"/>
    <mergeCell ref="BN180:BN181"/>
    <mergeCell ref="BO180:BO181"/>
    <mergeCell ref="BP180:BP181"/>
    <mergeCell ref="D182:D185"/>
    <mergeCell ref="E182:E185"/>
    <mergeCell ref="F182:F185"/>
    <mergeCell ref="G182:G185"/>
    <mergeCell ref="H182:H185"/>
    <mergeCell ref="I182:I185"/>
    <mergeCell ref="BG180:BG181"/>
    <mergeCell ref="BH180:BH181"/>
    <mergeCell ref="BI180:BI181"/>
    <mergeCell ref="BJ180:BJ181"/>
    <mergeCell ref="BK180:BK181"/>
    <mergeCell ref="BL180:BL181"/>
    <mergeCell ref="BA180:BA181"/>
    <mergeCell ref="BB180:BB181"/>
    <mergeCell ref="BC180:BC181"/>
    <mergeCell ref="BD180:BD181"/>
    <mergeCell ref="BE180:BE181"/>
    <mergeCell ref="BF180:BF181"/>
    <mergeCell ref="AU180:AU181"/>
    <mergeCell ref="AV180:AV181"/>
    <mergeCell ref="AW180:AW181"/>
    <mergeCell ref="AX180:AX181"/>
    <mergeCell ref="AY180:AY181"/>
    <mergeCell ref="AZ180:AZ181"/>
    <mergeCell ref="AO180:AO181"/>
    <mergeCell ref="AP180:AP181"/>
    <mergeCell ref="AQ180:AQ181"/>
    <mergeCell ref="AR180:AR181"/>
    <mergeCell ref="AS180:AS181"/>
    <mergeCell ref="AT180:AT181"/>
    <mergeCell ref="AI180:AI181"/>
    <mergeCell ref="AJ180:AJ181"/>
    <mergeCell ref="AK180:AK181"/>
    <mergeCell ref="AL180:AL181"/>
    <mergeCell ref="AM180:AM181"/>
    <mergeCell ref="AN180:AN181"/>
    <mergeCell ref="AC180:AC181"/>
    <mergeCell ref="AD180:AD181"/>
    <mergeCell ref="AE180:AE181"/>
    <mergeCell ref="AF180:AF181"/>
    <mergeCell ref="AG180:AG181"/>
    <mergeCell ref="AH180:AH181"/>
    <mergeCell ref="R180:R181"/>
    <mergeCell ref="S180:S181"/>
    <mergeCell ref="T180:T181"/>
    <mergeCell ref="Z180:Z181"/>
    <mergeCell ref="AA180:AA181"/>
    <mergeCell ref="AB180:AB181"/>
    <mergeCell ref="L180:L181"/>
    <mergeCell ref="M180:M181"/>
    <mergeCell ref="N180:N181"/>
    <mergeCell ref="O180:O181"/>
    <mergeCell ref="P180:P181"/>
    <mergeCell ref="Q180:Q181"/>
    <mergeCell ref="BL161:BL178"/>
    <mergeCell ref="BM161:BM178"/>
    <mergeCell ref="BN161:BN178"/>
    <mergeCell ref="BO161:BO178"/>
    <mergeCell ref="BP161:BP178"/>
    <mergeCell ref="AK161:AK178"/>
    <mergeCell ref="AL161:AL178"/>
    <mergeCell ref="AM161:AM178"/>
    <mergeCell ref="AB161:AB178"/>
    <mergeCell ref="AC161:AC178"/>
    <mergeCell ref="AD161:AD178"/>
    <mergeCell ref="AE161:AE178"/>
    <mergeCell ref="AF161:AF178"/>
    <mergeCell ref="AG161:AG178"/>
    <mergeCell ref="Q161:Q178"/>
    <mergeCell ref="R161:R178"/>
    <mergeCell ref="S161:S178"/>
    <mergeCell ref="T161:T162"/>
    <mergeCell ref="Z161:Z178"/>
    <mergeCell ref="AA161:AA178"/>
    <mergeCell ref="G180:G181"/>
    <mergeCell ref="H180:H181"/>
    <mergeCell ref="I180:I181"/>
    <mergeCell ref="J180:J181"/>
    <mergeCell ref="K180:K181"/>
    <mergeCell ref="BF161:BF178"/>
    <mergeCell ref="BG161:BG178"/>
    <mergeCell ref="BH161:BH178"/>
    <mergeCell ref="BI161:BI178"/>
    <mergeCell ref="BJ161:BJ178"/>
    <mergeCell ref="BK161:BK178"/>
    <mergeCell ref="AZ161:AZ178"/>
    <mergeCell ref="BA161:BA178"/>
    <mergeCell ref="BB161:BB178"/>
    <mergeCell ref="BC161:BC178"/>
    <mergeCell ref="BD161:BD178"/>
    <mergeCell ref="BE161:BE178"/>
    <mergeCell ref="AT161:AT178"/>
    <mergeCell ref="AU161:AU178"/>
    <mergeCell ref="AV161:AV178"/>
    <mergeCell ref="AW161:AW178"/>
    <mergeCell ref="AX161:AX178"/>
    <mergeCell ref="AY161:AY178"/>
    <mergeCell ref="AN161:AN178"/>
    <mergeCell ref="AO161:AO178"/>
    <mergeCell ref="AP161:AP178"/>
    <mergeCell ref="AQ161:AQ178"/>
    <mergeCell ref="AR161:AR178"/>
    <mergeCell ref="AS161:AS178"/>
    <mergeCell ref="AH161:AH178"/>
    <mergeCell ref="AI161:AI178"/>
    <mergeCell ref="AJ161:AJ178"/>
    <mergeCell ref="K161:K178"/>
    <mergeCell ref="L161:L178"/>
    <mergeCell ref="M161:M178"/>
    <mergeCell ref="N161:N178"/>
    <mergeCell ref="O161:O178"/>
    <mergeCell ref="P161:P178"/>
    <mergeCell ref="D161:D178"/>
    <mergeCell ref="E161:E178"/>
    <mergeCell ref="G161:G178"/>
    <mergeCell ref="H161:H178"/>
    <mergeCell ref="I161:I178"/>
    <mergeCell ref="J161:J178"/>
    <mergeCell ref="H155:H160"/>
    <mergeCell ref="I155:I160"/>
    <mergeCell ref="J155:J160"/>
    <mergeCell ref="K155:K160"/>
    <mergeCell ref="L155:L160"/>
    <mergeCell ref="G157:G160"/>
    <mergeCell ref="M138:M160"/>
    <mergeCell ref="N138:N160"/>
    <mergeCell ref="O138:O160"/>
    <mergeCell ref="P138:P146"/>
    <mergeCell ref="BO138:BO160"/>
    <mergeCell ref="BP138:BP160"/>
    <mergeCell ref="T139:T140"/>
    <mergeCell ref="G147:G156"/>
    <mergeCell ref="H147:H154"/>
    <mergeCell ref="I147:I154"/>
    <mergeCell ref="J147:J154"/>
    <mergeCell ref="K147:K154"/>
    <mergeCell ref="L147:L154"/>
    <mergeCell ref="P147:P154"/>
    <mergeCell ref="BI138:BI160"/>
    <mergeCell ref="BJ138:BJ160"/>
    <mergeCell ref="BK138:BK160"/>
    <mergeCell ref="BL138:BL160"/>
    <mergeCell ref="BM138:BM160"/>
    <mergeCell ref="BN138:BN160"/>
    <mergeCell ref="BC138:BC160"/>
    <mergeCell ref="BD138:BD160"/>
    <mergeCell ref="BE138:BE160"/>
    <mergeCell ref="BF138:BF160"/>
    <mergeCell ref="BG138:BG160"/>
    <mergeCell ref="BH138:BH160"/>
    <mergeCell ref="AW138:AW160"/>
    <mergeCell ref="AX138:AX160"/>
    <mergeCell ref="AY138:AY160"/>
    <mergeCell ref="AZ138:AZ160"/>
    <mergeCell ref="BA138:BA160"/>
    <mergeCell ref="BB138:BB160"/>
    <mergeCell ref="AQ138:AQ160"/>
    <mergeCell ref="AR138:AR160"/>
    <mergeCell ref="AS138:AS160"/>
    <mergeCell ref="AT138:AT160"/>
    <mergeCell ref="AV138:AV160"/>
    <mergeCell ref="AK138:AK160"/>
    <mergeCell ref="AL138:AL160"/>
    <mergeCell ref="AM138:AM160"/>
    <mergeCell ref="AN138:AN160"/>
    <mergeCell ref="AO138:AO160"/>
    <mergeCell ref="AP138:AP160"/>
    <mergeCell ref="AE138:AE160"/>
    <mergeCell ref="AF138:AF160"/>
    <mergeCell ref="AG138:AG160"/>
    <mergeCell ref="AH138:AH160"/>
    <mergeCell ref="AI138:AI160"/>
    <mergeCell ref="AJ138:AJ160"/>
    <mergeCell ref="S138:S160"/>
    <mergeCell ref="Z138:Z160"/>
    <mergeCell ref="AA138:AA160"/>
    <mergeCell ref="AB138:AB160"/>
    <mergeCell ref="AC138:AC160"/>
    <mergeCell ref="AD138:AD160"/>
    <mergeCell ref="T150:T151"/>
    <mergeCell ref="T152:T153"/>
    <mergeCell ref="T157:T158"/>
    <mergeCell ref="T159:T160"/>
    <mergeCell ref="Q138:Q160"/>
    <mergeCell ref="R138:R160"/>
    <mergeCell ref="G138:G146"/>
    <mergeCell ref="H138:H146"/>
    <mergeCell ref="I138:I146"/>
    <mergeCell ref="J138:J146"/>
    <mergeCell ref="K138:K146"/>
    <mergeCell ref="L138:L146"/>
    <mergeCell ref="BK127:BK137"/>
    <mergeCell ref="BL127:BL137"/>
    <mergeCell ref="BM127:BM137"/>
    <mergeCell ref="BN127:BN137"/>
    <mergeCell ref="BO127:BO137"/>
    <mergeCell ref="BP127:BP137"/>
    <mergeCell ref="BE127:BE137"/>
    <mergeCell ref="BF127:BF137"/>
    <mergeCell ref="BG127:BG137"/>
    <mergeCell ref="BH127:BH137"/>
    <mergeCell ref="BI127:BI137"/>
    <mergeCell ref="BJ127:BJ137"/>
    <mergeCell ref="AY127:AY137"/>
    <mergeCell ref="AZ127:AZ137"/>
    <mergeCell ref="BA127:BA137"/>
    <mergeCell ref="BB127:BB137"/>
    <mergeCell ref="BC127:BC137"/>
    <mergeCell ref="BD127:BD137"/>
    <mergeCell ref="AS127:AS137"/>
    <mergeCell ref="AT127:AT137"/>
    <mergeCell ref="AU127:AU137"/>
    <mergeCell ref="AV127:AV137"/>
    <mergeCell ref="AW127:AW137"/>
    <mergeCell ref="AU138:AU160"/>
    <mergeCell ref="AX127:AX137"/>
    <mergeCell ref="AM127:AM137"/>
    <mergeCell ref="AN127:AN137"/>
    <mergeCell ref="AO127:AO137"/>
    <mergeCell ref="AP127:AP137"/>
    <mergeCell ref="AQ127:AQ137"/>
    <mergeCell ref="AR127:AR137"/>
    <mergeCell ref="AG127:AG137"/>
    <mergeCell ref="AH127:AH137"/>
    <mergeCell ref="AI127:AI137"/>
    <mergeCell ref="AJ127:AJ137"/>
    <mergeCell ref="AK127:AK137"/>
    <mergeCell ref="AL127:AL137"/>
    <mergeCell ref="AA127:AA137"/>
    <mergeCell ref="AB127:AB137"/>
    <mergeCell ref="AC127:AC137"/>
    <mergeCell ref="AD127:AD137"/>
    <mergeCell ref="AE127:AE137"/>
    <mergeCell ref="AF127:AF137"/>
    <mergeCell ref="O127:O137"/>
    <mergeCell ref="P127:P137"/>
    <mergeCell ref="Q127:Q137"/>
    <mergeCell ref="R127:R137"/>
    <mergeCell ref="S127:S137"/>
    <mergeCell ref="Z127:Z137"/>
    <mergeCell ref="T128:T129"/>
    <mergeCell ref="T132:T133"/>
    <mergeCell ref="T134:T135"/>
    <mergeCell ref="BP118:BP126"/>
    <mergeCell ref="T124:T125"/>
    <mergeCell ref="G127:G137"/>
    <mergeCell ref="H127:H137"/>
    <mergeCell ref="I127:I137"/>
    <mergeCell ref="J127:J137"/>
    <mergeCell ref="K127:K137"/>
    <mergeCell ref="L127:L137"/>
    <mergeCell ref="M127:M137"/>
    <mergeCell ref="N127:N137"/>
    <mergeCell ref="BJ118:BJ126"/>
    <mergeCell ref="BK118:BK126"/>
    <mergeCell ref="BL118:BL126"/>
    <mergeCell ref="BM118:BM126"/>
    <mergeCell ref="BN118:BN126"/>
    <mergeCell ref="BO118:BO126"/>
    <mergeCell ref="BD118:BD126"/>
    <mergeCell ref="BE118:BE126"/>
    <mergeCell ref="BF118:BF126"/>
    <mergeCell ref="BG118:BG126"/>
    <mergeCell ref="BH118:BH126"/>
    <mergeCell ref="BI118:BI126"/>
    <mergeCell ref="AX118:AX126"/>
    <mergeCell ref="AY118:AY126"/>
    <mergeCell ref="AZ118:AZ126"/>
    <mergeCell ref="BA118:BA126"/>
    <mergeCell ref="BB118:BB126"/>
    <mergeCell ref="BC118:BC126"/>
    <mergeCell ref="AR118:AR126"/>
    <mergeCell ref="AS118:AS126"/>
    <mergeCell ref="AT118:AT126"/>
    <mergeCell ref="AU118:AU126"/>
    <mergeCell ref="AV118:AV126"/>
    <mergeCell ref="AW118:AW126"/>
    <mergeCell ref="AL118:AL126"/>
    <mergeCell ref="AM118:AM126"/>
    <mergeCell ref="AN118:AN126"/>
    <mergeCell ref="AO118:AO126"/>
    <mergeCell ref="AP118:AP126"/>
    <mergeCell ref="AQ118:AQ126"/>
    <mergeCell ref="AF118:AF126"/>
    <mergeCell ref="AG118:AG126"/>
    <mergeCell ref="AH118:AH126"/>
    <mergeCell ref="AI118:AI126"/>
    <mergeCell ref="AJ118:AJ126"/>
    <mergeCell ref="AK118:AK126"/>
    <mergeCell ref="Z118:Z126"/>
    <mergeCell ref="AA118:AA126"/>
    <mergeCell ref="AB118:AB126"/>
    <mergeCell ref="AC118:AC126"/>
    <mergeCell ref="AD118:AD126"/>
    <mergeCell ref="AE118:AE126"/>
    <mergeCell ref="O118:O126"/>
    <mergeCell ref="P118:P126"/>
    <mergeCell ref="Q118:Q126"/>
    <mergeCell ref="R118:R126"/>
    <mergeCell ref="S118:S126"/>
    <mergeCell ref="T118:T119"/>
    <mergeCell ref="BO116:BO117"/>
    <mergeCell ref="BP116:BP117"/>
    <mergeCell ref="G118:G126"/>
    <mergeCell ref="H118:H126"/>
    <mergeCell ref="I118:I126"/>
    <mergeCell ref="J118:J126"/>
    <mergeCell ref="K118:K126"/>
    <mergeCell ref="L118:L126"/>
    <mergeCell ref="M118:M126"/>
    <mergeCell ref="N118:N126"/>
    <mergeCell ref="BI116:BI117"/>
    <mergeCell ref="BJ116:BJ117"/>
    <mergeCell ref="BK116:BK117"/>
    <mergeCell ref="BL116:BL117"/>
    <mergeCell ref="BM116:BM117"/>
    <mergeCell ref="BN116:BN117"/>
    <mergeCell ref="BC116:BC117"/>
    <mergeCell ref="BD116:BD117"/>
    <mergeCell ref="BE116:BE117"/>
    <mergeCell ref="BF116:BF117"/>
    <mergeCell ref="BG116:BG117"/>
    <mergeCell ref="BH116:BH117"/>
    <mergeCell ref="AW116:AW117"/>
    <mergeCell ref="AX116:AX117"/>
    <mergeCell ref="AY116:AY117"/>
    <mergeCell ref="AZ116:AZ117"/>
    <mergeCell ref="BA116:BA117"/>
    <mergeCell ref="BB116:BB117"/>
    <mergeCell ref="AQ116:AQ117"/>
    <mergeCell ref="AR116:AR117"/>
    <mergeCell ref="AS116:AS117"/>
    <mergeCell ref="AT116:AT117"/>
    <mergeCell ref="AU116:AU117"/>
    <mergeCell ref="AV116:AV117"/>
    <mergeCell ref="AK116:AK117"/>
    <mergeCell ref="AL116:AL117"/>
    <mergeCell ref="AM116:AM117"/>
    <mergeCell ref="AN116:AN117"/>
    <mergeCell ref="AO116:AO117"/>
    <mergeCell ref="AP116:AP117"/>
    <mergeCell ref="AE116:AE117"/>
    <mergeCell ref="AF116:AF117"/>
    <mergeCell ref="AG116:AG117"/>
    <mergeCell ref="AH116:AH117"/>
    <mergeCell ref="AI116:AI117"/>
    <mergeCell ref="AJ116:AJ117"/>
    <mergeCell ref="S116:S117"/>
    <mergeCell ref="Z116:Z117"/>
    <mergeCell ref="AA116:AA117"/>
    <mergeCell ref="AB116:AB117"/>
    <mergeCell ref="AC116:AC117"/>
    <mergeCell ref="AD116:AD117"/>
    <mergeCell ref="M116:M117"/>
    <mergeCell ref="N116:N117"/>
    <mergeCell ref="O116:O117"/>
    <mergeCell ref="P116:P117"/>
    <mergeCell ref="Q116:Q117"/>
    <mergeCell ref="R116:R117"/>
    <mergeCell ref="G116:G117"/>
    <mergeCell ref="H116:H117"/>
    <mergeCell ref="I116:I117"/>
    <mergeCell ref="J116:J117"/>
    <mergeCell ref="K116:K117"/>
    <mergeCell ref="L116:L117"/>
    <mergeCell ref="BM108:BM115"/>
    <mergeCell ref="BN108:BN115"/>
    <mergeCell ref="BO108:BO115"/>
    <mergeCell ref="BP108:BP115"/>
    <mergeCell ref="J110:J115"/>
    <mergeCell ref="K110:K115"/>
    <mergeCell ref="L110:L115"/>
    <mergeCell ref="T110:T111"/>
    <mergeCell ref="T112:T113"/>
    <mergeCell ref="T114:T115"/>
    <mergeCell ref="BG108:BG115"/>
    <mergeCell ref="BH108:BH115"/>
    <mergeCell ref="BI108:BI115"/>
    <mergeCell ref="BJ108:BJ115"/>
    <mergeCell ref="BK108:BK115"/>
    <mergeCell ref="BL108:BL115"/>
    <mergeCell ref="BA108:BA115"/>
    <mergeCell ref="BB108:BB115"/>
    <mergeCell ref="BC108:BC115"/>
    <mergeCell ref="BD108:BD115"/>
    <mergeCell ref="BE108:BE115"/>
    <mergeCell ref="BF108:BF115"/>
    <mergeCell ref="AU108:AU115"/>
    <mergeCell ref="AV108:AV115"/>
    <mergeCell ref="AW108:AW115"/>
    <mergeCell ref="AX108:AX115"/>
    <mergeCell ref="AY108:AY115"/>
    <mergeCell ref="AZ108:AZ115"/>
    <mergeCell ref="AO108:AO115"/>
    <mergeCell ref="AP108:AP115"/>
    <mergeCell ref="AQ108:AQ115"/>
    <mergeCell ref="AR108:AR115"/>
    <mergeCell ref="AS108:AS115"/>
    <mergeCell ref="AT108:AT115"/>
    <mergeCell ref="AI108:AI115"/>
    <mergeCell ref="AJ108:AJ115"/>
    <mergeCell ref="AK108:AK115"/>
    <mergeCell ref="AL108:AL115"/>
    <mergeCell ref="AM108:AM115"/>
    <mergeCell ref="AN108:AN115"/>
    <mergeCell ref="AC108:AC115"/>
    <mergeCell ref="AD108:AD115"/>
    <mergeCell ref="AE108:AE115"/>
    <mergeCell ref="AF108:AF115"/>
    <mergeCell ref="AG108:AG115"/>
    <mergeCell ref="AH108:AH115"/>
    <mergeCell ref="R108:R115"/>
    <mergeCell ref="S108:S115"/>
    <mergeCell ref="T108:T109"/>
    <mergeCell ref="Z108:Z115"/>
    <mergeCell ref="AA108:AA115"/>
    <mergeCell ref="AB108:AB115"/>
    <mergeCell ref="L108:L109"/>
    <mergeCell ref="M108:M115"/>
    <mergeCell ref="N108:N115"/>
    <mergeCell ref="O108:O115"/>
    <mergeCell ref="P108:P115"/>
    <mergeCell ref="Q108:Q115"/>
    <mergeCell ref="BL102:BL106"/>
    <mergeCell ref="BM102:BM106"/>
    <mergeCell ref="BN102:BN106"/>
    <mergeCell ref="BO102:BO106"/>
    <mergeCell ref="BP102:BP106"/>
    <mergeCell ref="G108:G115"/>
    <mergeCell ref="H108:H115"/>
    <mergeCell ref="I108:I115"/>
    <mergeCell ref="J108:J109"/>
    <mergeCell ref="K108:K109"/>
    <mergeCell ref="BF102:BF106"/>
    <mergeCell ref="BG102:BG106"/>
    <mergeCell ref="BH102:BH106"/>
    <mergeCell ref="BI102:BI106"/>
    <mergeCell ref="BJ102:BJ106"/>
    <mergeCell ref="BK102:BK106"/>
    <mergeCell ref="AZ102:AZ106"/>
    <mergeCell ref="BA102:BA106"/>
    <mergeCell ref="BB102:BB106"/>
    <mergeCell ref="BC102:BC106"/>
    <mergeCell ref="BD102:BD106"/>
    <mergeCell ref="BE102:BE106"/>
    <mergeCell ref="AT102:AT106"/>
    <mergeCell ref="AU102:AU106"/>
    <mergeCell ref="AV102:AV106"/>
    <mergeCell ref="AW102:AW106"/>
    <mergeCell ref="AX102:AX106"/>
    <mergeCell ref="AY102:AY106"/>
    <mergeCell ref="AN102:AN106"/>
    <mergeCell ref="AO102:AO106"/>
    <mergeCell ref="AP102:AP106"/>
    <mergeCell ref="AQ102:AQ106"/>
    <mergeCell ref="AR102:AR106"/>
    <mergeCell ref="AS102:AS106"/>
    <mergeCell ref="AH102:AH106"/>
    <mergeCell ref="AI102:AI106"/>
    <mergeCell ref="AJ102:AJ106"/>
    <mergeCell ref="AK102:AK106"/>
    <mergeCell ref="AL102:AL106"/>
    <mergeCell ref="AM102:AM106"/>
    <mergeCell ref="AB102:AB106"/>
    <mergeCell ref="AC102:AC106"/>
    <mergeCell ref="AD102:AD106"/>
    <mergeCell ref="AE102:AE106"/>
    <mergeCell ref="AF102:AF106"/>
    <mergeCell ref="AG102:AG106"/>
    <mergeCell ref="P102:P106"/>
    <mergeCell ref="Q102:Q106"/>
    <mergeCell ref="R102:R106"/>
    <mergeCell ref="S102:S106"/>
    <mergeCell ref="Z102:Z106"/>
    <mergeCell ref="AA102:AA106"/>
    <mergeCell ref="J102:J106"/>
    <mergeCell ref="K102:K106"/>
    <mergeCell ref="L102:L106"/>
    <mergeCell ref="M102:M106"/>
    <mergeCell ref="N102:N106"/>
    <mergeCell ref="O102:O106"/>
    <mergeCell ref="D102:D106"/>
    <mergeCell ref="E102:E106"/>
    <mergeCell ref="F102:F106"/>
    <mergeCell ref="G102:G106"/>
    <mergeCell ref="H102:H106"/>
    <mergeCell ref="I102:I106"/>
    <mergeCell ref="BO97:BO101"/>
    <mergeCell ref="BP97:BP101"/>
    <mergeCell ref="G99:G101"/>
    <mergeCell ref="H99:H101"/>
    <mergeCell ref="I99:I101"/>
    <mergeCell ref="J99:J101"/>
    <mergeCell ref="K99:K101"/>
    <mergeCell ref="L99:L101"/>
    <mergeCell ref="P99:P101"/>
    <mergeCell ref="BI97:BI101"/>
    <mergeCell ref="BJ97:BJ101"/>
    <mergeCell ref="BK97:BK101"/>
    <mergeCell ref="BL97:BL101"/>
    <mergeCell ref="BM97:BM101"/>
    <mergeCell ref="BN97:BN101"/>
    <mergeCell ref="BC97:BC101"/>
    <mergeCell ref="BD97:BD101"/>
    <mergeCell ref="BE97:BE101"/>
    <mergeCell ref="BF97:BF101"/>
    <mergeCell ref="BG97:BG101"/>
    <mergeCell ref="BH97:BH101"/>
    <mergeCell ref="AW97:AW101"/>
    <mergeCell ref="AX97:AX101"/>
    <mergeCell ref="AY97:AY101"/>
    <mergeCell ref="AZ97:AZ101"/>
    <mergeCell ref="BA97:BA101"/>
    <mergeCell ref="BB97:BB101"/>
    <mergeCell ref="AQ97:AQ101"/>
    <mergeCell ref="AR97:AR101"/>
    <mergeCell ref="AS97:AS101"/>
    <mergeCell ref="AT97:AT101"/>
    <mergeCell ref="AU97:AU101"/>
    <mergeCell ref="AV97:AV101"/>
    <mergeCell ref="AK97:AK101"/>
    <mergeCell ref="AL97:AL101"/>
    <mergeCell ref="AM97:AM101"/>
    <mergeCell ref="AN97:AN101"/>
    <mergeCell ref="AO97:AO101"/>
    <mergeCell ref="AP97:AP101"/>
    <mergeCell ref="AE97:AE101"/>
    <mergeCell ref="AF97:AF101"/>
    <mergeCell ref="AG97:AG101"/>
    <mergeCell ref="AH97:AH101"/>
    <mergeCell ref="AI97:AI101"/>
    <mergeCell ref="AJ97:AJ101"/>
    <mergeCell ref="S97:S101"/>
    <mergeCell ref="Z97:Z101"/>
    <mergeCell ref="AA97:AA101"/>
    <mergeCell ref="AB97:AB101"/>
    <mergeCell ref="AC97:AC101"/>
    <mergeCell ref="AD97:AD101"/>
    <mergeCell ref="M97:M101"/>
    <mergeCell ref="N97:N101"/>
    <mergeCell ref="O97:O101"/>
    <mergeCell ref="P97:P98"/>
    <mergeCell ref="Q97:Q101"/>
    <mergeCell ref="R97:R101"/>
    <mergeCell ref="BM94:BM96"/>
    <mergeCell ref="BN94:BN96"/>
    <mergeCell ref="BO94:BO96"/>
    <mergeCell ref="BP94:BP96"/>
    <mergeCell ref="G97:G98"/>
    <mergeCell ref="H97:H98"/>
    <mergeCell ref="I97:I98"/>
    <mergeCell ref="J97:J98"/>
    <mergeCell ref="K97:K98"/>
    <mergeCell ref="L97:L98"/>
    <mergeCell ref="BG94:BG96"/>
    <mergeCell ref="BH94:BH96"/>
    <mergeCell ref="BI94:BI96"/>
    <mergeCell ref="BJ94:BJ96"/>
    <mergeCell ref="BK94:BK96"/>
    <mergeCell ref="BL94:BL96"/>
    <mergeCell ref="BA94:BA96"/>
    <mergeCell ref="BB94:BB96"/>
    <mergeCell ref="BC94:BC96"/>
    <mergeCell ref="BD94:BD96"/>
    <mergeCell ref="BE94:BE96"/>
    <mergeCell ref="BF94:BF96"/>
    <mergeCell ref="AU94:AU96"/>
    <mergeCell ref="AV94:AV96"/>
    <mergeCell ref="AW94:AW96"/>
    <mergeCell ref="AX94:AX96"/>
    <mergeCell ref="AY94:AY96"/>
    <mergeCell ref="AZ94:AZ96"/>
    <mergeCell ref="AO94:AO96"/>
    <mergeCell ref="AP94:AP96"/>
    <mergeCell ref="AQ94:AQ96"/>
    <mergeCell ref="AR94:AR96"/>
    <mergeCell ref="AS94:AS96"/>
    <mergeCell ref="AT94:AT96"/>
    <mergeCell ref="AI94:AI96"/>
    <mergeCell ref="AJ94:AJ96"/>
    <mergeCell ref="AK94:AK96"/>
    <mergeCell ref="AL94:AL96"/>
    <mergeCell ref="AM94:AM96"/>
    <mergeCell ref="AN94:AN96"/>
    <mergeCell ref="AC94:AC96"/>
    <mergeCell ref="AD94:AD96"/>
    <mergeCell ref="AE94:AE96"/>
    <mergeCell ref="AF94:AF96"/>
    <mergeCell ref="AG94:AG96"/>
    <mergeCell ref="AH94:AH96"/>
    <mergeCell ref="R94:R96"/>
    <mergeCell ref="S94:S96"/>
    <mergeCell ref="T94:T95"/>
    <mergeCell ref="Z94:Z96"/>
    <mergeCell ref="AA94:AA96"/>
    <mergeCell ref="AB94:AB96"/>
    <mergeCell ref="L94:L96"/>
    <mergeCell ref="M94:M96"/>
    <mergeCell ref="N94:N96"/>
    <mergeCell ref="O94:O96"/>
    <mergeCell ref="P94:P96"/>
    <mergeCell ref="Q94:Q96"/>
    <mergeCell ref="BL92:BL93"/>
    <mergeCell ref="BM92:BM93"/>
    <mergeCell ref="BN92:BN93"/>
    <mergeCell ref="BO92:BO93"/>
    <mergeCell ref="BP92:BP93"/>
    <mergeCell ref="G94:G96"/>
    <mergeCell ref="H94:H96"/>
    <mergeCell ref="I94:I96"/>
    <mergeCell ref="J94:J96"/>
    <mergeCell ref="K94:K96"/>
    <mergeCell ref="BF92:BF93"/>
    <mergeCell ref="BG92:BG93"/>
    <mergeCell ref="BH92:BH93"/>
    <mergeCell ref="BI92:BI93"/>
    <mergeCell ref="BJ92:BJ93"/>
    <mergeCell ref="BK92:BK93"/>
    <mergeCell ref="AZ92:AZ93"/>
    <mergeCell ref="BA92:BA93"/>
    <mergeCell ref="BB92:BB93"/>
    <mergeCell ref="BC92:BC93"/>
    <mergeCell ref="BD92:BD93"/>
    <mergeCell ref="BE92:BE93"/>
    <mergeCell ref="AT92:AT93"/>
    <mergeCell ref="AU92:AU93"/>
    <mergeCell ref="AV92:AV93"/>
    <mergeCell ref="AW92:AW93"/>
    <mergeCell ref="AX92:AX93"/>
    <mergeCell ref="AY92:AY93"/>
    <mergeCell ref="AN92:AN93"/>
    <mergeCell ref="AO92:AO93"/>
    <mergeCell ref="AP92:AP93"/>
    <mergeCell ref="AQ92:AQ93"/>
    <mergeCell ref="AR92:AR93"/>
    <mergeCell ref="AS92:AS93"/>
    <mergeCell ref="AH92:AH93"/>
    <mergeCell ref="AI92:AI93"/>
    <mergeCell ref="AJ92:AJ93"/>
    <mergeCell ref="AK92:AK93"/>
    <mergeCell ref="AL92:AL93"/>
    <mergeCell ref="AM92:AM93"/>
    <mergeCell ref="AB92:AB93"/>
    <mergeCell ref="AC92:AC93"/>
    <mergeCell ref="AD92:AD93"/>
    <mergeCell ref="AE92:AE93"/>
    <mergeCell ref="AF92:AF93"/>
    <mergeCell ref="AG92:AG93"/>
    <mergeCell ref="P92:P93"/>
    <mergeCell ref="Q92:Q93"/>
    <mergeCell ref="R92:R93"/>
    <mergeCell ref="S92:S93"/>
    <mergeCell ref="Z92:Z93"/>
    <mergeCell ref="AA92:AA93"/>
    <mergeCell ref="J92:J93"/>
    <mergeCell ref="K92:K93"/>
    <mergeCell ref="L92:L93"/>
    <mergeCell ref="M92:M93"/>
    <mergeCell ref="N92:N93"/>
    <mergeCell ref="O92:O93"/>
    <mergeCell ref="BN88:BN91"/>
    <mergeCell ref="BO88:BO91"/>
    <mergeCell ref="BP88:BP91"/>
    <mergeCell ref="C92:C93"/>
    <mergeCell ref="D92:D93"/>
    <mergeCell ref="E92:E93"/>
    <mergeCell ref="F92:F93"/>
    <mergeCell ref="G92:G93"/>
    <mergeCell ref="H92:H93"/>
    <mergeCell ref="I92:I93"/>
    <mergeCell ref="BH88:BH91"/>
    <mergeCell ref="BI88:BI91"/>
    <mergeCell ref="BJ88:BJ91"/>
    <mergeCell ref="BK88:BK91"/>
    <mergeCell ref="BL88:BL91"/>
    <mergeCell ref="BM88:BM91"/>
    <mergeCell ref="BB88:BB91"/>
    <mergeCell ref="BC88:BC91"/>
    <mergeCell ref="BD88:BD91"/>
    <mergeCell ref="BE88:BE91"/>
    <mergeCell ref="BF88:BF91"/>
    <mergeCell ref="BG88:BG91"/>
    <mergeCell ref="AV88:AV91"/>
    <mergeCell ref="AW88:AW91"/>
    <mergeCell ref="AX88:AX91"/>
    <mergeCell ref="AY88:AY91"/>
    <mergeCell ref="AZ88:AZ91"/>
    <mergeCell ref="BA88:BA91"/>
    <mergeCell ref="AP88:AP91"/>
    <mergeCell ref="AQ88:AQ91"/>
    <mergeCell ref="AR88:AR91"/>
    <mergeCell ref="AS88:AS91"/>
    <mergeCell ref="AT88:AT91"/>
    <mergeCell ref="AU88:AU91"/>
    <mergeCell ref="AJ88:AJ91"/>
    <mergeCell ref="AK88:AK91"/>
    <mergeCell ref="AL88:AL91"/>
    <mergeCell ref="AM88:AM91"/>
    <mergeCell ref="AN88:AN91"/>
    <mergeCell ref="AO88:AO91"/>
    <mergeCell ref="AD88:AD91"/>
    <mergeCell ref="AE88:AE91"/>
    <mergeCell ref="AF88:AF91"/>
    <mergeCell ref="AG88:AG91"/>
    <mergeCell ref="AH88:AH91"/>
    <mergeCell ref="AI88:AI91"/>
    <mergeCell ref="R88:R91"/>
    <mergeCell ref="S88:S91"/>
    <mergeCell ref="Z88:Z91"/>
    <mergeCell ref="AA88:AA91"/>
    <mergeCell ref="AB88:AB91"/>
    <mergeCell ref="AC88:AC91"/>
    <mergeCell ref="L88:L91"/>
    <mergeCell ref="M88:M91"/>
    <mergeCell ref="N88:N91"/>
    <mergeCell ref="O88:O91"/>
    <mergeCell ref="P88:P91"/>
    <mergeCell ref="Q88:Q91"/>
    <mergeCell ref="BL82:BL85"/>
    <mergeCell ref="BM82:BM85"/>
    <mergeCell ref="BN82:BN85"/>
    <mergeCell ref="BO82:BO85"/>
    <mergeCell ref="BP82:BP85"/>
    <mergeCell ref="G88:G91"/>
    <mergeCell ref="H88:H91"/>
    <mergeCell ref="I88:I91"/>
    <mergeCell ref="J88:J91"/>
    <mergeCell ref="K88:K91"/>
    <mergeCell ref="BF82:BF85"/>
    <mergeCell ref="BG82:BG85"/>
    <mergeCell ref="BH82:BH85"/>
    <mergeCell ref="BI82:BI85"/>
    <mergeCell ref="BJ82:BJ85"/>
    <mergeCell ref="BK82:BK85"/>
    <mergeCell ref="AZ82:AZ85"/>
    <mergeCell ref="BA82:BA85"/>
    <mergeCell ref="BB82:BB85"/>
    <mergeCell ref="BC82:BC85"/>
    <mergeCell ref="BD82:BD85"/>
    <mergeCell ref="BE82:BE85"/>
    <mergeCell ref="AT82:AT85"/>
    <mergeCell ref="AU82:AU85"/>
    <mergeCell ref="AV82:AV85"/>
    <mergeCell ref="AW82:AW85"/>
    <mergeCell ref="AX82:AX85"/>
    <mergeCell ref="AY82:AY85"/>
    <mergeCell ref="AN82:AN85"/>
    <mergeCell ref="AO82:AO85"/>
    <mergeCell ref="AP82:AP85"/>
    <mergeCell ref="AQ82:AQ85"/>
    <mergeCell ref="AR82:AR85"/>
    <mergeCell ref="AS82:AS85"/>
    <mergeCell ref="AH82:AH85"/>
    <mergeCell ref="AI82:AI85"/>
    <mergeCell ref="AJ82:AJ85"/>
    <mergeCell ref="AK82:AK85"/>
    <mergeCell ref="AL82:AL85"/>
    <mergeCell ref="AM82:AM85"/>
    <mergeCell ref="AB82:AB85"/>
    <mergeCell ref="AC82:AC85"/>
    <mergeCell ref="AD82:AD85"/>
    <mergeCell ref="AE82:AE85"/>
    <mergeCell ref="AF82:AF85"/>
    <mergeCell ref="AG82:AG85"/>
    <mergeCell ref="P82:P85"/>
    <mergeCell ref="Q82:Q85"/>
    <mergeCell ref="R82:R85"/>
    <mergeCell ref="S82:S85"/>
    <mergeCell ref="Z82:Z85"/>
    <mergeCell ref="AA82:AA85"/>
    <mergeCell ref="J82:J85"/>
    <mergeCell ref="K82:K85"/>
    <mergeCell ref="L82:L85"/>
    <mergeCell ref="M82:M85"/>
    <mergeCell ref="N82:N85"/>
    <mergeCell ref="O82:O85"/>
    <mergeCell ref="D82:D85"/>
    <mergeCell ref="E82:E85"/>
    <mergeCell ref="F82:F85"/>
    <mergeCell ref="G82:G85"/>
    <mergeCell ref="H82:H85"/>
    <mergeCell ref="I82:I85"/>
    <mergeCell ref="BK76:BK81"/>
    <mergeCell ref="BL76:BL81"/>
    <mergeCell ref="BM76:BM81"/>
    <mergeCell ref="BN76:BN81"/>
    <mergeCell ref="BO76:BO81"/>
    <mergeCell ref="AM76:AM81"/>
    <mergeCell ref="AN76:AN81"/>
    <mergeCell ref="AO76:AO81"/>
    <mergeCell ref="AP76:AP81"/>
    <mergeCell ref="AQ76:AQ81"/>
    <mergeCell ref="AR76:AR81"/>
    <mergeCell ref="AG76:AG81"/>
    <mergeCell ref="AH76:AH81"/>
    <mergeCell ref="AI76:AI81"/>
    <mergeCell ref="AJ76:AJ81"/>
    <mergeCell ref="AK76:AK81"/>
    <mergeCell ref="AL76:AL81"/>
    <mergeCell ref="AA76:AA81"/>
    <mergeCell ref="AB76:AB81"/>
    <mergeCell ref="AC76:AC81"/>
    <mergeCell ref="BP76:BP81"/>
    <mergeCell ref="BE76:BE81"/>
    <mergeCell ref="BF76:BF81"/>
    <mergeCell ref="BG76:BG81"/>
    <mergeCell ref="BH76:BH81"/>
    <mergeCell ref="BI76:BI81"/>
    <mergeCell ref="BJ76:BJ81"/>
    <mergeCell ref="AY76:AY81"/>
    <mergeCell ref="AZ76:AZ81"/>
    <mergeCell ref="BA76:BA81"/>
    <mergeCell ref="BB76:BB81"/>
    <mergeCell ref="BC76:BC81"/>
    <mergeCell ref="BD76:BD81"/>
    <mergeCell ref="AS76:AS81"/>
    <mergeCell ref="AT76:AT81"/>
    <mergeCell ref="AU76:AU81"/>
    <mergeCell ref="AV76:AV81"/>
    <mergeCell ref="AW76:AW81"/>
    <mergeCell ref="AX76:AX81"/>
    <mergeCell ref="AD76:AD81"/>
    <mergeCell ref="AE76:AE81"/>
    <mergeCell ref="AF76:AF81"/>
    <mergeCell ref="O76:O81"/>
    <mergeCell ref="P76:P81"/>
    <mergeCell ref="Q76:Q81"/>
    <mergeCell ref="R76:R81"/>
    <mergeCell ref="S76:S81"/>
    <mergeCell ref="Z76:Z81"/>
    <mergeCell ref="T80:T81"/>
    <mergeCell ref="I76:I81"/>
    <mergeCell ref="J76:J81"/>
    <mergeCell ref="K76:K81"/>
    <mergeCell ref="L76:L81"/>
    <mergeCell ref="M76:M81"/>
    <mergeCell ref="N76:N81"/>
    <mergeCell ref="BL73:BL75"/>
    <mergeCell ref="AS73:AS75"/>
    <mergeCell ref="AH73:AH75"/>
    <mergeCell ref="AI73:AI75"/>
    <mergeCell ref="AJ73:AJ75"/>
    <mergeCell ref="AK73:AK75"/>
    <mergeCell ref="AL73:AL75"/>
    <mergeCell ref="AM73:AM75"/>
    <mergeCell ref="AB73:AB75"/>
    <mergeCell ref="AC73:AC75"/>
    <mergeCell ref="AD73:AD75"/>
    <mergeCell ref="AE73:AE75"/>
    <mergeCell ref="AF73:AF75"/>
    <mergeCell ref="AG73:AG75"/>
    <mergeCell ref="P73:P75"/>
    <mergeCell ref="Q73:Q75"/>
    <mergeCell ref="BM73:BM75"/>
    <mergeCell ref="BN73:BN75"/>
    <mergeCell ref="BO73:BO75"/>
    <mergeCell ref="BP73:BP75"/>
    <mergeCell ref="D76:D79"/>
    <mergeCell ref="E76:E79"/>
    <mergeCell ref="F76:F79"/>
    <mergeCell ref="G76:G81"/>
    <mergeCell ref="H76:H81"/>
    <mergeCell ref="BF73:BF75"/>
    <mergeCell ref="BG73:BG75"/>
    <mergeCell ref="BH73:BH75"/>
    <mergeCell ref="BI73:BI75"/>
    <mergeCell ref="BJ73:BJ75"/>
    <mergeCell ref="BK73:BK75"/>
    <mergeCell ref="AZ73:AZ75"/>
    <mergeCell ref="BA73:BA75"/>
    <mergeCell ref="BB73:BB75"/>
    <mergeCell ref="BC73:BC75"/>
    <mergeCell ref="BD73:BD75"/>
    <mergeCell ref="BE73:BE75"/>
    <mergeCell ref="AT73:AT75"/>
    <mergeCell ref="AU73:AU75"/>
    <mergeCell ref="AV73:AV75"/>
    <mergeCell ref="AW73:AW75"/>
    <mergeCell ref="AX73:AX75"/>
    <mergeCell ref="AY73:AY75"/>
    <mergeCell ref="AN73:AN75"/>
    <mergeCell ref="AO73:AO75"/>
    <mergeCell ref="AP73:AP75"/>
    <mergeCell ref="AQ73:AQ75"/>
    <mergeCell ref="AR73:AR75"/>
    <mergeCell ref="R73:R75"/>
    <mergeCell ref="S73:S75"/>
    <mergeCell ref="Z73:Z75"/>
    <mergeCell ref="AA73:AA75"/>
    <mergeCell ref="BP62:BP72"/>
    <mergeCell ref="G73:G75"/>
    <mergeCell ref="H73:H75"/>
    <mergeCell ref="I73:I75"/>
    <mergeCell ref="J73:J75"/>
    <mergeCell ref="K73:K75"/>
    <mergeCell ref="L73:L75"/>
    <mergeCell ref="M73:M75"/>
    <mergeCell ref="N73:N75"/>
    <mergeCell ref="O73:O75"/>
    <mergeCell ref="BJ62:BJ72"/>
    <mergeCell ref="BK62:BK72"/>
    <mergeCell ref="BL62:BL72"/>
    <mergeCell ref="BM62:BM72"/>
    <mergeCell ref="BN62:BN72"/>
    <mergeCell ref="BO62:BO72"/>
    <mergeCell ref="BD62:BD72"/>
    <mergeCell ref="BE62:BE72"/>
    <mergeCell ref="BF62:BF72"/>
    <mergeCell ref="BG62:BG72"/>
    <mergeCell ref="BH62:BH72"/>
    <mergeCell ref="BI62:BI72"/>
    <mergeCell ref="AX62:AX72"/>
    <mergeCell ref="AY62:AY72"/>
    <mergeCell ref="AZ62:AZ72"/>
    <mergeCell ref="BA62:BA72"/>
    <mergeCell ref="BB62:BB72"/>
    <mergeCell ref="BC62:BC72"/>
    <mergeCell ref="AR62:AR72"/>
    <mergeCell ref="AS62:AS72"/>
    <mergeCell ref="AT62:AT72"/>
    <mergeCell ref="AU62:AU72"/>
    <mergeCell ref="AV62:AV72"/>
    <mergeCell ref="AW62:AW72"/>
    <mergeCell ref="AL62:AL72"/>
    <mergeCell ref="AM62:AM72"/>
    <mergeCell ref="AN62:AN72"/>
    <mergeCell ref="AO62:AO72"/>
    <mergeCell ref="AP62:AP72"/>
    <mergeCell ref="AQ62:AQ72"/>
    <mergeCell ref="AF62:AF72"/>
    <mergeCell ref="AG62:AG72"/>
    <mergeCell ref="AH62:AH72"/>
    <mergeCell ref="AI62:AI72"/>
    <mergeCell ref="AJ62:AJ72"/>
    <mergeCell ref="AK62:AK72"/>
    <mergeCell ref="Z62:Z72"/>
    <mergeCell ref="AA62:AA72"/>
    <mergeCell ref="AB62:AB72"/>
    <mergeCell ref="AC62:AC72"/>
    <mergeCell ref="AD62:AD72"/>
    <mergeCell ref="AE62:AE72"/>
    <mergeCell ref="N62:N72"/>
    <mergeCell ref="O62:O72"/>
    <mergeCell ref="P62:P72"/>
    <mergeCell ref="Q62:Q72"/>
    <mergeCell ref="R62:R72"/>
    <mergeCell ref="S62:S72"/>
    <mergeCell ref="BO48:BO61"/>
    <mergeCell ref="BP48:BP61"/>
    <mergeCell ref="T51:T52"/>
    <mergeCell ref="G62:G72"/>
    <mergeCell ref="H62:H72"/>
    <mergeCell ref="I62:I72"/>
    <mergeCell ref="J62:J72"/>
    <mergeCell ref="K62:K72"/>
    <mergeCell ref="L62:L72"/>
    <mergeCell ref="M62:M72"/>
    <mergeCell ref="BI48:BI61"/>
    <mergeCell ref="BJ48:BJ61"/>
    <mergeCell ref="BK48:BK61"/>
    <mergeCell ref="BL48:BL61"/>
    <mergeCell ref="BM48:BM61"/>
    <mergeCell ref="BN48:BN61"/>
    <mergeCell ref="BC48:BC61"/>
    <mergeCell ref="BD48:BD61"/>
    <mergeCell ref="BE48:BE61"/>
    <mergeCell ref="BF48:BF61"/>
    <mergeCell ref="BG48:BG61"/>
    <mergeCell ref="BH48:BH61"/>
    <mergeCell ref="AW48:AW61"/>
    <mergeCell ref="AX48:AX61"/>
    <mergeCell ref="AY48:AY61"/>
    <mergeCell ref="AZ48:AZ61"/>
    <mergeCell ref="BA48:BA61"/>
    <mergeCell ref="BB48:BB61"/>
    <mergeCell ref="AQ48:AQ61"/>
    <mergeCell ref="AR48:AR61"/>
    <mergeCell ref="AS48:AS61"/>
    <mergeCell ref="AT48:AT61"/>
    <mergeCell ref="AU48:AU61"/>
    <mergeCell ref="AV48:AV61"/>
    <mergeCell ref="AK48:AK61"/>
    <mergeCell ref="AL48:AL61"/>
    <mergeCell ref="AM48:AM61"/>
    <mergeCell ref="AN48:AN61"/>
    <mergeCell ref="AO48:AO61"/>
    <mergeCell ref="AP48:AP61"/>
    <mergeCell ref="AE48:AE61"/>
    <mergeCell ref="AF48:AF61"/>
    <mergeCell ref="AG48:AG61"/>
    <mergeCell ref="AH48:AH61"/>
    <mergeCell ref="AI48:AI61"/>
    <mergeCell ref="AJ48:AJ61"/>
    <mergeCell ref="S48:S61"/>
    <mergeCell ref="Z48:Z61"/>
    <mergeCell ref="AA48:AA61"/>
    <mergeCell ref="AB48:AB61"/>
    <mergeCell ref="AC48:AC61"/>
    <mergeCell ref="AD48:AD61"/>
    <mergeCell ref="M48:M61"/>
    <mergeCell ref="N48:N61"/>
    <mergeCell ref="O48:O61"/>
    <mergeCell ref="P48:P61"/>
    <mergeCell ref="Q48:Q61"/>
    <mergeCell ref="R48:R61"/>
    <mergeCell ref="G48:G61"/>
    <mergeCell ref="H48:H61"/>
    <mergeCell ref="I48:I61"/>
    <mergeCell ref="J48:J61"/>
    <mergeCell ref="K48:K61"/>
    <mergeCell ref="L48:L61"/>
    <mergeCell ref="BK39:BK47"/>
    <mergeCell ref="BL39:BL47"/>
    <mergeCell ref="BM39:BM47"/>
    <mergeCell ref="BN39:BN47"/>
    <mergeCell ref="BO39:BO47"/>
    <mergeCell ref="BP39:BP47"/>
    <mergeCell ref="BE39:BE47"/>
    <mergeCell ref="BF39:BF47"/>
    <mergeCell ref="BG39:BG47"/>
    <mergeCell ref="BH39:BH47"/>
    <mergeCell ref="BI39:BI47"/>
    <mergeCell ref="BJ39:BJ47"/>
    <mergeCell ref="AY39:AY47"/>
    <mergeCell ref="AZ39:AZ47"/>
    <mergeCell ref="BA39:BA47"/>
    <mergeCell ref="BB39:BB47"/>
    <mergeCell ref="BC39:BC47"/>
    <mergeCell ref="BD39:BD47"/>
    <mergeCell ref="AS39:AS47"/>
    <mergeCell ref="AT39:AT47"/>
    <mergeCell ref="AU39:AU47"/>
    <mergeCell ref="AV39:AV47"/>
    <mergeCell ref="AW39:AW47"/>
    <mergeCell ref="AX39:AX47"/>
    <mergeCell ref="AM39:AM47"/>
    <mergeCell ref="AN39:AN47"/>
    <mergeCell ref="AO39:AO47"/>
    <mergeCell ref="AP39:AP47"/>
    <mergeCell ref="AQ39:AQ47"/>
    <mergeCell ref="AR39:AR47"/>
    <mergeCell ref="AG39:AG47"/>
    <mergeCell ref="AH39:AH47"/>
    <mergeCell ref="AI39:AI47"/>
    <mergeCell ref="AJ39:AJ47"/>
    <mergeCell ref="AK39:AK47"/>
    <mergeCell ref="AL39:AL47"/>
    <mergeCell ref="AA39:AA47"/>
    <mergeCell ref="AB39:AB47"/>
    <mergeCell ref="AC39:AC47"/>
    <mergeCell ref="AD39:AD47"/>
    <mergeCell ref="AE39:AE47"/>
    <mergeCell ref="AF39:AF47"/>
    <mergeCell ref="O39:O47"/>
    <mergeCell ref="P39:P47"/>
    <mergeCell ref="Q39:Q47"/>
    <mergeCell ref="R39:R47"/>
    <mergeCell ref="S39:S47"/>
    <mergeCell ref="Z39:Z47"/>
    <mergeCell ref="T40:T41"/>
    <mergeCell ref="I39:I47"/>
    <mergeCell ref="J39:J47"/>
    <mergeCell ref="K39:K47"/>
    <mergeCell ref="L39:L47"/>
    <mergeCell ref="M39:M47"/>
    <mergeCell ref="N39:N47"/>
    <mergeCell ref="B38:C38"/>
    <mergeCell ref="E38:F38"/>
    <mergeCell ref="B39:C39"/>
    <mergeCell ref="E39:F39"/>
    <mergeCell ref="G39:G47"/>
    <mergeCell ref="H39:H47"/>
    <mergeCell ref="BN29:BN38"/>
    <mergeCell ref="BO29:BO38"/>
    <mergeCell ref="BP29:BP38"/>
    <mergeCell ref="G32:G38"/>
    <mergeCell ref="H32:H38"/>
    <mergeCell ref="I32:I38"/>
    <mergeCell ref="J32:J38"/>
    <mergeCell ref="K32:K38"/>
    <mergeCell ref="L32:L38"/>
    <mergeCell ref="P32:P38"/>
    <mergeCell ref="BH29:BH38"/>
    <mergeCell ref="BI29:BI38"/>
    <mergeCell ref="BJ29:BJ38"/>
    <mergeCell ref="BK29:BK38"/>
    <mergeCell ref="BL29:BL38"/>
    <mergeCell ref="BM29:BM38"/>
    <mergeCell ref="BB29:BB38"/>
    <mergeCell ref="BC29:BC38"/>
    <mergeCell ref="BD29:BD38"/>
    <mergeCell ref="BE29:BE38"/>
    <mergeCell ref="BF29:BF38"/>
    <mergeCell ref="BG29:BG38"/>
    <mergeCell ref="AV29:AV38"/>
    <mergeCell ref="AW29:AW38"/>
    <mergeCell ref="AX29:AX38"/>
    <mergeCell ref="AY29:AY38"/>
    <mergeCell ref="AZ29:AZ38"/>
    <mergeCell ref="BA29:BA38"/>
    <mergeCell ref="AP29:AP38"/>
    <mergeCell ref="AQ29:AQ38"/>
    <mergeCell ref="AR29:AR38"/>
    <mergeCell ref="AS29:AS38"/>
    <mergeCell ref="AT29:AT38"/>
    <mergeCell ref="AU29:AU38"/>
    <mergeCell ref="AJ29:AJ38"/>
    <mergeCell ref="AK29:AK38"/>
    <mergeCell ref="AL29:AL38"/>
    <mergeCell ref="AM29:AM38"/>
    <mergeCell ref="AN29:AN38"/>
    <mergeCell ref="AO29:AO38"/>
    <mergeCell ref="AD29:AD38"/>
    <mergeCell ref="AE29:AE38"/>
    <mergeCell ref="AF29:AF38"/>
    <mergeCell ref="AG29:AG38"/>
    <mergeCell ref="AH29:AH38"/>
    <mergeCell ref="AI29:AI38"/>
    <mergeCell ref="S29:S38"/>
    <mergeCell ref="T29:T30"/>
    <mergeCell ref="Z29:Z38"/>
    <mergeCell ref="AA29:AA38"/>
    <mergeCell ref="AB29:AB38"/>
    <mergeCell ref="AC29:AC38"/>
    <mergeCell ref="M29:M38"/>
    <mergeCell ref="N29:N38"/>
    <mergeCell ref="O29:O38"/>
    <mergeCell ref="P29:P31"/>
    <mergeCell ref="Q29:Q38"/>
    <mergeCell ref="R29:R38"/>
    <mergeCell ref="G29:G31"/>
    <mergeCell ref="H29:H31"/>
    <mergeCell ref="I29:I31"/>
    <mergeCell ref="J29:J31"/>
    <mergeCell ref="K29:K31"/>
    <mergeCell ref="L29:L31"/>
    <mergeCell ref="BK22:BK27"/>
    <mergeCell ref="BL22:BL27"/>
    <mergeCell ref="BM22:BM27"/>
    <mergeCell ref="BN22:BN27"/>
    <mergeCell ref="BO22:BO27"/>
    <mergeCell ref="BP22:BP27"/>
    <mergeCell ref="BE22:BE27"/>
    <mergeCell ref="BF22:BF27"/>
    <mergeCell ref="BG22:BG27"/>
    <mergeCell ref="BH22:BH27"/>
    <mergeCell ref="BI22:BI27"/>
    <mergeCell ref="BJ22:BJ27"/>
    <mergeCell ref="AY22:AY27"/>
    <mergeCell ref="AZ22:AZ27"/>
    <mergeCell ref="BA22:BA27"/>
    <mergeCell ref="BB22:BB27"/>
    <mergeCell ref="BC22:BC27"/>
    <mergeCell ref="BD22:BD27"/>
    <mergeCell ref="AS22:AS27"/>
    <mergeCell ref="AT22:AT27"/>
    <mergeCell ref="AU22:AU27"/>
    <mergeCell ref="AV22:AV27"/>
    <mergeCell ref="AW22:AW27"/>
    <mergeCell ref="AX22:AX27"/>
    <mergeCell ref="AM22:AM27"/>
    <mergeCell ref="AN22:AN27"/>
    <mergeCell ref="AO22:AO27"/>
    <mergeCell ref="AP22:AP27"/>
    <mergeCell ref="AQ22:AQ27"/>
    <mergeCell ref="AR22:AR27"/>
    <mergeCell ref="AG22:AG27"/>
    <mergeCell ref="AH22:AH27"/>
    <mergeCell ref="AI22:AI27"/>
    <mergeCell ref="AJ22:AJ27"/>
    <mergeCell ref="AK22:AK27"/>
    <mergeCell ref="AL22:AL27"/>
    <mergeCell ref="AA22:AA27"/>
    <mergeCell ref="AB22:AB27"/>
    <mergeCell ref="AC22:AC27"/>
    <mergeCell ref="AD22:AD27"/>
    <mergeCell ref="AE22:AE27"/>
    <mergeCell ref="AF22:AF27"/>
    <mergeCell ref="O22:O27"/>
    <mergeCell ref="P22:P27"/>
    <mergeCell ref="Q22:Q27"/>
    <mergeCell ref="R22:R27"/>
    <mergeCell ref="S22:S27"/>
    <mergeCell ref="Z22:Z27"/>
    <mergeCell ref="I22:I27"/>
    <mergeCell ref="J22:J27"/>
    <mergeCell ref="K22:K27"/>
    <mergeCell ref="L22:L27"/>
    <mergeCell ref="M22:M27"/>
    <mergeCell ref="N22:N27"/>
    <mergeCell ref="B20:C20"/>
    <mergeCell ref="E20:F20"/>
    <mergeCell ref="E22:E27"/>
    <mergeCell ref="F22:F27"/>
    <mergeCell ref="G22:G27"/>
    <mergeCell ref="H22:H27"/>
    <mergeCell ref="BO12:BO20"/>
    <mergeCell ref="BP12:BP20"/>
    <mergeCell ref="T13:T14"/>
    <mergeCell ref="T15:T16"/>
    <mergeCell ref="G17:G20"/>
    <mergeCell ref="H17:H20"/>
    <mergeCell ref="I17:I20"/>
    <mergeCell ref="J17:J20"/>
    <mergeCell ref="K17:K20"/>
    <mergeCell ref="L17:L20"/>
    <mergeCell ref="BI12:BI20"/>
    <mergeCell ref="BJ12:BJ20"/>
    <mergeCell ref="BK12:BK20"/>
    <mergeCell ref="BL12:BL20"/>
    <mergeCell ref="BM12:BM20"/>
    <mergeCell ref="BN12:BN20"/>
    <mergeCell ref="BC12:BC20"/>
    <mergeCell ref="BD12:BD20"/>
    <mergeCell ref="BE12:BE20"/>
    <mergeCell ref="BF12:BF20"/>
    <mergeCell ref="BG12:BG20"/>
    <mergeCell ref="BH12:BH20"/>
    <mergeCell ref="AW12:AW20"/>
    <mergeCell ref="AX12:AX20"/>
    <mergeCell ref="AY12:AY20"/>
    <mergeCell ref="AZ12:AZ20"/>
    <mergeCell ref="BA12:BA20"/>
    <mergeCell ref="BB12:BB20"/>
    <mergeCell ref="AQ12:AQ20"/>
    <mergeCell ref="AR12:AR20"/>
    <mergeCell ref="AS12:AS20"/>
    <mergeCell ref="AT12:AT20"/>
    <mergeCell ref="AU12:AU20"/>
    <mergeCell ref="AV12:AV20"/>
    <mergeCell ref="AK12:AK20"/>
    <mergeCell ref="AL12:AL20"/>
    <mergeCell ref="AM12:AM20"/>
    <mergeCell ref="AN12:AN20"/>
    <mergeCell ref="AO12:AO20"/>
    <mergeCell ref="AP12:AP20"/>
    <mergeCell ref="AE12:AE20"/>
    <mergeCell ref="AF12:AF20"/>
    <mergeCell ref="AG12:AG20"/>
    <mergeCell ref="AH12:AH20"/>
    <mergeCell ref="AI12:AI20"/>
    <mergeCell ref="AJ12:AJ20"/>
    <mergeCell ref="S12:S20"/>
    <mergeCell ref="Z12:Z20"/>
    <mergeCell ref="AA12:AA20"/>
    <mergeCell ref="AB12:AB20"/>
    <mergeCell ref="AC12:AC20"/>
    <mergeCell ref="AD12:AD20"/>
    <mergeCell ref="M12:M20"/>
    <mergeCell ref="N12:N20"/>
    <mergeCell ref="O12:O20"/>
    <mergeCell ref="P12:P16"/>
    <mergeCell ref="Q12:Q20"/>
    <mergeCell ref="R12:R20"/>
    <mergeCell ref="P17:P20"/>
    <mergeCell ref="G12:G16"/>
    <mergeCell ref="H12:H16"/>
    <mergeCell ref="I12:I16"/>
    <mergeCell ref="J12:J16"/>
    <mergeCell ref="K12:K16"/>
    <mergeCell ref="L12:L16"/>
    <mergeCell ref="BF8:BF9"/>
    <mergeCell ref="BG8:BG9"/>
    <mergeCell ref="BH8:BH9"/>
    <mergeCell ref="BI8:BI9"/>
    <mergeCell ref="BJ8:BJ9"/>
    <mergeCell ref="BK8:BK9"/>
    <mergeCell ref="AR8:AS8"/>
    <mergeCell ref="AT8:AU8"/>
    <mergeCell ref="AV8:AW8"/>
    <mergeCell ref="AX8:AY8"/>
    <mergeCell ref="AZ8:BA8"/>
    <mergeCell ref="BB8:BC8"/>
    <mergeCell ref="BD7:BE8"/>
    <mergeCell ref="BF7:BK7"/>
    <mergeCell ref="P7:P8"/>
    <mergeCell ref="Q7:Q8"/>
    <mergeCell ref="R7:R8"/>
    <mergeCell ref="S7:S8"/>
    <mergeCell ref="T7:T8"/>
    <mergeCell ref="U7:W7"/>
    <mergeCell ref="I7:I8"/>
    <mergeCell ref="J7:J8"/>
    <mergeCell ref="K7:L7"/>
    <mergeCell ref="M7:M8"/>
    <mergeCell ref="N7:N8"/>
    <mergeCell ref="O7:O8"/>
    <mergeCell ref="A1:BL4"/>
    <mergeCell ref="A5:K6"/>
    <mergeCell ref="M5:BP5"/>
    <mergeCell ref="Z6:BB6"/>
    <mergeCell ref="A7:A8"/>
    <mergeCell ref="B7:C8"/>
    <mergeCell ref="D7:D8"/>
    <mergeCell ref="E7:F8"/>
    <mergeCell ref="G7:G8"/>
    <mergeCell ref="H7:H8"/>
    <mergeCell ref="BL7:BM8"/>
    <mergeCell ref="BN7:BO8"/>
    <mergeCell ref="BP7:BP8"/>
    <mergeCell ref="Z8:AA8"/>
    <mergeCell ref="AB8:AC8"/>
    <mergeCell ref="AD8:AE8"/>
    <mergeCell ref="AF8:AG8"/>
    <mergeCell ref="AH8:AI8"/>
    <mergeCell ref="X7:X8"/>
    <mergeCell ref="Y7:Y8"/>
    <mergeCell ref="Z7:AC7"/>
    <mergeCell ref="AD7:AK7"/>
    <mergeCell ref="AL7:AW7"/>
    <mergeCell ref="AX7:BC7"/>
    <mergeCell ref="AJ8:AK8"/>
    <mergeCell ref="AL8:AM8"/>
    <mergeCell ref="AN8:AO8"/>
    <mergeCell ref="AP8:AQ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45"/>
  <sheetViews>
    <sheetView showGridLines="0" zoomScale="50" zoomScaleNormal="50" workbookViewId="0">
      <selection activeCell="M12" sqref="M12:M31"/>
    </sheetView>
  </sheetViews>
  <sheetFormatPr baseColWidth="10" defaultRowHeight="15" x14ac:dyDescent="0.25"/>
  <cols>
    <col min="1" max="1" width="14" customWidth="1"/>
    <col min="4" max="4" width="13.28515625" customWidth="1"/>
    <col min="7" max="7" width="14.7109375" customWidth="1"/>
    <col min="8" max="8" width="16" customWidth="1"/>
    <col min="9" max="9" width="31.85546875" style="370" customWidth="1"/>
    <col min="10" max="10" width="34.5703125" style="370" customWidth="1"/>
    <col min="11" max="12" width="25.85546875" customWidth="1"/>
    <col min="13" max="13" width="34.85546875" customWidth="1"/>
    <col min="14" max="14" width="23.85546875" customWidth="1"/>
    <col min="15" max="15" width="42.42578125" customWidth="1"/>
    <col min="16" max="16" width="19" customWidth="1"/>
    <col min="17" max="17" width="26.42578125" customWidth="1"/>
    <col min="18" max="18" width="37" customWidth="1"/>
    <col min="19" max="19" width="47.85546875" customWidth="1"/>
    <col min="20" max="20" width="42.140625" customWidth="1"/>
    <col min="21" max="23" width="33.28515625" customWidth="1"/>
    <col min="24" max="24" width="21.28515625" style="372" customWidth="1"/>
    <col min="25" max="25" width="25.28515625" customWidth="1"/>
    <col min="26" max="26" width="10.85546875" style="373" customWidth="1"/>
    <col min="27" max="27" width="9.85546875" style="373" customWidth="1"/>
    <col min="28" max="28" width="11.28515625" style="373" customWidth="1"/>
    <col min="29" max="30" width="11" style="373" customWidth="1"/>
    <col min="31" max="31" width="12.28515625" style="373" customWidth="1"/>
    <col min="32" max="33" width="9.140625" style="373" customWidth="1"/>
    <col min="34" max="34" width="10.28515625" style="373" customWidth="1"/>
    <col min="35" max="35" width="10.5703125" style="373" customWidth="1"/>
    <col min="36" max="36" width="11.28515625" style="373" customWidth="1"/>
    <col min="37" max="37" width="13" style="373" customWidth="1"/>
    <col min="38" max="55" width="9.140625" style="373" customWidth="1"/>
    <col min="56" max="56" width="11.5703125" style="373" customWidth="1"/>
    <col min="57" max="57" width="11.7109375" style="373" customWidth="1"/>
    <col min="58" max="58" width="24.5703125" customWidth="1"/>
    <col min="59" max="59" width="26.140625" customWidth="1"/>
    <col min="60" max="60" width="28.28515625" customWidth="1"/>
    <col min="61" max="61" width="21.28515625" customWidth="1"/>
    <col min="62" max="62" width="22.5703125" customWidth="1"/>
    <col min="63" max="63" width="32.28515625" customWidth="1"/>
    <col min="64" max="64" width="17.85546875" customWidth="1"/>
    <col min="65" max="66" width="16.140625" customWidth="1"/>
    <col min="67" max="67" width="20" customWidth="1"/>
    <col min="68" max="68" width="36.7109375" customWidth="1"/>
  </cols>
  <sheetData>
    <row r="1" spans="1:101" ht="18" customHeight="1" x14ac:dyDescent="0.25">
      <c r="A1" s="3535" t="s">
        <v>227</v>
      </c>
      <c r="B1" s="3535"/>
      <c r="C1" s="3535"/>
      <c r="D1" s="3535"/>
      <c r="E1" s="3535"/>
      <c r="F1" s="3535"/>
      <c r="G1" s="3535"/>
      <c r="H1" s="3535"/>
      <c r="I1" s="3535"/>
      <c r="J1" s="3535"/>
      <c r="K1" s="3535"/>
      <c r="L1" s="3535"/>
      <c r="M1" s="3535"/>
      <c r="N1" s="3535"/>
      <c r="O1" s="3535"/>
      <c r="P1" s="3535"/>
      <c r="Q1" s="3535"/>
      <c r="R1" s="3535"/>
      <c r="S1" s="3535"/>
      <c r="T1" s="3535"/>
      <c r="U1" s="3535"/>
      <c r="V1" s="3535"/>
      <c r="W1" s="3535"/>
      <c r="X1" s="3535"/>
      <c r="Y1" s="3535"/>
      <c r="Z1" s="3535"/>
      <c r="AA1" s="3535"/>
      <c r="AB1" s="3535"/>
      <c r="AC1" s="3535"/>
      <c r="AD1" s="3535"/>
      <c r="AE1" s="3535"/>
      <c r="AF1" s="3535"/>
      <c r="AG1" s="3535"/>
      <c r="AH1" s="3535"/>
      <c r="AI1" s="3535"/>
      <c r="AJ1" s="3535"/>
      <c r="AK1" s="3535"/>
      <c r="AL1" s="3535"/>
      <c r="AM1" s="3535"/>
      <c r="AN1" s="3535"/>
      <c r="AO1" s="3535"/>
      <c r="AP1" s="3535"/>
      <c r="AQ1" s="3535"/>
      <c r="AR1" s="3535"/>
      <c r="AS1" s="3535"/>
      <c r="AT1" s="3535"/>
      <c r="AU1" s="3535"/>
      <c r="AV1" s="3535"/>
      <c r="AW1" s="3535"/>
      <c r="AX1" s="3535"/>
      <c r="AY1" s="3535"/>
      <c r="AZ1" s="3535"/>
      <c r="BA1" s="3535"/>
      <c r="BB1" s="3535"/>
      <c r="BC1" s="3535"/>
      <c r="BD1" s="3535"/>
      <c r="BE1" s="3535"/>
      <c r="BF1" s="3535"/>
      <c r="BG1" s="3535"/>
      <c r="BH1" s="3535"/>
      <c r="BI1" s="3535"/>
      <c r="BJ1" s="3535"/>
      <c r="BK1" s="3535"/>
      <c r="BL1" s="3535"/>
      <c r="BM1" s="3535"/>
      <c r="BN1" s="3536"/>
      <c r="BO1" s="189" t="s">
        <v>1</v>
      </c>
      <c r="BP1" s="190" t="s">
        <v>2</v>
      </c>
      <c r="BQ1" s="191"/>
      <c r="BR1" s="191"/>
      <c r="BS1" s="191"/>
      <c r="BT1" s="191"/>
      <c r="BU1" s="191"/>
      <c r="BV1" s="191"/>
      <c r="BW1" s="191"/>
      <c r="BX1" s="191"/>
      <c r="BY1" s="191"/>
      <c r="BZ1" s="191"/>
      <c r="CA1" s="191"/>
      <c r="CB1" s="191"/>
      <c r="CC1" s="191"/>
      <c r="CD1" s="191"/>
      <c r="CE1" s="191"/>
      <c r="CF1" s="191"/>
      <c r="CG1" s="191"/>
      <c r="CH1" s="191"/>
      <c r="CI1" s="191"/>
    </row>
    <row r="2" spans="1:101" ht="18" customHeight="1" x14ac:dyDescent="0.25">
      <c r="A2" s="3535"/>
      <c r="B2" s="3535"/>
      <c r="C2" s="3535"/>
      <c r="D2" s="3535"/>
      <c r="E2" s="3535"/>
      <c r="F2" s="3535"/>
      <c r="G2" s="3535"/>
      <c r="H2" s="3535"/>
      <c r="I2" s="3535"/>
      <c r="J2" s="3535"/>
      <c r="K2" s="3535"/>
      <c r="L2" s="3535"/>
      <c r="M2" s="3535"/>
      <c r="N2" s="3535"/>
      <c r="O2" s="3535"/>
      <c r="P2" s="3535"/>
      <c r="Q2" s="3535"/>
      <c r="R2" s="3535"/>
      <c r="S2" s="3535"/>
      <c r="T2" s="3535"/>
      <c r="U2" s="3535"/>
      <c r="V2" s="3535"/>
      <c r="W2" s="3535"/>
      <c r="X2" s="3535"/>
      <c r="Y2" s="3535"/>
      <c r="Z2" s="3535"/>
      <c r="AA2" s="3535"/>
      <c r="AB2" s="3535"/>
      <c r="AC2" s="3535"/>
      <c r="AD2" s="3535"/>
      <c r="AE2" s="3535"/>
      <c r="AF2" s="3535"/>
      <c r="AG2" s="3535"/>
      <c r="AH2" s="3535"/>
      <c r="AI2" s="3535"/>
      <c r="AJ2" s="3535"/>
      <c r="AK2" s="3535"/>
      <c r="AL2" s="3535"/>
      <c r="AM2" s="3535"/>
      <c r="AN2" s="3535"/>
      <c r="AO2" s="3535"/>
      <c r="AP2" s="3535"/>
      <c r="AQ2" s="3535"/>
      <c r="AR2" s="3535"/>
      <c r="AS2" s="3535"/>
      <c r="AT2" s="3535"/>
      <c r="AU2" s="3535"/>
      <c r="AV2" s="3535"/>
      <c r="AW2" s="3535"/>
      <c r="AX2" s="3535"/>
      <c r="AY2" s="3535"/>
      <c r="AZ2" s="3535"/>
      <c r="BA2" s="3535"/>
      <c r="BB2" s="3535"/>
      <c r="BC2" s="3535"/>
      <c r="BD2" s="3535"/>
      <c r="BE2" s="3535"/>
      <c r="BF2" s="3535"/>
      <c r="BG2" s="3535"/>
      <c r="BH2" s="3535"/>
      <c r="BI2" s="3535"/>
      <c r="BJ2" s="3535"/>
      <c r="BK2" s="3535"/>
      <c r="BL2" s="3535"/>
      <c r="BM2" s="3535"/>
      <c r="BN2" s="3536"/>
      <c r="BO2" s="192" t="s">
        <v>3</v>
      </c>
      <c r="BP2" s="190" t="s">
        <v>4</v>
      </c>
      <c r="BQ2" s="191"/>
      <c r="BR2" s="191"/>
      <c r="BS2" s="191"/>
      <c r="BT2" s="191"/>
      <c r="BU2" s="191"/>
      <c r="BV2" s="191"/>
      <c r="BW2" s="191"/>
      <c r="BX2" s="191"/>
      <c r="BY2" s="191"/>
      <c r="BZ2" s="191"/>
      <c r="CA2" s="191"/>
      <c r="CB2" s="191"/>
      <c r="CC2" s="191"/>
      <c r="CD2" s="191"/>
      <c r="CE2" s="191"/>
      <c r="CF2" s="191"/>
      <c r="CG2" s="191"/>
      <c r="CH2" s="191"/>
      <c r="CI2" s="191"/>
    </row>
    <row r="3" spans="1:101" ht="18" customHeight="1" x14ac:dyDescent="0.25">
      <c r="A3" s="3535"/>
      <c r="B3" s="3535"/>
      <c r="C3" s="3535"/>
      <c r="D3" s="3535"/>
      <c r="E3" s="3535"/>
      <c r="F3" s="3535"/>
      <c r="G3" s="3535"/>
      <c r="H3" s="3535"/>
      <c r="I3" s="3535"/>
      <c r="J3" s="3535"/>
      <c r="K3" s="3535"/>
      <c r="L3" s="3535"/>
      <c r="M3" s="3535"/>
      <c r="N3" s="3535"/>
      <c r="O3" s="3535"/>
      <c r="P3" s="3535"/>
      <c r="Q3" s="3535"/>
      <c r="R3" s="3535"/>
      <c r="S3" s="3535"/>
      <c r="T3" s="3535"/>
      <c r="U3" s="3535"/>
      <c r="V3" s="3535"/>
      <c r="W3" s="3535"/>
      <c r="X3" s="3535"/>
      <c r="Y3" s="3535"/>
      <c r="Z3" s="3535"/>
      <c r="AA3" s="3535"/>
      <c r="AB3" s="3535"/>
      <c r="AC3" s="3535"/>
      <c r="AD3" s="3535"/>
      <c r="AE3" s="3535"/>
      <c r="AF3" s="3535"/>
      <c r="AG3" s="3535"/>
      <c r="AH3" s="3535"/>
      <c r="AI3" s="3535"/>
      <c r="AJ3" s="3535"/>
      <c r="AK3" s="3535"/>
      <c r="AL3" s="3535"/>
      <c r="AM3" s="3535"/>
      <c r="AN3" s="3535"/>
      <c r="AO3" s="3535"/>
      <c r="AP3" s="3535"/>
      <c r="AQ3" s="3535"/>
      <c r="AR3" s="3535"/>
      <c r="AS3" s="3535"/>
      <c r="AT3" s="3535"/>
      <c r="AU3" s="3535"/>
      <c r="AV3" s="3535"/>
      <c r="AW3" s="3535"/>
      <c r="AX3" s="3535"/>
      <c r="AY3" s="3535"/>
      <c r="AZ3" s="3535"/>
      <c r="BA3" s="3535"/>
      <c r="BB3" s="3535"/>
      <c r="BC3" s="3535"/>
      <c r="BD3" s="3535"/>
      <c r="BE3" s="3535"/>
      <c r="BF3" s="3535"/>
      <c r="BG3" s="3535"/>
      <c r="BH3" s="3535"/>
      <c r="BI3" s="3535"/>
      <c r="BJ3" s="3535"/>
      <c r="BK3" s="3535"/>
      <c r="BL3" s="3535"/>
      <c r="BM3" s="3535"/>
      <c r="BN3" s="3536"/>
      <c r="BO3" s="189" t="s">
        <v>5</v>
      </c>
      <c r="BP3" s="193" t="s">
        <v>6</v>
      </c>
      <c r="BQ3" s="191"/>
      <c r="BR3" s="191"/>
      <c r="BS3" s="191"/>
      <c r="BT3" s="191"/>
      <c r="BU3" s="191"/>
      <c r="BV3" s="191"/>
      <c r="BW3" s="191"/>
      <c r="BX3" s="191"/>
      <c r="BY3" s="191"/>
      <c r="BZ3" s="191"/>
      <c r="CA3" s="191"/>
      <c r="CB3" s="191"/>
      <c r="CC3" s="191"/>
      <c r="CD3" s="191"/>
      <c r="CE3" s="191"/>
      <c r="CF3" s="191"/>
      <c r="CG3" s="191"/>
      <c r="CH3" s="191"/>
      <c r="CI3" s="191"/>
    </row>
    <row r="4" spans="1:101" ht="18" customHeight="1" x14ac:dyDescent="0.25">
      <c r="A4" s="3537"/>
      <c r="B4" s="3537"/>
      <c r="C4" s="3537"/>
      <c r="D4" s="3537"/>
      <c r="E4" s="3537"/>
      <c r="F4" s="3537"/>
      <c r="G4" s="3537"/>
      <c r="H4" s="3537"/>
      <c r="I4" s="3537"/>
      <c r="J4" s="3537"/>
      <c r="K4" s="3537"/>
      <c r="L4" s="3537"/>
      <c r="M4" s="3537"/>
      <c r="N4" s="3537"/>
      <c r="O4" s="3537"/>
      <c r="P4" s="3537"/>
      <c r="Q4" s="3537"/>
      <c r="R4" s="3537"/>
      <c r="S4" s="3537"/>
      <c r="T4" s="3537"/>
      <c r="U4" s="3537"/>
      <c r="V4" s="3537"/>
      <c r="W4" s="3537"/>
      <c r="X4" s="3537"/>
      <c r="Y4" s="3537"/>
      <c r="Z4" s="3537"/>
      <c r="AA4" s="3537"/>
      <c r="AB4" s="3537"/>
      <c r="AC4" s="3537"/>
      <c r="AD4" s="3537"/>
      <c r="AE4" s="3537"/>
      <c r="AF4" s="3537"/>
      <c r="AG4" s="3537"/>
      <c r="AH4" s="3537"/>
      <c r="AI4" s="3537"/>
      <c r="AJ4" s="3537"/>
      <c r="AK4" s="3537"/>
      <c r="AL4" s="3537"/>
      <c r="AM4" s="3537"/>
      <c r="AN4" s="3537"/>
      <c r="AO4" s="3537"/>
      <c r="AP4" s="3537"/>
      <c r="AQ4" s="3537"/>
      <c r="AR4" s="3537"/>
      <c r="AS4" s="3537"/>
      <c r="AT4" s="3537"/>
      <c r="AU4" s="3537"/>
      <c r="AV4" s="3537"/>
      <c r="AW4" s="3537"/>
      <c r="AX4" s="3537"/>
      <c r="AY4" s="3537"/>
      <c r="AZ4" s="3537"/>
      <c r="BA4" s="3537"/>
      <c r="BB4" s="3537"/>
      <c r="BC4" s="3537"/>
      <c r="BD4" s="3537"/>
      <c r="BE4" s="3537"/>
      <c r="BF4" s="3537"/>
      <c r="BG4" s="3537"/>
      <c r="BH4" s="3537"/>
      <c r="BI4" s="3537"/>
      <c r="BJ4" s="3537"/>
      <c r="BK4" s="3537"/>
      <c r="BL4" s="3537"/>
      <c r="BM4" s="3537"/>
      <c r="BN4" s="3538"/>
      <c r="BO4" s="189" t="s">
        <v>7</v>
      </c>
      <c r="BP4" s="194" t="s">
        <v>8</v>
      </c>
      <c r="BQ4" s="191"/>
      <c r="BR4" s="191"/>
      <c r="BS4" s="191"/>
      <c r="BT4" s="191"/>
      <c r="BU4" s="191"/>
      <c r="BV4" s="191"/>
      <c r="BW4" s="191"/>
      <c r="BX4" s="191"/>
      <c r="BY4" s="191"/>
      <c r="BZ4" s="191"/>
      <c r="CA4" s="191"/>
      <c r="CB4" s="191"/>
      <c r="CC4" s="191"/>
      <c r="CD4" s="191"/>
      <c r="CE4" s="191"/>
      <c r="CF4" s="191"/>
      <c r="CG4" s="191"/>
      <c r="CH4" s="191"/>
      <c r="CI4" s="191"/>
    </row>
    <row r="5" spans="1:101" ht="36" customHeight="1" x14ac:dyDescent="0.25">
      <c r="A5" s="2664" t="s">
        <v>9</v>
      </c>
      <c r="B5" s="2664"/>
      <c r="C5" s="2664"/>
      <c r="D5" s="2664"/>
      <c r="E5" s="2664"/>
      <c r="F5" s="2664"/>
      <c r="G5" s="2664"/>
      <c r="H5" s="2664"/>
      <c r="I5" s="2664"/>
      <c r="J5" s="2664"/>
      <c r="K5" s="2664"/>
      <c r="L5" s="7"/>
      <c r="M5" s="2666" t="s">
        <v>10</v>
      </c>
      <c r="N5" s="2666"/>
      <c r="O5" s="2666"/>
      <c r="P5" s="2666"/>
      <c r="Q5" s="2666"/>
      <c r="R5" s="2666"/>
      <c r="S5" s="2666"/>
      <c r="T5" s="2666"/>
      <c r="U5" s="2666"/>
      <c r="V5" s="2666"/>
      <c r="W5" s="2666"/>
      <c r="X5" s="2666"/>
      <c r="Y5" s="2666"/>
      <c r="Z5" s="2666"/>
      <c r="AA5" s="2666"/>
      <c r="AB5" s="2666"/>
      <c r="AC5" s="2666"/>
      <c r="AD5" s="2666"/>
      <c r="AE5" s="2666"/>
      <c r="AF5" s="2666"/>
      <c r="AG5" s="2666"/>
      <c r="AH5" s="2666"/>
      <c r="AI5" s="2666"/>
      <c r="AJ5" s="2666"/>
      <c r="AK5" s="2666"/>
      <c r="AL5" s="2666"/>
      <c r="AM5" s="2666"/>
      <c r="AN5" s="2666"/>
      <c r="AO5" s="2666"/>
      <c r="AP5" s="2666"/>
      <c r="AQ5" s="2666"/>
      <c r="AR5" s="2666"/>
      <c r="AS5" s="2666"/>
      <c r="AT5" s="2666"/>
      <c r="AU5" s="2666"/>
      <c r="AV5" s="2666"/>
      <c r="AW5" s="2666"/>
      <c r="AX5" s="2666"/>
      <c r="AY5" s="2666"/>
      <c r="AZ5" s="2666"/>
      <c r="BA5" s="2666"/>
      <c r="BB5" s="2666"/>
      <c r="BC5" s="2666"/>
      <c r="BD5" s="2666"/>
      <c r="BE5" s="2666"/>
      <c r="BF5" s="2666"/>
      <c r="BG5" s="2666"/>
      <c r="BH5" s="2666"/>
      <c r="BI5" s="2666"/>
      <c r="BJ5" s="2666"/>
      <c r="BK5" s="2666"/>
      <c r="BL5" s="2666"/>
      <c r="BM5" s="2666"/>
      <c r="BN5" s="2666"/>
      <c r="BO5" s="2666"/>
      <c r="BP5" s="2666"/>
      <c r="BQ5" s="3"/>
      <c r="BR5" s="3"/>
      <c r="BS5" s="3"/>
      <c r="BT5" s="3"/>
      <c r="BU5" s="3"/>
      <c r="BV5" s="3"/>
      <c r="BW5" s="3"/>
      <c r="BX5" s="3"/>
      <c r="BY5" s="3"/>
      <c r="BZ5" s="3"/>
      <c r="CA5" s="3"/>
      <c r="CB5" s="3"/>
      <c r="CC5" s="3"/>
      <c r="CD5" s="3"/>
      <c r="CE5" s="3"/>
      <c r="CF5" s="3"/>
      <c r="CG5" s="3"/>
      <c r="CH5" s="3"/>
      <c r="CI5" s="3"/>
    </row>
    <row r="6" spans="1:101" ht="25.5" customHeight="1" thickBot="1" x14ac:dyDescent="0.3">
      <c r="A6" s="2665"/>
      <c r="B6" s="2665"/>
      <c r="C6" s="2665"/>
      <c r="D6" s="2665"/>
      <c r="E6" s="2665"/>
      <c r="F6" s="2665"/>
      <c r="G6" s="2665"/>
      <c r="H6" s="2665"/>
      <c r="I6" s="2665"/>
      <c r="J6" s="2665"/>
      <c r="K6" s="2665"/>
      <c r="L6" s="8"/>
      <c r="M6" s="195"/>
      <c r="N6" s="10"/>
      <c r="O6" s="10"/>
      <c r="P6" s="10"/>
      <c r="Q6" s="10"/>
      <c r="R6" s="10"/>
      <c r="S6" s="10"/>
      <c r="T6" s="10"/>
      <c r="U6" s="10"/>
      <c r="V6" s="10"/>
      <c r="W6" s="10"/>
      <c r="X6" s="8"/>
      <c r="Y6" s="10"/>
      <c r="Z6" s="2531" t="s">
        <v>11</v>
      </c>
      <c r="AA6" s="2532"/>
      <c r="AB6" s="2532"/>
      <c r="AC6" s="2532"/>
      <c r="AD6" s="2532"/>
      <c r="AE6" s="2532"/>
      <c r="AF6" s="2532"/>
      <c r="AG6" s="2532"/>
      <c r="AH6" s="2532"/>
      <c r="AI6" s="2532"/>
      <c r="AJ6" s="2532"/>
      <c r="AK6" s="2532"/>
      <c r="AL6" s="2532"/>
      <c r="AM6" s="2532"/>
      <c r="AN6" s="2532"/>
      <c r="AO6" s="2532"/>
      <c r="AP6" s="2532"/>
      <c r="AQ6" s="2532"/>
      <c r="AR6" s="2532"/>
      <c r="AS6" s="2532"/>
      <c r="AT6" s="2532"/>
      <c r="AU6" s="2532"/>
      <c r="AV6" s="2532"/>
      <c r="AW6" s="2532"/>
      <c r="AX6" s="2532"/>
      <c r="AY6" s="2532"/>
      <c r="AZ6" s="2532"/>
      <c r="BA6" s="2532"/>
      <c r="BB6" s="2532"/>
      <c r="BC6" s="2532"/>
      <c r="BD6" s="2532"/>
      <c r="BE6" s="196"/>
      <c r="BF6" s="8"/>
      <c r="BG6" s="8"/>
      <c r="BH6" s="8"/>
      <c r="BI6" s="8"/>
      <c r="BJ6" s="8"/>
      <c r="BK6" s="8"/>
      <c r="BL6" s="10"/>
      <c r="BM6" s="10"/>
      <c r="BN6" s="10"/>
      <c r="BO6" s="10"/>
      <c r="BP6" s="14"/>
      <c r="BQ6" s="3"/>
      <c r="BR6" s="3"/>
      <c r="BS6" s="3"/>
      <c r="BT6" s="3"/>
      <c r="BU6" s="3"/>
      <c r="BV6" s="3"/>
      <c r="BW6" s="3"/>
      <c r="BX6" s="3"/>
      <c r="BY6" s="3"/>
      <c r="BZ6" s="3"/>
      <c r="CA6" s="3"/>
      <c r="CB6" s="3"/>
      <c r="CC6" s="3"/>
      <c r="CD6" s="3"/>
      <c r="CE6" s="3"/>
      <c r="CF6" s="3"/>
      <c r="CG6" s="3"/>
      <c r="CH6" s="3"/>
      <c r="CI6" s="3"/>
    </row>
    <row r="7" spans="1:101" s="4" customFormat="1" ht="49.5" customHeight="1" x14ac:dyDescent="0.2">
      <c r="A7" s="2548" t="s">
        <v>12</v>
      </c>
      <c r="B7" s="2580" t="s">
        <v>13</v>
      </c>
      <c r="C7" s="2580"/>
      <c r="D7" s="2580" t="s">
        <v>12</v>
      </c>
      <c r="E7" s="2580" t="s">
        <v>14</v>
      </c>
      <c r="F7" s="2580"/>
      <c r="G7" s="2580" t="s">
        <v>12</v>
      </c>
      <c r="H7" s="2580" t="s">
        <v>228</v>
      </c>
      <c r="I7" s="2580" t="s">
        <v>15</v>
      </c>
      <c r="J7" s="2580" t="s">
        <v>16</v>
      </c>
      <c r="K7" s="2536" t="s">
        <v>17</v>
      </c>
      <c r="L7" s="2537"/>
      <c r="M7" s="2580" t="s">
        <v>18</v>
      </c>
      <c r="N7" s="2580" t="s">
        <v>19</v>
      </c>
      <c r="O7" s="2580" t="s">
        <v>10</v>
      </c>
      <c r="P7" s="4470" t="s">
        <v>20</v>
      </c>
      <c r="Q7" s="2566" t="s">
        <v>21</v>
      </c>
      <c r="R7" s="2580" t="s">
        <v>22</v>
      </c>
      <c r="S7" s="2580" t="s">
        <v>23</v>
      </c>
      <c r="T7" s="2580" t="s">
        <v>24</v>
      </c>
      <c r="U7" s="4471" t="s">
        <v>21</v>
      </c>
      <c r="V7" s="4472"/>
      <c r="W7" s="4473"/>
      <c r="X7" s="4465" t="s">
        <v>12</v>
      </c>
      <c r="Y7" s="2580" t="s">
        <v>25</v>
      </c>
      <c r="Z7" s="2551" t="s">
        <v>26</v>
      </c>
      <c r="AA7" s="2552"/>
      <c r="AB7" s="2552"/>
      <c r="AC7" s="2553"/>
      <c r="AD7" s="2554" t="s">
        <v>27</v>
      </c>
      <c r="AE7" s="2555"/>
      <c r="AF7" s="2555"/>
      <c r="AG7" s="2555"/>
      <c r="AH7" s="2555"/>
      <c r="AI7" s="2555"/>
      <c r="AJ7" s="2555"/>
      <c r="AK7" s="2556"/>
      <c r="AL7" s="2677" t="s">
        <v>28</v>
      </c>
      <c r="AM7" s="2678"/>
      <c r="AN7" s="2678"/>
      <c r="AO7" s="2678"/>
      <c r="AP7" s="2678"/>
      <c r="AQ7" s="2678"/>
      <c r="AR7" s="2678"/>
      <c r="AS7" s="2678"/>
      <c r="AT7" s="2678"/>
      <c r="AU7" s="2678"/>
      <c r="AV7" s="2678"/>
      <c r="AW7" s="2679"/>
      <c r="AX7" s="2554" t="s">
        <v>29</v>
      </c>
      <c r="AY7" s="2555"/>
      <c r="AZ7" s="2555"/>
      <c r="BA7" s="2555"/>
      <c r="BB7" s="2555"/>
      <c r="BC7" s="2556"/>
      <c r="BD7" s="4466" t="s">
        <v>30</v>
      </c>
      <c r="BE7" s="4467"/>
      <c r="BF7" s="2577" t="s">
        <v>31</v>
      </c>
      <c r="BG7" s="2578"/>
      <c r="BH7" s="2578"/>
      <c r="BI7" s="2578"/>
      <c r="BJ7" s="2578"/>
      <c r="BK7" s="2579"/>
      <c r="BL7" s="2541" t="s">
        <v>32</v>
      </c>
      <c r="BM7" s="2542"/>
      <c r="BN7" s="2541" t="s">
        <v>33</v>
      </c>
      <c r="BO7" s="2542"/>
      <c r="BP7" s="2545" t="s">
        <v>34</v>
      </c>
      <c r="BQ7" s="3"/>
      <c r="BR7" s="3"/>
      <c r="BS7" s="3"/>
      <c r="BT7" s="3"/>
      <c r="BU7" s="3"/>
      <c r="BV7" s="3"/>
      <c r="BW7" s="3"/>
      <c r="BX7" s="3"/>
      <c r="BY7" s="3"/>
      <c r="BZ7" s="3"/>
      <c r="CA7" s="3"/>
      <c r="CB7" s="3"/>
      <c r="CC7" s="3"/>
      <c r="CD7" s="3"/>
      <c r="CE7" s="3"/>
      <c r="CF7" s="3"/>
      <c r="CG7" s="3"/>
      <c r="CH7" s="3"/>
      <c r="CI7" s="3"/>
    </row>
    <row r="8" spans="1:101" s="4" customFormat="1" ht="119.25" customHeight="1" x14ac:dyDescent="0.2">
      <c r="A8" s="2549"/>
      <c r="B8" s="2580"/>
      <c r="C8" s="2580"/>
      <c r="D8" s="2580"/>
      <c r="E8" s="2580"/>
      <c r="F8" s="2580"/>
      <c r="G8" s="2580"/>
      <c r="H8" s="2580"/>
      <c r="I8" s="2580"/>
      <c r="J8" s="2580"/>
      <c r="K8" s="2705"/>
      <c r="L8" s="2706"/>
      <c r="M8" s="2580"/>
      <c r="N8" s="2580"/>
      <c r="O8" s="2580"/>
      <c r="P8" s="4470"/>
      <c r="Q8" s="2566"/>
      <c r="R8" s="2580"/>
      <c r="S8" s="2580"/>
      <c r="T8" s="2580"/>
      <c r="U8" s="2566" t="s">
        <v>229</v>
      </c>
      <c r="V8" s="2566" t="s">
        <v>230</v>
      </c>
      <c r="W8" s="2566" t="s">
        <v>231</v>
      </c>
      <c r="X8" s="4465"/>
      <c r="Y8" s="2580"/>
      <c r="Z8" s="3139" t="s">
        <v>38</v>
      </c>
      <c r="AA8" s="3140"/>
      <c r="AB8" s="3141" t="s">
        <v>39</v>
      </c>
      <c r="AC8" s="3142"/>
      <c r="AD8" s="3139" t="s">
        <v>40</v>
      </c>
      <c r="AE8" s="3140"/>
      <c r="AF8" s="3139" t="s">
        <v>41</v>
      </c>
      <c r="AG8" s="3140"/>
      <c r="AH8" s="3139" t="s">
        <v>232</v>
      </c>
      <c r="AI8" s="3140"/>
      <c r="AJ8" s="3139" t="s">
        <v>43</v>
      </c>
      <c r="AK8" s="3140"/>
      <c r="AL8" s="3139" t="s">
        <v>44</v>
      </c>
      <c r="AM8" s="3140"/>
      <c r="AN8" s="3139" t="s">
        <v>45</v>
      </c>
      <c r="AO8" s="3140"/>
      <c r="AP8" s="3139" t="s">
        <v>46</v>
      </c>
      <c r="AQ8" s="3140"/>
      <c r="AR8" s="3139" t="s">
        <v>47</v>
      </c>
      <c r="AS8" s="3140"/>
      <c r="AT8" s="3139" t="s">
        <v>48</v>
      </c>
      <c r="AU8" s="3140"/>
      <c r="AV8" s="3139" t="s">
        <v>49</v>
      </c>
      <c r="AW8" s="3140"/>
      <c r="AX8" s="3139" t="s">
        <v>50</v>
      </c>
      <c r="AY8" s="3140"/>
      <c r="AZ8" s="3139" t="s">
        <v>51</v>
      </c>
      <c r="BA8" s="3140"/>
      <c r="BB8" s="197" t="s">
        <v>52</v>
      </c>
      <c r="BC8" s="197"/>
      <c r="BD8" s="4468"/>
      <c r="BE8" s="4469"/>
      <c r="BF8" s="2568" t="s">
        <v>53</v>
      </c>
      <c r="BG8" s="2567" t="s">
        <v>54</v>
      </c>
      <c r="BH8" s="2568" t="s">
        <v>55</v>
      </c>
      <c r="BI8" s="2569" t="s">
        <v>56</v>
      </c>
      <c r="BJ8" s="2568" t="s">
        <v>57</v>
      </c>
      <c r="BK8" s="2570" t="s">
        <v>58</v>
      </c>
      <c r="BL8" s="2543"/>
      <c r="BM8" s="2544"/>
      <c r="BN8" s="2543"/>
      <c r="BO8" s="2544"/>
      <c r="BP8" s="2545"/>
      <c r="BQ8" s="3"/>
      <c r="BR8" s="3"/>
      <c r="BS8" s="3"/>
      <c r="BT8" s="3"/>
      <c r="BU8" s="3"/>
      <c r="BV8" s="3"/>
      <c r="BW8" s="3"/>
      <c r="BX8" s="3"/>
      <c r="BY8" s="3"/>
      <c r="BZ8" s="3"/>
      <c r="CA8" s="3"/>
      <c r="CB8" s="3"/>
      <c r="CC8" s="3"/>
      <c r="CD8" s="3"/>
      <c r="CE8" s="3"/>
      <c r="CF8" s="3"/>
      <c r="CG8" s="3"/>
      <c r="CH8" s="3"/>
      <c r="CI8" s="3"/>
    </row>
    <row r="9" spans="1:101" s="4" customFormat="1" ht="43.5" customHeight="1" x14ac:dyDescent="0.2">
      <c r="A9" s="2550"/>
      <c r="B9" s="2580"/>
      <c r="C9" s="2580"/>
      <c r="D9" s="2580"/>
      <c r="E9" s="2580"/>
      <c r="F9" s="2580"/>
      <c r="G9" s="2580"/>
      <c r="H9" s="2580"/>
      <c r="I9" s="2580"/>
      <c r="J9" s="2580"/>
      <c r="K9" s="198" t="s">
        <v>59</v>
      </c>
      <c r="L9" s="198" t="s">
        <v>60</v>
      </c>
      <c r="M9" s="2580"/>
      <c r="N9" s="2580"/>
      <c r="O9" s="2580"/>
      <c r="P9" s="4470"/>
      <c r="Q9" s="2566"/>
      <c r="R9" s="2580"/>
      <c r="S9" s="2580"/>
      <c r="T9" s="2580"/>
      <c r="U9" s="2566"/>
      <c r="V9" s="2566"/>
      <c r="W9" s="2566"/>
      <c r="X9" s="4465"/>
      <c r="Y9" s="2580"/>
      <c r="Z9" s="199" t="s">
        <v>59</v>
      </c>
      <c r="AA9" s="199" t="s">
        <v>60</v>
      </c>
      <c r="AB9" s="200" t="s">
        <v>59</v>
      </c>
      <c r="AC9" s="200" t="s">
        <v>60</v>
      </c>
      <c r="AD9" s="199" t="s">
        <v>59</v>
      </c>
      <c r="AE9" s="199" t="s">
        <v>60</v>
      </c>
      <c r="AF9" s="199" t="s">
        <v>59</v>
      </c>
      <c r="AG9" s="199" t="s">
        <v>60</v>
      </c>
      <c r="AH9" s="199" t="s">
        <v>59</v>
      </c>
      <c r="AI9" s="199" t="s">
        <v>60</v>
      </c>
      <c r="AJ9" s="199" t="s">
        <v>59</v>
      </c>
      <c r="AK9" s="199" t="s">
        <v>60</v>
      </c>
      <c r="AL9" s="199" t="s">
        <v>59</v>
      </c>
      <c r="AM9" s="199" t="s">
        <v>60</v>
      </c>
      <c r="AN9" s="199" t="s">
        <v>59</v>
      </c>
      <c r="AO9" s="199" t="s">
        <v>60</v>
      </c>
      <c r="AP9" s="199" t="s">
        <v>59</v>
      </c>
      <c r="AQ9" s="199" t="s">
        <v>60</v>
      </c>
      <c r="AR9" s="199" t="s">
        <v>59</v>
      </c>
      <c r="AS9" s="199" t="s">
        <v>60</v>
      </c>
      <c r="AT9" s="199" t="s">
        <v>59</v>
      </c>
      <c r="AU9" s="199" t="s">
        <v>60</v>
      </c>
      <c r="AV9" s="199" t="s">
        <v>59</v>
      </c>
      <c r="AW9" s="199" t="s">
        <v>60</v>
      </c>
      <c r="AX9" s="199" t="s">
        <v>59</v>
      </c>
      <c r="AY9" s="199" t="s">
        <v>60</v>
      </c>
      <c r="AZ9" s="199" t="s">
        <v>59</v>
      </c>
      <c r="BA9" s="199" t="s">
        <v>60</v>
      </c>
      <c r="BB9" s="199" t="s">
        <v>59</v>
      </c>
      <c r="BC9" s="199" t="s">
        <v>60</v>
      </c>
      <c r="BD9" s="199" t="s">
        <v>59</v>
      </c>
      <c r="BE9" s="199" t="s">
        <v>60</v>
      </c>
      <c r="BF9" s="2568"/>
      <c r="BG9" s="2567"/>
      <c r="BH9" s="2568"/>
      <c r="BI9" s="2569"/>
      <c r="BJ9" s="2568"/>
      <c r="BK9" s="2571"/>
      <c r="BL9" s="201" t="s">
        <v>59</v>
      </c>
      <c r="BM9" s="201" t="s">
        <v>60</v>
      </c>
      <c r="BN9" s="201" t="s">
        <v>59</v>
      </c>
      <c r="BO9" s="201" t="s">
        <v>60</v>
      </c>
      <c r="BP9" s="202"/>
      <c r="BQ9" s="3"/>
      <c r="BR9" s="3"/>
      <c r="BS9" s="3"/>
      <c r="BT9" s="3"/>
      <c r="BU9" s="3"/>
      <c r="BV9" s="3"/>
      <c r="BW9" s="3"/>
      <c r="BX9" s="3"/>
      <c r="BY9" s="3"/>
      <c r="BZ9" s="3"/>
      <c r="CA9" s="3"/>
      <c r="CB9" s="3"/>
      <c r="CC9" s="3"/>
      <c r="CD9" s="3"/>
      <c r="CE9" s="3"/>
      <c r="CF9" s="3"/>
      <c r="CG9" s="3"/>
      <c r="CH9" s="3"/>
      <c r="CI9" s="3"/>
    </row>
    <row r="10" spans="1:101" s="4" customFormat="1" ht="21" customHeight="1" x14ac:dyDescent="0.2">
      <c r="A10" s="203">
        <v>1</v>
      </c>
      <c r="B10" s="204" t="s">
        <v>233</v>
      </c>
      <c r="C10" s="205"/>
      <c r="D10" s="206"/>
      <c r="E10" s="207"/>
      <c r="F10" s="207"/>
      <c r="G10" s="207"/>
      <c r="H10" s="207"/>
      <c r="I10" s="206"/>
      <c r="J10" s="206"/>
      <c r="K10" s="208"/>
      <c r="L10" s="208"/>
      <c r="M10" s="208"/>
      <c r="N10" s="209"/>
      <c r="O10" s="210"/>
      <c r="P10" s="211"/>
      <c r="Q10" s="212"/>
      <c r="R10" s="210"/>
      <c r="S10" s="210"/>
      <c r="T10" s="210"/>
      <c r="U10" s="213"/>
      <c r="V10" s="213"/>
      <c r="W10" s="213"/>
      <c r="X10" s="214"/>
      <c r="Y10" s="209"/>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8"/>
      <c r="BG10" s="208"/>
      <c r="BH10" s="208"/>
      <c r="BI10" s="208"/>
      <c r="BJ10" s="208"/>
      <c r="BK10" s="208"/>
      <c r="BL10" s="215"/>
      <c r="BM10" s="215"/>
      <c r="BN10" s="215"/>
      <c r="BO10" s="215"/>
      <c r="BP10" s="44"/>
      <c r="BQ10" s="3"/>
      <c r="BR10" s="3"/>
      <c r="BS10" s="3"/>
      <c r="BT10" s="3"/>
      <c r="BU10" s="3"/>
      <c r="BV10" s="3"/>
      <c r="BW10" s="3"/>
      <c r="BX10" s="3"/>
      <c r="BY10" s="3"/>
      <c r="BZ10" s="3"/>
      <c r="CA10" s="3"/>
      <c r="CB10" s="3"/>
      <c r="CC10" s="3"/>
      <c r="CD10" s="3"/>
      <c r="CE10" s="3"/>
      <c r="CF10" s="3"/>
      <c r="CG10" s="3"/>
      <c r="CH10" s="3"/>
      <c r="CI10" s="3"/>
    </row>
    <row r="11" spans="1:101" s="4" customFormat="1" ht="25.5" customHeight="1" x14ac:dyDescent="0.2">
      <c r="A11" s="216"/>
      <c r="B11" s="217"/>
      <c r="C11" s="47"/>
      <c r="D11" s="218">
        <v>16</v>
      </c>
      <c r="E11" s="219" t="s">
        <v>234</v>
      </c>
      <c r="F11" s="220"/>
      <c r="G11" s="221"/>
      <c r="H11" s="221"/>
      <c r="I11" s="222"/>
      <c r="J11" s="222"/>
      <c r="K11" s="223"/>
      <c r="L11" s="224"/>
      <c r="M11" s="225"/>
      <c r="N11" s="226"/>
      <c r="O11" s="227"/>
      <c r="P11" s="228"/>
      <c r="Q11" s="229"/>
      <c r="R11" s="230"/>
      <c r="S11" s="230"/>
      <c r="T11" s="230"/>
      <c r="U11" s="231"/>
      <c r="V11" s="231"/>
      <c r="W11" s="231"/>
      <c r="X11" s="232"/>
      <c r="Y11" s="226"/>
      <c r="Z11" s="233"/>
      <c r="AA11" s="234"/>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25"/>
      <c r="BG11" s="225"/>
      <c r="BH11" s="225"/>
      <c r="BI11" s="225"/>
      <c r="BJ11" s="225"/>
      <c r="BK11" s="225"/>
      <c r="BL11" s="235"/>
      <c r="BM11" s="235"/>
      <c r="BN11" s="235"/>
      <c r="BO11" s="235"/>
      <c r="BP11" s="61"/>
      <c r="BQ11" s="3"/>
      <c r="BR11" s="3"/>
      <c r="BS11" s="3"/>
      <c r="BT11" s="3"/>
      <c r="BU11" s="3"/>
      <c r="BV11" s="3"/>
      <c r="BW11" s="3"/>
      <c r="BX11" s="3"/>
      <c r="BY11" s="3"/>
      <c r="BZ11" s="3"/>
      <c r="CA11" s="3"/>
      <c r="CB11" s="3"/>
      <c r="CC11" s="3"/>
      <c r="CD11" s="3"/>
      <c r="CE11" s="3"/>
      <c r="CF11" s="3"/>
      <c r="CG11" s="3"/>
      <c r="CH11" s="3"/>
      <c r="CI11" s="3"/>
    </row>
    <row r="12" spans="1:101" s="249" customFormat="1" ht="180.75" customHeight="1" x14ac:dyDescent="0.2">
      <c r="A12" s="236"/>
      <c r="B12" s="237"/>
      <c r="C12" s="238"/>
      <c r="D12" s="239"/>
      <c r="E12" s="240"/>
      <c r="F12" s="241"/>
      <c r="G12" s="3224">
        <v>2301024</v>
      </c>
      <c r="H12" s="2721">
        <v>16.399999999999999</v>
      </c>
      <c r="I12" s="3042" t="s">
        <v>235</v>
      </c>
      <c r="J12" s="2908" t="s">
        <v>236</v>
      </c>
      <c r="K12" s="3224">
        <v>1</v>
      </c>
      <c r="L12" s="3224">
        <v>1</v>
      </c>
      <c r="M12" s="2581" t="s">
        <v>237</v>
      </c>
      <c r="N12" s="2594" t="s">
        <v>238</v>
      </c>
      <c r="O12" s="2764" t="s">
        <v>239</v>
      </c>
      <c r="P12" s="2609">
        <f>(U12+U13+U14+U15+U17+U16)/Q12</f>
        <v>0.87920535</v>
      </c>
      <c r="Q12" s="4459">
        <f>SUM(U12:U18)</f>
        <v>200000000</v>
      </c>
      <c r="R12" s="2593" t="s">
        <v>240</v>
      </c>
      <c r="S12" s="4135" t="s">
        <v>241</v>
      </c>
      <c r="T12" s="242" t="s">
        <v>242</v>
      </c>
      <c r="U12" s="243">
        <f>25365332-5029334</f>
        <v>20335998</v>
      </c>
      <c r="V12" s="243">
        <f>20335998</f>
        <v>20335998</v>
      </c>
      <c r="W12" s="244">
        <f>V12</f>
        <v>20335998</v>
      </c>
      <c r="X12" s="245">
        <v>20</v>
      </c>
      <c r="Y12" s="246" t="s">
        <v>243</v>
      </c>
      <c r="Z12" s="3619">
        <v>295972</v>
      </c>
      <c r="AA12" s="4457">
        <v>295972</v>
      </c>
      <c r="AB12" s="3369">
        <v>294321</v>
      </c>
      <c r="AC12" s="3369">
        <v>294321</v>
      </c>
      <c r="AD12" s="3362">
        <v>132302</v>
      </c>
      <c r="AE12" s="3362">
        <v>132302</v>
      </c>
      <c r="AF12" s="3362">
        <v>43426</v>
      </c>
      <c r="AG12" s="3362">
        <v>43426</v>
      </c>
      <c r="AH12" s="3362">
        <v>313940</v>
      </c>
      <c r="AI12" s="3362">
        <v>313940</v>
      </c>
      <c r="AJ12" s="3362">
        <v>100625</v>
      </c>
      <c r="AK12" s="3362">
        <v>100625</v>
      </c>
      <c r="AL12" s="3362">
        <v>2145</v>
      </c>
      <c r="AM12" s="3362">
        <v>2145</v>
      </c>
      <c r="AN12" s="3362">
        <v>12718</v>
      </c>
      <c r="AO12" s="3362">
        <v>12718</v>
      </c>
      <c r="AP12" s="3362">
        <v>36</v>
      </c>
      <c r="AQ12" s="3362">
        <v>36</v>
      </c>
      <c r="AR12" s="3362">
        <v>0</v>
      </c>
      <c r="AS12" s="3362">
        <v>0</v>
      </c>
      <c r="AT12" s="3362">
        <v>0</v>
      </c>
      <c r="AU12" s="3362">
        <v>0</v>
      </c>
      <c r="AV12" s="3362">
        <v>0</v>
      </c>
      <c r="AW12" s="3362">
        <v>0</v>
      </c>
      <c r="AX12" s="3362">
        <v>70</v>
      </c>
      <c r="AY12" s="3362">
        <v>70</v>
      </c>
      <c r="AZ12" s="3362">
        <v>21944</v>
      </c>
      <c r="BA12" s="3362">
        <v>21944</v>
      </c>
      <c r="BB12" s="3362">
        <v>285</v>
      </c>
      <c r="BC12" s="3362">
        <v>285</v>
      </c>
      <c r="BD12" s="3362">
        <f>+Z12+AB12</f>
        <v>590293</v>
      </c>
      <c r="BE12" s="3362">
        <f>+AA12+AC12</f>
        <v>590293</v>
      </c>
      <c r="BF12" s="2602">
        <f>13+1+1+1</f>
        <v>16</v>
      </c>
      <c r="BG12" s="4446">
        <f>SUM(V12:V18)</f>
        <v>189971698</v>
      </c>
      <c r="BH12" s="4446">
        <f>SUM(W12:W18)</f>
        <v>189971698</v>
      </c>
      <c r="BI12" s="4454">
        <f>+BG12/BH12</f>
        <v>1</v>
      </c>
      <c r="BJ12" s="2594" t="str">
        <f t="shared" ref="BJ12" si="0">$BJ$28</f>
        <v>20
88</v>
      </c>
      <c r="BK12" s="2594" t="s">
        <v>244</v>
      </c>
      <c r="BL12" s="2631">
        <v>44033</v>
      </c>
      <c r="BM12" s="2631">
        <v>44110</v>
      </c>
      <c r="BN12" s="2631">
        <v>44195</v>
      </c>
      <c r="BO12" s="2631">
        <v>44186</v>
      </c>
      <c r="BP12" s="3592" t="s">
        <v>245</v>
      </c>
      <c r="BQ12" s="248"/>
      <c r="BR12" s="248"/>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row>
    <row r="13" spans="1:101" s="4" customFormat="1" ht="88.5" customHeight="1" x14ac:dyDescent="0.2">
      <c r="A13" s="75"/>
      <c r="B13" s="79"/>
      <c r="C13" s="107"/>
      <c r="D13" s="3"/>
      <c r="E13" s="250"/>
      <c r="F13" s="251"/>
      <c r="G13" s="3225"/>
      <c r="H13" s="2722"/>
      <c r="I13" s="3042"/>
      <c r="J13" s="2909"/>
      <c r="K13" s="3225"/>
      <c r="L13" s="3225"/>
      <c r="M13" s="2582"/>
      <c r="N13" s="2595"/>
      <c r="O13" s="2764"/>
      <c r="P13" s="2609"/>
      <c r="Q13" s="4460"/>
      <c r="R13" s="2593"/>
      <c r="S13" s="4462"/>
      <c r="T13" s="2908" t="s">
        <v>246</v>
      </c>
      <c r="U13" s="252">
        <v>4219868</v>
      </c>
      <c r="V13" s="244">
        <f>U13</f>
        <v>4219868</v>
      </c>
      <c r="W13" s="244">
        <f>V13</f>
        <v>4219868</v>
      </c>
      <c r="X13" s="245">
        <v>20</v>
      </c>
      <c r="Y13" s="246" t="s">
        <v>243</v>
      </c>
      <c r="Z13" s="3619"/>
      <c r="AA13" s="4458"/>
      <c r="AB13" s="3370"/>
      <c r="AC13" s="3370"/>
      <c r="AD13" s="3363"/>
      <c r="AE13" s="3363"/>
      <c r="AF13" s="3363"/>
      <c r="AG13" s="3363"/>
      <c r="AH13" s="3363"/>
      <c r="AI13" s="3363"/>
      <c r="AJ13" s="3363"/>
      <c r="AK13" s="3363"/>
      <c r="AL13" s="3363"/>
      <c r="AM13" s="3363"/>
      <c r="AN13" s="3363"/>
      <c r="AO13" s="3363"/>
      <c r="AP13" s="3363"/>
      <c r="AQ13" s="3363"/>
      <c r="AR13" s="3363"/>
      <c r="AS13" s="3363"/>
      <c r="AT13" s="3363"/>
      <c r="AU13" s="3363"/>
      <c r="AV13" s="3363"/>
      <c r="AW13" s="3363"/>
      <c r="AX13" s="3363"/>
      <c r="AY13" s="3363"/>
      <c r="AZ13" s="3363"/>
      <c r="BA13" s="3363"/>
      <c r="BB13" s="3363"/>
      <c r="BC13" s="3363"/>
      <c r="BD13" s="3363"/>
      <c r="BE13" s="3363"/>
      <c r="BF13" s="2603"/>
      <c r="BG13" s="2603"/>
      <c r="BH13" s="2603"/>
      <c r="BI13" s="4455"/>
      <c r="BJ13" s="2595"/>
      <c r="BK13" s="2595"/>
      <c r="BL13" s="2632"/>
      <c r="BM13" s="2632"/>
      <c r="BN13" s="2632"/>
      <c r="BO13" s="2632"/>
      <c r="BP13" s="3592"/>
      <c r="BQ13" s="253"/>
      <c r="BR13" s="253"/>
      <c r="BS13" s="3"/>
      <c r="BT13" s="3"/>
      <c r="BU13" s="3"/>
      <c r="BV13" s="3"/>
      <c r="BW13" s="3"/>
      <c r="BX13" s="3"/>
      <c r="BY13" s="3"/>
      <c r="BZ13" s="3"/>
      <c r="CA13" s="3"/>
      <c r="CB13" s="3"/>
      <c r="CC13" s="3"/>
      <c r="CD13" s="3"/>
      <c r="CE13" s="3"/>
      <c r="CF13" s="3"/>
      <c r="CG13" s="3"/>
      <c r="CH13" s="3"/>
      <c r="CI13" s="3"/>
    </row>
    <row r="14" spans="1:101" s="4" customFormat="1" ht="99" customHeight="1" x14ac:dyDescent="0.2">
      <c r="A14" s="75"/>
      <c r="B14" s="79"/>
      <c r="C14" s="107"/>
      <c r="D14" s="3"/>
      <c r="E14" s="250"/>
      <c r="F14" s="251"/>
      <c r="G14" s="3225"/>
      <c r="H14" s="2722"/>
      <c r="I14" s="3042"/>
      <c r="J14" s="2909"/>
      <c r="K14" s="3225"/>
      <c r="L14" s="3225"/>
      <c r="M14" s="2582"/>
      <c r="N14" s="2595"/>
      <c r="O14" s="2764"/>
      <c r="P14" s="2609"/>
      <c r="Q14" s="4460"/>
      <c r="R14" s="2593"/>
      <c r="S14" s="4462"/>
      <c r="T14" s="4464"/>
      <c r="U14" s="252">
        <v>45780132</v>
      </c>
      <c r="V14" s="244">
        <f>U14</f>
        <v>45780132</v>
      </c>
      <c r="W14" s="244">
        <f>V14</f>
        <v>45780132</v>
      </c>
      <c r="X14" s="245">
        <v>88</v>
      </c>
      <c r="Y14" s="246" t="s">
        <v>247</v>
      </c>
      <c r="Z14" s="3619"/>
      <c r="AA14" s="4458"/>
      <c r="AB14" s="3370"/>
      <c r="AC14" s="3370"/>
      <c r="AD14" s="3363"/>
      <c r="AE14" s="3363"/>
      <c r="AF14" s="3363"/>
      <c r="AG14" s="3363"/>
      <c r="AH14" s="3363"/>
      <c r="AI14" s="3363"/>
      <c r="AJ14" s="3363"/>
      <c r="AK14" s="3363"/>
      <c r="AL14" s="3363"/>
      <c r="AM14" s="3363"/>
      <c r="AN14" s="3363"/>
      <c r="AO14" s="3363"/>
      <c r="AP14" s="3363"/>
      <c r="AQ14" s="3363"/>
      <c r="AR14" s="3363"/>
      <c r="AS14" s="3363"/>
      <c r="AT14" s="3363"/>
      <c r="AU14" s="3363"/>
      <c r="AV14" s="3363"/>
      <c r="AW14" s="3363"/>
      <c r="AX14" s="3363"/>
      <c r="AY14" s="3363"/>
      <c r="AZ14" s="3363"/>
      <c r="BA14" s="3363"/>
      <c r="BB14" s="3363"/>
      <c r="BC14" s="3363"/>
      <c r="BD14" s="3363"/>
      <c r="BE14" s="3363"/>
      <c r="BF14" s="2603"/>
      <c r="BG14" s="2603"/>
      <c r="BH14" s="2603"/>
      <c r="BI14" s="4455"/>
      <c r="BJ14" s="2595"/>
      <c r="BK14" s="2595"/>
      <c r="BL14" s="2632"/>
      <c r="BM14" s="2632"/>
      <c r="BN14" s="2632"/>
      <c r="BO14" s="2632"/>
      <c r="BP14" s="3592"/>
      <c r="BQ14" s="253"/>
      <c r="BR14" s="253"/>
      <c r="BS14" s="3"/>
      <c r="BT14" s="3"/>
      <c r="BU14" s="3"/>
      <c r="BV14" s="3"/>
      <c r="BW14" s="3"/>
      <c r="BX14" s="3"/>
      <c r="BY14" s="3"/>
      <c r="BZ14" s="3"/>
      <c r="CA14" s="3"/>
      <c r="CB14" s="3"/>
      <c r="CC14" s="3"/>
      <c r="CD14" s="3"/>
      <c r="CE14" s="3"/>
      <c r="CF14" s="3"/>
      <c r="CG14" s="3"/>
      <c r="CH14" s="3"/>
      <c r="CI14" s="3"/>
    </row>
    <row r="15" spans="1:101" s="4" customFormat="1" ht="90" customHeight="1" x14ac:dyDescent="0.2">
      <c r="A15" s="254"/>
      <c r="B15" s="255"/>
      <c r="C15" s="256"/>
      <c r="D15" s="257"/>
      <c r="E15" s="258"/>
      <c r="F15" s="259"/>
      <c r="G15" s="3225"/>
      <c r="H15" s="2722"/>
      <c r="I15" s="3042"/>
      <c r="J15" s="2909"/>
      <c r="K15" s="3225"/>
      <c r="L15" s="3225"/>
      <c r="M15" s="2582"/>
      <c r="N15" s="2595"/>
      <c r="O15" s="2764"/>
      <c r="P15" s="2609"/>
      <c r="Q15" s="4460"/>
      <c r="R15" s="2593"/>
      <c r="S15" s="4462"/>
      <c r="T15" s="242" t="s">
        <v>248</v>
      </c>
      <c r="U15" s="252">
        <f>22019202-5815303</f>
        <v>16203899</v>
      </c>
      <c r="V15" s="244">
        <f>16203899</f>
        <v>16203899</v>
      </c>
      <c r="W15" s="244">
        <f>V15</f>
        <v>16203899</v>
      </c>
      <c r="X15" s="245">
        <v>20</v>
      </c>
      <c r="Y15" s="246" t="s">
        <v>243</v>
      </c>
      <c r="Z15" s="3619"/>
      <c r="AA15" s="4458"/>
      <c r="AB15" s="3370"/>
      <c r="AC15" s="3370"/>
      <c r="AD15" s="3363"/>
      <c r="AE15" s="3363"/>
      <c r="AF15" s="3363"/>
      <c r="AG15" s="3363"/>
      <c r="AH15" s="3363"/>
      <c r="AI15" s="3363"/>
      <c r="AJ15" s="3363"/>
      <c r="AK15" s="3363"/>
      <c r="AL15" s="3363"/>
      <c r="AM15" s="3363"/>
      <c r="AN15" s="3363"/>
      <c r="AO15" s="3363"/>
      <c r="AP15" s="3363"/>
      <c r="AQ15" s="3363"/>
      <c r="AR15" s="3363"/>
      <c r="AS15" s="3363"/>
      <c r="AT15" s="3363"/>
      <c r="AU15" s="3363"/>
      <c r="AV15" s="3363"/>
      <c r="AW15" s="3363"/>
      <c r="AX15" s="3363"/>
      <c r="AY15" s="3363"/>
      <c r="AZ15" s="3363"/>
      <c r="BA15" s="3363"/>
      <c r="BB15" s="3363"/>
      <c r="BC15" s="3363"/>
      <c r="BD15" s="3363"/>
      <c r="BE15" s="3363"/>
      <c r="BF15" s="2603"/>
      <c r="BG15" s="2603"/>
      <c r="BH15" s="2603"/>
      <c r="BI15" s="4455"/>
      <c r="BJ15" s="2595"/>
      <c r="BK15" s="2595"/>
      <c r="BL15" s="2632"/>
      <c r="BM15" s="2632"/>
      <c r="BN15" s="2632"/>
      <c r="BO15" s="2632"/>
      <c r="BP15" s="3592"/>
      <c r="BQ15" s="260"/>
      <c r="BR15" s="260"/>
      <c r="BS15" s="257"/>
      <c r="BT15" s="257"/>
      <c r="BU15" s="257"/>
      <c r="BV15" s="257"/>
      <c r="BW15" s="257"/>
      <c r="BX15" s="257"/>
      <c r="BY15" s="257"/>
      <c r="BZ15" s="257"/>
      <c r="CA15" s="257"/>
      <c r="CB15" s="257"/>
      <c r="CC15" s="257"/>
      <c r="CD15" s="257"/>
      <c r="CE15" s="257"/>
      <c r="CF15" s="257"/>
      <c r="CG15" s="257"/>
      <c r="CH15" s="257"/>
      <c r="CI15" s="257"/>
    </row>
    <row r="16" spans="1:101" s="4" customFormat="1" ht="90" customHeight="1" x14ac:dyDescent="0.2">
      <c r="A16" s="254"/>
      <c r="B16" s="255"/>
      <c r="C16" s="256"/>
      <c r="D16" s="257"/>
      <c r="E16" s="258"/>
      <c r="F16" s="259"/>
      <c r="G16" s="3225"/>
      <c r="H16" s="2722"/>
      <c r="I16" s="3042"/>
      <c r="J16" s="2909"/>
      <c r="K16" s="3225"/>
      <c r="L16" s="3225"/>
      <c r="M16" s="2582"/>
      <c r="N16" s="2595"/>
      <c r="O16" s="2764"/>
      <c r="P16" s="2609"/>
      <c r="Q16" s="4460"/>
      <c r="R16" s="2593"/>
      <c r="S16" s="4462"/>
      <c r="T16" s="261" t="s">
        <v>249</v>
      </c>
      <c r="U16" s="252">
        <f>5029334+5815303+6432536</f>
        <v>17277173</v>
      </c>
      <c r="V16" s="244">
        <v>11306071</v>
      </c>
      <c r="W16" s="244">
        <v>11306071</v>
      </c>
      <c r="X16" s="245">
        <v>20</v>
      </c>
      <c r="Y16" s="246" t="s">
        <v>243</v>
      </c>
      <c r="Z16" s="3619"/>
      <c r="AA16" s="4458"/>
      <c r="AB16" s="3370"/>
      <c r="AC16" s="3370"/>
      <c r="AD16" s="3363"/>
      <c r="AE16" s="3363"/>
      <c r="AF16" s="3363"/>
      <c r="AG16" s="3363"/>
      <c r="AH16" s="3363"/>
      <c r="AI16" s="3363"/>
      <c r="AJ16" s="3363"/>
      <c r="AK16" s="3363"/>
      <c r="AL16" s="3363"/>
      <c r="AM16" s="3363"/>
      <c r="AN16" s="3363"/>
      <c r="AO16" s="3363"/>
      <c r="AP16" s="3363"/>
      <c r="AQ16" s="3363"/>
      <c r="AR16" s="3363"/>
      <c r="AS16" s="3363"/>
      <c r="AT16" s="3363"/>
      <c r="AU16" s="3363"/>
      <c r="AV16" s="3363"/>
      <c r="AW16" s="3363"/>
      <c r="AX16" s="3363"/>
      <c r="AY16" s="3363"/>
      <c r="AZ16" s="3363"/>
      <c r="BA16" s="3363"/>
      <c r="BB16" s="3363"/>
      <c r="BC16" s="3363"/>
      <c r="BD16" s="3363"/>
      <c r="BE16" s="3363"/>
      <c r="BF16" s="2603"/>
      <c r="BG16" s="2603"/>
      <c r="BH16" s="2603"/>
      <c r="BI16" s="4455"/>
      <c r="BJ16" s="2595"/>
      <c r="BK16" s="2595"/>
      <c r="BL16" s="2632"/>
      <c r="BM16" s="2632"/>
      <c r="BN16" s="2632"/>
      <c r="BO16" s="2632"/>
      <c r="BP16" s="3592"/>
      <c r="BQ16" s="260"/>
      <c r="BR16" s="260"/>
      <c r="BS16" s="257"/>
      <c r="BT16" s="257"/>
      <c r="BU16" s="257"/>
      <c r="BV16" s="257"/>
      <c r="BW16" s="257"/>
      <c r="BX16" s="257"/>
      <c r="BY16" s="257"/>
      <c r="BZ16" s="257"/>
      <c r="CA16" s="257"/>
      <c r="CB16" s="257"/>
      <c r="CC16" s="257"/>
      <c r="CD16" s="257"/>
      <c r="CE16" s="257"/>
      <c r="CF16" s="257"/>
      <c r="CG16" s="257"/>
      <c r="CH16" s="257"/>
      <c r="CI16" s="257"/>
    </row>
    <row r="17" spans="1:87" s="4" customFormat="1" ht="81" customHeight="1" x14ac:dyDescent="0.2">
      <c r="A17" s="254"/>
      <c r="B17" s="255"/>
      <c r="C17" s="256"/>
      <c r="D17" s="257"/>
      <c r="E17" s="258"/>
      <c r="F17" s="259"/>
      <c r="G17" s="3384"/>
      <c r="H17" s="2723"/>
      <c r="I17" s="3042"/>
      <c r="J17" s="3422"/>
      <c r="K17" s="3384"/>
      <c r="L17" s="3384"/>
      <c r="M17" s="2582"/>
      <c r="N17" s="2595"/>
      <c r="O17" s="2764"/>
      <c r="P17" s="2609"/>
      <c r="Q17" s="4460"/>
      <c r="R17" s="2593"/>
      <c r="S17" s="4463"/>
      <c r="T17" s="261" t="s">
        <v>249</v>
      </c>
      <c r="U17" s="252">
        <v>72024000</v>
      </c>
      <c r="V17" s="244">
        <f>58444000+9522800</f>
        <v>67966800</v>
      </c>
      <c r="W17" s="244">
        <f>V17</f>
        <v>67966800</v>
      </c>
      <c r="X17" s="245">
        <v>88</v>
      </c>
      <c r="Y17" s="246" t="s">
        <v>247</v>
      </c>
      <c r="Z17" s="3619"/>
      <c r="AA17" s="4458"/>
      <c r="AB17" s="3370"/>
      <c r="AC17" s="3370"/>
      <c r="AD17" s="3363"/>
      <c r="AE17" s="3363"/>
      <c r="AF17" s="3363"/>
      <c r="AG17" s="3363"/>
      <c r="AH17" s="3363"/>
      <c r="AI17" s="3363"/>
      <c r="AJ17" s="3363"/>
      <c r="AK17" s="3363"/>
      <c r="AL17" s="3363"/>
      <c r="AM17" s="3363"/>
      <c r="AN17" s="3363"/>
      <c r="AO17" s="3363"/>
      <c r="AP17" s="3363"/>
      <c r="AQ17" s="3363"/>
      <c r="AR17" s="3363"/>
      <c r="AS17" s="3363"/>
      <c r="AT17" s="3363"/>
      <c r="AU17" s="3363"/>
      <c r="AV17" s="3363"/>
      <c r="AW17" s="3363"/>
      <c r="AX17" s="3363"/>
      <c r="AY17" s="3363"/>
      <c r="AZ17" s="3363"/>
      <c r="BA17" s="3363"/>
      <c r="BB17" s="3363"/>
      <c r="BC17" s="3363"/>
      <c r="BD17" s="3363"/>
      <c r="BE17" s="3363"/>
      <c r="BF17" s="2603"/>
      <c r="BG17" s="2603"/>
      <c r="BH17" s="2603"/>
      <c r="BI17" s="4455"/>
      <c r="BJ17" s="2595"/>
      <c r="BK17" s="2595"/>
      <c r="BL17" s="2632"/>
      <c r="BM17" s="2632"/>
      <c r="BN17" s="2632"/>
      <c r="BO17" s="2632"/>
      <c r="BP17" s="3592"/>
      <c r="BQ17" s="260"/>
      <c r="BR17" s="260"/>
      <c r="BS17" s="257"/>
      <c r="BT17" s="257"/>
      <c r="BU17" s="257"/>
      <c r="BV17" s="257"/>
      <c r="BW17" s="257"/>
      <c r="BX17" s="257"/>
      <c r="BY17" s="257"/>
      <c r="BZ17" s="257"/>
      <c r="CA17" s="257"/>
      <c r="CB17" s="257"/>
      <c r="CC17" s="257"/>
      <c r="CD17" s="257"/>
      <c r="CE17" s="257"/>
      <c r="CF17" s="257"/>
      <c r="CG17" s="257"/>
      <c r="CH17" s="257"/>
      <c r="CI17" s="257"/>
    </row>
    <row r="18" spans="1:87" s="4" customFormat="1" ht="177.75" customHeight="1" x14ac:dyDescent="0.2">
      <c r="A18" s="262"/>
      <c r="C18" s="123"/>
      <c r="D18" s="263"/>
      <c r="E18" s="264"/>
      <c r="F18" s="265"/>
      <c r="G18" s="266">
        <v>2301030</v>
      </c>
      <c r="H18" s="1982" t="s">
        <v>250</v>
      </c>
      <c r="I18" s="267" t="s">
        <v>251</v>
      </c>
      <c r="J18" s="268" t="s">
        <v>252</v>
      </c>
      <c r="K18" s="269">
        <v>500</v>
      </c>
      <c r="L18" s="270">
        <v>500</v>
      </c>
      <c r="M18" s="2726"/>
      <c r="N18" s="2971"/>
      <c r="O18" s="3785"/>
      <c r="P18" s="271">
        <f>U18/Q12</f>
        <v>0.12079465</v>
      </c>
      <c r="Q18" s="4461"/>
      <c r="R18" s="2593"/>
      <c r="S18" s="272" t="s">
        <v>253</v>
      </c>
      <c r="T18" s="273" t="s">
        <v>254</v>
      </c>
      <c r="U18" s="243">
        <f>30591466-6432536</f>
        <v>24158930</v>
      </c>
      <c r="V18" s="244">
        <f>6062333+5316199+5316199+4013333+3450866</f>
        <v>24158930</v>
      </c>
      <c r="W18" s="244">
        <f>V18</f>
        <v>24158930</v>
      </c>
      <c r="X18" s="245">
        <v>20</v>
      </c>
      <c r="Y18" s="246" t="s">
        <v>243</v>
      </c>
      <c r="Z18" s="3619"/>
      <c r="AA18" s="4458"/>
      <c r="AB18" s="3371"/>
      <c r="AC18" s="3371"/>
      <c r="AD18" s="3364"/>
      <c r="AE18" s="3364"/>
      <c r="AF18" s="3364"/>
      <c r="AG18" s="3364"/>
      <c r="AH18" s="3364"/>
      <c r="AI18" s="3364"/>
      <c r="AJ18" s="3364"/>
      <c r="AK18" s="3364"/>
      <c r="AL18" s="3364"/>
      <c r="AM18" s="3364"/>
      <c r="AN18" s="3364"/>
      <c r="AO18" s="3364"/>
      <c r="AP18" s="3364"/>
      <c r="AQ18" s="3364"/>
      <c r="AR18" s="3364"/>
      <c r="AS18" s="3364"/>
      <c r="AT18" s="3364"/>
      <c r="AU18" s="3364"/>
      <c r="AV18" s="3364"/>
      <c r="AW18" s="3364"/>
      <c r="AX18" s="3364"/>
      <c r="AY18" s="3364"/>
      <c r="AZ18" s="3364"/>
      <c r="BA18" s="3364"/>
      <c r="BB18" s="3364"/>
      <c r="BC18" s="3364"/>
      <c r="BD18" s="3364"/>
      <c r="BE18" s="3364"/>
      <c r="BF18" s="3055"/>
      <c r="BG18" s="3055"/>
      <c r="BH18" s="3055"/>
      <c r="BI18" s="4456"/>
      <c r="BJ18" s="2971"/>
      <c r="BK18" s="2971"/>
      <c r="BL18" s="2756"/>
      <c r="BM18" s="2756"/>
      <c r="BN18" s="2756"/>
      <c r="BO18" s="2756"/>
      <c r="BP18" s="3592"/>
      <c r="BQ18" s="253"/>
      <c r="BR18" s="253"/>
    </row>
    <row r="19" spans="1:87" s="4" customFormat="1" ht="27" customHeight="1" x14ac:dyDescent="0.2">
      <c r="A19" s="45"/>
      <c r="B19" s="275"/>
      <c r="C19" s="276"/>
      <c r="D19" s="277">
        <v>17</v>
      </c>
      <c r="E19" s="219" t="s">
        <v>255</v>
      </c>
      <c r="F19" s="220"/>
      <c r="G19" s="221"/>
      <c r="H19" s="221"/>
      <c r="I19" s="222"/>
      <c r="J19" s="278"/>
      <c r="K19" s="223"/>
      <c r="L19" s="223"/>
      <c r="M19" s="1744"/>
      <c r="N19" s="280"/>
      <c r="O19" s="279"/>
      <c r="P19" s="281"/>
      <c r="Q19" s="282"/>
      <c r="R19" s="279"/>
      <c r="S19" s="279"/>
      <c r="T19" s="279"/>
      <c r="U19" s="283"/>
      <c r="V19" s="284"/>
      <c r="W19" s="284"/>
      <c r="X19" s="285"/>
      <c r="Y19" s="286"/>
      <c r="Z19" s="287"/>
      <c r="AA19" s="287"/>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223"/>
      <c r="BE19" s="223"/>
      <c r="BF19" s="280"/>
      <c r="BG19" s="280"/>
      <c r="BH19" s="280"/>
      <c r="BI19" s="280"/>
      <c r="BJ19" s="280"/>
      <c r="BK19" s="280"/>
      <c r="BL19" s="288"/>
      <c r="BM19" s="288"/>
      <c r="BN19" s="288"/>
      <c r="BO19" s="288"/>
      <c r="BP19" s="289"/>
      <c r="BQ19" s="3"/>
      <c r="BR19" s="3"/>
      <c r="BS19" s="3"/>
      <c r="BT19" s="3"/>
      <c r="BU19" s="3"/>
      <c r="BV19" s="3"/>
      <c r="BW19" s="3"/>
      <c r="BX19" s="3"/>
      <c r="BY19" s="3"/>
      <c r="BZ19" s="3"/>
      <c r="CA19" s="3"/>
      <c r="CB19" s="3"/>
      <c r="CC19" s="3"/>
      <c r="CD19" s="3"/>
      <c r="CE19" s="3"/>
      <c r="CF19" s="3"/>
      <c r="CG19" s="3"/>
      <c r="CH19" s="3"/>
      <c r="CI19" s="3"/>
    </row>
    <row r="20" spans="1:87" s="4" customFormat="1" ht="243.75" customHeight="1" x14ac:dyDescent="0.2">
      <c r="A20" s="290"/>
      <c r="B20" s="291"/>
      <c r="C20" s="80"/>
      <c r="D20" s="292"/>
      <c r="E20" s="293"/>
      <c r="F20" s="294"/>
      <c r="G20" s="101">
        <v>2302042</v>
      </c>
      <c r="H20" s="1862" t="s">
        <v>256</v>
      </c>
      <c r="I20" s="127" t="s">
        <v>257</v>
      </c>
      <c r="J20" s="296" t="s">
        <v>258</v>
      </c>
      <c r="K20" s="102">
        <v>1</v>
      </c>
      <c r="L20" s="297">
        <v>1</v>
      </c>
      <c r="M20" s="2233" t="s">
        <v>259</v>
      </c>
      <c r="N20" s="298" t="s">
        <v>260</v>
      </c>
      <c r="O20" s="127" t="s">
        <v>261</v>
      </c>
      <c r="P20" s="299">
        <f>+U20/Q20</f>
        <v>1</v>
      </c>
      <c r="Q20" s="244">
        <f>+U20</f>
        <v>7164000</v>
      </c>
      <c r="R20" s="296" t="s">
        <v>262</v>
      </c>
      <c r="S20" s="296" t="s">
        <v>263</v>
      </c>
      <c r="T20" s="242" t="s">
        <v>264</v>
      </c>
      <c r="U20" s="243">
        <v>7164000</v>
      </c>
      <c r="V20" s="244">
        <v>6628000</v>
      </c>
      <c r="W20" s="244">
        <f>V20</f>
        <v>6628000</v>
      </c>
      <c r="X20" s="300">
        <v>88</v>
      </c>
      <c r="Y20" s="301" t="s">
        <v>243</v>
      </c>
      <c r="Z20" s="302">
        <v>295972</v>
      </c>
      <c r="AA20" s="302">
        <v>295972</v>
      </c>
      <c r="AB20" s="298">
        <v>294321</v>
      </c>
      <c r="AC20" s="298">
        <v>294321</v>
      </c>
      <c r="AD20" s="298">
        <v>132302</v>
      </c>
      <c r="AE20" s="298">
        <v>132302</v>
      </c>
      <c r="AF20" s="298">
        <v>43426</v>
      </c>
      <c r="AG20" s="298">
        <v>43426</v>
      </c>
      <c r="AH20" s="298">
        <v>313940</v>
      </c>
      <c r="AI20" s="298">
        <v>313940</v>
      </c>
      <c r="AJ20" s="298">
        <v>100625</v>
      </c>
      <c r="AK20" s="298">
        <v>100625</v>
      </c>
      <c r="AL20" s="298">
        <v>2145</v>
      </c>
      <c r="AM20" s="298">
        <v>2145</v>
      </c>
      <c r="AN20" s="298">
        <v>12718</v>
      </c>
      <c r="AO20" s="298">
        <v>12718</v>
      </c>
      <c r="AP20" s="298">
        <v>36</v>
      </c>
      <c r="AQ20" s="298">
        <v>36</v>
      </c>
      <c r="AR20" s="303">
        <v>0</v>
      </c>
      <c r="AS20" s="303">
        <v>0</v>
      </c>
      <c r="AT20" s="303">
        <v>0</v>
      </c>
      <c r="AU20" s="303">
        <v>0</v>
      </c>
      <c r="AV20" s="303">
        <v>0</v>
      </c>
      <c r="AW20" s="303">
        <v>0</v>
      </c>
      <c r="AX20" s="298">
        <v>70</v>
      </c>
      <c r="AY20" s="298">
        <v>70</v>
      </c>
      <c r="AZ20" s="298">
        <v>21944</v>
      </c>
      <c r="BA20" s="298">
        <v>21944</v>
      </c>
      <c r="BB20" s="298">
        <v>285</v>
      </c>
      <c r="BC20" s="298">
        <v>285</v>
      </c>
      <c r="BD20" s="298">
        <f>+Z20+AB20</f>
        <v>590293</v>
      </c>
      <c r="BE20" s="298">
        <f>+AA20+AC20</f>
        <v>590293</v>
      </c>
      <c r="BF20" s="130">
        <v>2</v>
      </c>
      <c r="BG20" s="304">
        <f>SUM(V20)</f>
        <v>6628000</v>
      </c>
      <c r="BH20" s="304">
        <f>SUM(W20)</f>
        <v>6628000</v>
      </c>
      <c r="BI20" s="305">
        <f>+BH20/BG20</f>
        <v>1</v>
      </c>
      <c r="BJ20" s="130">
        <v>88</v>
      </c>
      <c r="BK20" s="306" t="s">
        <v>265</v>
      </c>
      <c r="BL20" s="98">
        <v>44033</v>
      </c>
      <c r="BM20" s="98">
        <v>44125</v>
      </c>
      <c r="BN20" s="98">
        <v>44195</v>
      </c>
      <c r="BO20" s="98">
        <v>44186</v>
      </c>
      <c r="BP20" s="307" t="s">
        <v>245</v>
      </c>
      <c r="BR20" s="3"/>
      <c r="BS20" s="3"/>
      <c r="BT20" s="3"/>
      <c r="BU20" s="3"/>
      <c r="BV20" s="3"/>
      <c r="BW20" s="3"/>
      <c r="BX20" s="3"/>
      <c r="BY20" s="3"/>
      <c r="BZ20" s="3"/>
      <c r="CA20" s="3"/>
      <c r="CB20" s="3"/>
      <c r="CC20" s="3"/>
      <c r="CD20" s="3"/>
      <c r="CE20" s="3"/>
      <c r="CF20" s="3"/>
      <c r="CG20" s="3"/>
      <c r="CH20" s="3"/>
      <c r="CI20" s="3"/>
    </row>
    <row r="21" spans="1:87" s="4" customFormat="1" ht="21" customHeight="1" x14ac:dyDescent="0.2">
      <c r="A21" s="308">
        <v>2</v>
      </c>
      <c r="B21" s="309" t="s">
        <v>266</v>
      </c>
      <c r="C21" s="310"/>
      <c r="D21" s="206"/>
      <c r="E21" s="207"/>
      <c r="F21" s="207"/>
      <c r="G21" s="207"/>
      <c r="H21" s="207"/>
      <c r="I21" s="206"/>
      <c r="J21" s="206"/>
      <c r="K21" s="208"/>
      <c r="L21" s="208"/>
      <c r="M21" s="1836"/>
      <c r="N21" s="209"/>
      <c r="O21" s="311"/>
      <c r="P21" s="211"/>
      <c r="Q21" s="312"/>
      <c r="R21" s="311"/>
      <c r="S21" s="311"/>
      <c r="T21" s="311"/>
      <c r="U21" s="313"/>
      <c r="V21" s="314"/>
      <c r="W21" s="314"/>
      <c r="X21" s="315"/>
      <c r="Y21" s="311"/>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6"/>
      <c r="BA21" s="316"/>
      <c r="BB21" s="316"/>
      <c r="BC21" s="316"/>
      <c r="BD21" s="316"/>
      <c r="BE21" s="316"/>
      <c r="BF21" s="209"/>
      <c r="BG21" s="209"/>
      <c r="BH21" s="209"/>
      <c r="BI21" s="209"/>
      <c r="BJ21" s="209"/>
      <c r="BK21" s="209"/>
      <c r="BL21" s="317"/>
      <c r="BM21" s="317"/>
      <c r="BN21" s="317"/>
      <c r="BO21" s="317"/>
      <c r="BP21" s="318"/>
      <c r="BQ21" s="3"/>
      <c r="BR21" s="3"/>
      <c r="BS21" s="3"/>
      <c r="BT21" s="3"/>
      <c r="BU21" s="3"/>
      <c r="BV21" s="3"/>
      <c r="BW21" s="3"/>
      <c r="BX21" s="3"/>
      <c r="BY21" s="3"/>
      <c r="BZ21" s="3"/>
      <c r="CA21" s="3"/>
      <c r="CB21" s="3"/>
      <c r="CC21" s="3"/>
      <c r="CD21" s="3"/>
      <c r="CE21" s="3"/>
      <c r="CF21" s="3"/>
      <c r="CG21" s="3"/>
      <c r="CH21" s="3"/>
      <c r="CI21" s="3"/>
    </row>
    <row r="22" spans="1:87" s="4" customFormat="1" ht="27" customHeight="1" x14ac:dyDescent="0.2">
      <c r="A22" s="216"/>
      <c r="B22" s="217"/>
      <c r="C22" s="47"/>
      <c r="D22" s="277">
        <v>31</v>
      </c>
      <c r="E22" s="319" t="s">
        <v>267</v>
      </c>
      <c r="F22" s="222"/>
      <c r="G22" s="221"/>
      <c r="H22" s="221"/>
      <c r="I22" s="222"/>
      <c r="J22" s="222"/>
      <c r="K22" s="223"/>
      <c r="L22" s="223"/>
      <c r="M22" s="1744"/>
      <c r="N22" s="280"/>
      <c r="O22" s="279"/>
      <c r="P22" s="320"/>
      <c r="Q22" s="282"/>
      <c r="R22" s="279"/>
      <c r="S22" s="279"/>
      <c r="T22" s="279"/>
      <c r="U22" s="321"/>
      <c r="V22" s="284"/>
      <c r="W22" s="284"/>
      <c r="X22" s="322"/>
      <c r="Y22" s="279"/>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80"/>
      <c r="BG22" s="280"/>
      <c r="BH22" s="280"/>
      <c r="BI22" s="280"/>
      <c r="BJ22" s="280"/>
      <c r="BK22" s="280"/>
      <c r="BL22" s="288"/>
      <c r="BM22" s="288"/>
      <c r="BN22" s="288"/>
      <c r="BO22" s="288"/>
      <c r="BP22" s="289"/>
      <c r="BQ22" s="3"/>
      <c r="BR22" s="3"/>
      <c r="BS22" s="3"/>
      <c r="BT22" s="3"/>
      <c r="BU22" s="3"/>
      <c r="BV22" s="3"/>
      <c r="BW22" s="3"/>
      <c r="BX22" s="3"/>
      <c r="BY22" s="3"/>
      <c r="BZ22" s="3"/>
      <c r="CA22" s="3"/>
      <c r="CB22" s="3"/>
      <c r="CC22" s="3"/>
      <c r="CD22" s="3"/>
      <c r="CE22" s="3"/>
      <c r="CF22" s="3"/>
      <c r="CG22" s="3"/>
      <c r="CH22" s="3"/>
      <c r="CI22" s="3"/>
    </row>
    <row r="23" spans="1:87" s="4" customFormat="1" ht="122.25" customHeight="1" x14ac:dyDescent="0.2">
      <c r="A23" s="75"/>
      <c r="B23" s="79"/>
      <c r="C23" s="107"/>
      <c r="D23" s="323"/>
      <c r="E23" s="293"/>
      <c r="F23" s="294"/>
      <c r="G23" s="101">
        <v>3903005</v>
      </c>
      <c r="H23" s="1862" t="s">
        <v>268</v>
      </c>
      <c r="I23" s="127" t="s">
        <v>269</v>
      </c>
      <c r="J23" s="296" t="s">
        <v>270</v>
      </c>
      <c r="K23" s="102">
        <v>1</v>
      </c>
      <c r="L23" s="297">
        <v>1</v>
      </c>
      <c r="M23" s="2233" t="s">
        <v>271</v>
      </c>
      <c r="N23" s="302" t="s">
        <v>272</v>
      </c>
      <c r="O23" s="127" t="s">
        <v>273</v>
      </c>
      <c r="P23" s="299">
        <f>+U23/Q23</f>
        <v>1</v>
      </c>
      <c r="Q23" s="244">
        <f>+U23</f>
        <v>54000000</v>
      </c>
      <c r="R23" s="324" t="s">
        <v>274</v>
      </c>
      <c r="S23" s="324" t="s">
        <v>275</v>
      </c>
      <c r="T23" s="242" t="s">
        <v>276</v>
      </c>
      <c r="U23" s="243">
        <v>54000000</v>
      </c>
      <c r="V23" s="244">
        <v>51074800</v>
      </c>
      <c r="W23" s="244">
        <f>V23</f>
        <v>51074800</v>
      </c>
      <c r="X23" s="300">
        <v>88</v>
      </c>
      <c r="Y23" s="301" t="s">
        <v>247</v>
      </c>
      <c r="Z23" s="302">
        <v>295972</v>
      </c>
      <c r="AA23" s="302">
        <v>295972</v>
      </c>
      <c r="AB23" s="302">
        <v>285580</v>
      </c>
      <c r="AC23" s="302">
        <v>285580</v>
      </c>
      <c r="AD23" s="302">
        <v>66084</v>
      </c>
      <c r="AE23" s="302">
        <v>66084</v>
      </c>
      <c r="AF23" s="302">
        <v>21618</v>
      </c>
      <c r="AG23" s="302">
        <v>21618</v>
      </c>
      <c r="AH23" s="302">
        <v>157087</v>
      </c>
      <c r="AI23" s="302">
        <v>157087</v>
      </c>
      <c r="AJ23" s="302">
        <v>51183</v>
      </c>
      <c r="AK23" s="302">
        <v>51183</v>
      </c>
      <c r="AL23" s="302">
        <v>2145</v>
      </c>
      <c r="AM23" s="302">
        <v>2145</v>
      </c>
      <c r="AN23" s="302">
        <v>12718</v>
      </c>
      <c r="AO23" s="302">
        <v>12718</v>
      </c>
      <c r="AP23" s="302">
        <v>26</v>
      </c>
      <c r="AQ23" s="302">
        <v>26</v>
      </c>
      <c r="AR23" s="302">
        <v>37</v>
      </c>
      <c r="AS23" s="302">
        <v>37</v>
      </c>
      <c r="AT23" s="302">
        <v>0</v>
      </c>
      <c r="AU23" s="302">
        <v>0</v>
      </c>
      <c r="AV23" s="302">
        <v>0</v>
      </c>
      <c r="AW23" s="302">
        <v>0</v>
      </c>
      <c r="AX23" s="302">
        <v>44350</v>
      </c>
      <c r="AY23" s="302">
        <v>44350</v>
      </c>
      <c r="AZ23" s="302">
        <v>21944</v>
      </c>
      <c r="BA23" s="302">
        <v>21944</v>
      </c>
      <c r="BB23" s="302">
        <v>578</v>
      </c>
      <c r="BC23" s="302">
        <v>578</v>
      </c>
      <c r="BD23" s="302">
        <f>+Z23+AB23</f>
        <v>581552</v>
      </c>
      <c r="BE23" s="302">
        <f>+AA23+AC23</f>
        <v>581552</v>
      </c>
      <c r="BF23" s="325">
        <v>1</v>
      </c>
      <c r="BG23" s="304">
        <f>SUM(V23)</f>
        <v>51074800</v>
      </c>
      <c r="BH23" s="304">
        <f>SUM(W23)</f>
        <v>51074800</v>
      </c>
      <c r="BI23" s="305">
        <f>BH23/BG23</f>
        <v>1</v>
      </c>
      <c r="BJ23" s="130">
        <v>88</v>
      </c>
      <c r="BK23" s="306" t="s">
        <v>277</v>
      </c>
      <c r="BL23" s="98">
        <v>44025</v>
      </c>
      <c r="BM23" s="98">
        <v>44105</v>
      </c>
      <c r="BN23" s="98">
        <v>44195</v>
      </c>
      <c r="BO23" s="98">
        <v>44195</v>
      </c>
      <c r="BP23" s="307" t="s">
        <v>245</v>
      </c>
      <c r="BR23" s="3"/>
      <c r="BS23" s="3"/>
      <c r="BT23" s="3"/>
      <c r="BU23" s="3"/>
      <c r="BV23" s="3"/>
      <c r="BW23" s="3"/>
      <c r="BX23" s="3"/>
      <c r="BY23" s="3"/>
      <c r="BZ23" s="3"/>
      <c r="CA23" s="3"/>
      <c r="CB23" s="3"/>
      <c r="CC23" s="3"/>
      <c r="CD23" s="3"/>
      <c r="CE23" s="3"/>
      <c r="CF23" s="3"/>
      <c r="CG23" s="3"/>
      <c r="CH23" s="3"/>
      <c r="CI23" s="3"/>
    </row>
    <row r="24" spans="1:87" s="4" customFormat="1" ht="30.75" customHeight="1" x14ac:dyDescent="0.2">
      <c r="A24" s="45"/>
      <c r="B24" s="275"/>
      <c r="C24" s="276"/>
      <c r="D24" s="48">
        <v>32</v>
      </c>
      <c r="E24" s="319" t="s">
        <v>278</v>
      </c>
      <c r="F24" s="222"/>
      <c r="G24" s="221"/>
      <c r="H24" s="221"/>
      <c r="I24" s="222"/>
      <c r="J24" s="222"/>
      <c r="K24" s="223"/>
      <c r="L24" s="223"/>
      <c r="M24" s="1744"/>
      <c r="N24" s="280"/>
      <c r="O24" s="279"/>
      <c r="P24" s="320"/>
      <c r="Q24" s="282"/>
      <c r="R24" s="279"/>
      <c r="S24" s="279"/>
      <c r="T24" s="279"/>
      <c r="U24" s="321"/>
      <c r="V24" s="284"/>
      <c r="W24" s="284"/>
      <c r="X24" s="322"/>
      <c r="Y24" s="279"/>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80"/>
      <c r="BG24" s="280"/>
      <c r="BH24" s="280"/>
      <c r="BI24" s="280"/>
      <c r="BJ24" s="280"/>
      <c r="BK24" s="280"/>
      <c r="BL24" s="288"/>
      <c r="BM24" s="288"/>
      <c r="BN24" s="288"/>
      <c r="BO24" s="288"/>
      <c r="BP24" s="289"/>
      <c r="BQ24" s="3"/>
      <c r="BR24" s="3"/>
      <c r="BS24" s="3"/>
      <c r="BT24" s="3"/>
      <c r="BU24" s="3"/>
      <c r="BV24" s="3"/>
      <c r="BW24" s="3"/>
      <c r="BX24" s="3"/>
      <c r="BY24" s="3"/>
      <c r="BZ24" s="3"/>
      <c r="CA24" s="3"/>
      <c r="CB24" s="3"/>
      <c r="CC24" s="3"/>
      <c r="CD24" s="3"/>
      <c r="CE24" s="3"/>
      <c r="CF24" s="3"/>
      <c r="CG24" s="3"/>
      <c r="CH24" s="3"/>
      <c r="CI24" s="3"/>
    </row>
    <row r="25" spans="1:87" s="4" customFormat="1" ht="159" customHeight="1" x14ac:dyDescent="0.2">
      <c r="A25" s="290"/>
      <c r="B25" s="291"/>
      <c r="C25" s="80"/>
      <c r="D25" s="323"/>
      <c r="E25" s="293"/>
      <c r="F25" s="294"/>
      <c r="G25" s="102" t="s">
        <v>279</v>
      </c>
      <c r="H25" s="1861" t="s">
        <v>280</v>
      </c>
      <c r="I25" s="296" t="s">
        <v>281</v>
      </c>
      <c r="J25" s="296" t="s">
        <v>282</v>
      </c>
      <c r="K25" s="102">
        <v>1</v>
      </c>
      <c r="L25" s="297">
        <v>0</v>
      </c>
      <c r="M25" s="2233" t="s">
        <v>283</v>
      </c>
      <c r="N25" s="298" t="s">
        <v>284</v>
      </c>
      <c r="O25" s="127" t="s">
        <v>285</v>
      </c>
      <c r="P25" s="299">
        <f>+U25/Q25</f>
        <v>1</v>
      </c>
      <c r="Q25" s="244">
        <f>+U25</f>
        <v>18000000</v>
      </c>
      <c r="R25" s="324" t="s">
        <v>286</v>
      </c>
      <c r="S25" s="179" t="s">
        <v>287</v>
      </c>
      <c r="T25" s="301" t="s">
        <v>288</v>
      </c>
      <c r="U25" s="243">
        <v>18000000</v>
      </c>
      <c r="V25" s="326">
        <v>0</v>
      </c>
      <c r="W25" s="326">
        <v>0</v>
      </c>
      <c r="X25" s="300">
        <v>88</v>
      </c>
      <c r="Y25" s="301" t="s">
        <v>247</v>
      </c>
      <c r="Z25" s="302">
        <v>295972</v>
      </c>
      <c r="AA25" s="302"/>
      <c r="AB25" s="298">
        <v>294321</v>
      </c>
      <c r="AC25" s="298"/>
      <c r="AD25" s="298">
        <v>132302</v>
      </c>
      <c r="AE25" s="298"/>
      <c r="AF25" s="298">
        <v>43426</v>
      </c>
      <c r="AG25" s="298"/>
      <c r="AH25" s="298">
        <v>313940</v>
      </c>
      <c r="AI25" s="298"/>
      <c r="AJ25" s="298">
        <v>100625</v>
      </c>
      <c r="AK25" s="298"/>
      <c r="AL25" s="298">
        <v>2145</v>
      </c>
      <c r="AM25" s="298"/>
      <c r="AN25" s="298">
        <v>12718</v>
      </c>
      <c r="AO25" s="298"/>
      <c r="AP25" s="298">
        <v>36</v>
      </c>
      <c r="AQ25" s="298"/>
      <c r="AR25" s="303">
        <v>0</v>
      </c>
      <c r="AS25" s="303"/>
      <c r="AT25" s="303">
        <v>0</v>
      </c>
      <c r="AU25" s="303"/>
      <c r="AV25" s="303">
        <v>0</v>
      </c>
      <c r="AW25" s="303"/>
      <c r="AX25" s="298">
        <v>70</v>
      </c>
      <c r="AY25" s="298"/>
      <c r="AZ25" s="298">
        <v>21944</v>
      </c>
      <c r="BA25" s="298"/>
      <c r="BB25" s="298">
        <v>285</v>
      </c>
      <c r="BC25" s="298"/>
      <c r="BD25" s="298">
        <f>+Z25+AB25</f>
        <v>590293</v>
      </c>
      <c r="BE25" s="327"/>
      <c r="BF25" s="130">
        <v>0</v>
      </c>
      <c r="BG25" s="304">
        <f>SUM(V25)</f>
        <v>0</v>
      </c>
      <c r="BH25" s="304">
        <f>SUM(W25)</f>
        <v>0</v>
      </c>
      <c r="BI25" s="130">
        <v>0</v>
      </c>
      <c r="BJ25" s="130"/>
      <c r="BK25" s="130"/>
      <c r="BL25" s="98">
        <v>44033</v>
      </c>
      <c r="BM25" s="98"/>
      <c r="BN25" s="98">
        <v>44195</v>
      </c>
      <c r="BO25" s="98"/>
      <c r="BP25" s="307" t="s">
        <v>245</v>
      </c>
      <c r="BR25" s="3"/>
      <c r="BS25" s="3"/>
      <c r="BT25" s="3"/>
      <c r="BU25" s="3"/>
      <c r="BV25" s="3"/>
      <c r="BW25" s="3"/>
      <c r="BX25" s="3"/>
      <c r="BY25" s="3"/>
      <c r="BZ25" s="3"/>
      <c r="CA25" s="3"/>
      <c r="CB25" s="3"/>
      <c r="CC25" s="3"/>
      <c r="CD25" s="3"/>
      <c r="CE25" s="3"/>
      <c r="CF25" s="3"/>
      <c r="CG25" s="3"/>
      <c r="CH25" s="3"/>
      <c r="CI25" s="3"/>
    </row>
    <row r="26" spans="1:87" s="4" customFormat="1" ht="23.25" customHeight="1" x14ac:dyDescent="0.2">
      <c r="A26" s="308">
        <v>4</v>
      </c>
      <c r="B26" s="309" t="s">
        <v>289</v>
      </c>
      <c r="C26" s="310"/>
      <c r="D26" s="206"/>
      <c r="E26" s="207"/>
      <c r="F26" s="207"/>
      <c r="G26" s="207"/>
      <c r="H26" s="207"/>
      <c r="I26" s="206"/>
      <c r="J26" s="206"/>
      <c r="K26" s="208"/>
      <c r="L26" s="208"/>
      <c r="M26" s="1836"/>
      <c r="N26" s="209"/>
      <c r="O26" s="311"/>
      <c r="P26" s="211"/>
      <c r="Q26" s="312"/>
      <c r="R26" s="311"/>
      <c r="S26" s="311" t="s">
        <v>290</v>
      </c>
      <c r="T26" s="311"/>
      <c r="U26" s="313"/>
      <c r="V26" s="314"/>
      <c r="W26" s="314"/>
      <c r="X26" s="315"/>
      <c r="Y26" s="311"/>
      <c r="Z26" s="316"/>
      <c r="AA26" s="316"/>
      <c r="AB26" s="316"/>
      <c r="AC26" s="316"/>
      <c r="AD26" s="316"/>
      <c r="AE26" s="316"/>
      <c r="AF26" s="316"/>
      <c r="AG26" s="316"/>
      <c r="AH26" s="316"/>
      <c r="AI26" s="316"/>
      <c r="AJ26" s="316"/>
      <c r="AK26" s="316"/>
      <c r="AL26" s="316"/>
      <c r="AM26" s="316"/>
      <c r="AN26" s="316"/>
      <c r="AO26" s="316"/>
      <c r="AP26" s="316"/>
      <c r="AQ26" s="316"/>
      <c r="AR26" s="316"/>
      <c r="AS26" s="316"/>
      <c r="AT26" s="316"/>
      <c r="AU26" s="316"/>
      <c r="AV26" s="316"/>
      <c r="AW26" s="316"/>
      <c r="AX26" s="316"/>
      <c r="AY26" s="316"/>
      <c r="AZ26" s="316"/>
      <c r="BA26" s="316"/>
      <c r="BB26" s="316"/>
      <c r="BC26" s="316"/>
      <c r="BD26" s="316"/>
      <c r="BE26" s="316"/>
      <c r="BF26" s="209"/>
      <c r="BG26" s="209"/>
      <c r="BH26" s="209"/>
      <c r="BI26" s="209"/>
      <c r="BJ26" s="209"/>
      <c r="BK26" s="209"/>
      <c r="BL26" s="317"/>
      <c r="BM26" s="317"/>
      <c r="BN26" s="317"/>
      <c r="BO26" s="317"/>
      <c r="BP26" s="318"/>
      <c r="BQ26" s="3"/>
      <c r="BR26" s="3"/>
      <c r="BS26" s="3"/>
      <c r="BT26" s="3"/>
      <c r="BU26" s="3"/>
      <c r="BV26" s="3"/>
      <c r="BW26" s="3"/>
      <c r="BX26" s="3"/>
      <c r="BY26" s="3"/>
      <c r="BZ26" s="3"/>
      <c r="CA26" s="3"/>
      <c r="CB26" s="3"/>
      <c r="CC26" s="3"/>
      <c r="CD26" s="3"/>
      <c r="CE26" s="3"/>
      <c r="CF26" s="3"/>
      <c r="CG26" s="3"/>
      <c r="CH26" s="3"/>
      <c r="CI26" s="3"/>
    </row>
    <row r="27" spans="1:87" s="4" customFormat="1" ht="30.75" customHeight="1" x14ac:dyDescent="0.2">
      <c r="A27" s="216"/>
      <c r="B27" s="217"/>
      <c r="C27" s="47"/>
      <c r="D27" s="277">
        <v>17</v>
      </c>
      <c r="E27" s="319" t="s">
        <v>255</v>
      </c>
      <c r="F27" s="222"/>
      <c r="G27" s="221"/>
      <c r="H27" s="221"/>
      <c r="I27" s="222"/>
      <c r="J27" s="222"/>
      <c r="K27" s="223"/>
      <c r="L27" s="223"/>
      <c r="M27" s="1744"/>
      <c r="N27" s="280"/>
      <c r="O27" s="279"/>
      <c r="P27" s="228"/>
      <c r="Q27" s="282"/>
      <c r="R27" s="279"/>
      <c r="S27" s="279"/>
      <c r="T27" s="328"/>
      <c r="U27" s="329"/>
      <c r="V27" s="284"/>
      <c r="W27" s="284"/>
      <c r="X27" s="330"/>
      <c r="Y27" s="328"/>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80"/>
      <c r="BG27" s="280"/>
      <c r="BH27" s="280"/>
      <c r="BI27" s="280"/>
      <c r="BJ27" s="280"/>
      <c r="BK27" s="280"/>
      <c r="BL27" s="288"/>
      <c r="BM27" s="288"/>
      <c r="BN27" s="288"/>
      <c r="BO27" s="288"/>
      <c r="BP27" s="289"/>
      <c r="BQ27" s="3"/>
      <c r="BR27" s="3"/>
      <c r="BS27" s="3"/>
      <c r="BT27" s="3"/>
      <c r="BU27" s="3"/>
      <c r="BV27" s="3"/>
      <c r="BW27" s="3"/>
      <c r="BX27" s="3"/>
      <c r="BY27" s="3"/>
      <c r="BZ27" s="3"/>
      <c r="CA27" s="3"/>
      <c r="CB27" s="3"/>
      <c r="CC27" s="3"/>
      <c r="CD27" s="3"/>
      <c r="CE27" s="3"/>
      <c r="CF27" s="3"/>
      <c r="CG27" s="3"/>
      <c r="CH27" s="3"/>
      <c r="CI27" s="3"/>
    </row>
    <row r="28" spans="1:87" s="71" customFormat="1" ht="111.75" customHeight="1" x14ac:dyDescent="0.25">
      <c r="A28" s="331"/>
      <c r="B28" s="332"/>
      <c r="C28" s="333"/>
      <c r="D28" s="156"/>
      <c r="E28" s="334"/>
      <c r="F28" s="335"/>
      <c r="G28" s="3224">
        <v>2302003</v>
      </c>
      <c r="H28" s="3224" t="s">
        <v>291</v>
      </c>
      <c r="I28" s="2908" t="s">
        <v>292</v>
      </c>
      <c r="J28" s="3647" t="s">
        <v>293</v>
      </c>
      <c r="K28" s="4453">
        <v>100</v>
      </c>
      <c r="L28" s="3576">
        <v>100</v>
      </c>
      <c r="M28" s="4251" t="s">
        <v>294</v>
      </c>
      <c r="N28" s="4153" t="s">
        <v>295</v>
      </c>
      <c r="O28" s="2820" t="s">
        <v>296</v>
      </c>
      <c r="P28" s="4442">
        <f>(U28+U30)/Q28</f>
        <v>0.74465751255933343</v>
      </c>
      <c r="Q28" s="4451">
        <f>SUM(U28:U31)</f>
        <v>353721000</v>
      </c>
      <c r="R28" s="3647" t="s">
        <v>297</v>
      </c>
      <c r="S28" s="3647" t="s">
        <v>298</v>
      </c>
      <c r="T28" s="3224" t="s">
        <v>299</v>
      </c>
      <c r="U28" s="4448">
        <v>146689132</v>
      </c>
      <c r="V28" s="4448">
        <v>146689132</v>
      </c>
      <c r="W28" s="4448">
        <v>146689132</v>
      </c>
      <c r="X28" s="4126">
        <v>20</v>
      </c>
      <c r="Y28" s="3576" t="s">
        <v>300</v>
      </c>
      <c r="Z28" s="4447">
        <v>295972</v>
      </c>
      <c r="AA28" s="3224">
        <v>295972</v>
      </c>
      <c r="AB28" s="2985">
        <v>285580</v>
      </c>
      <c r="AC28" s="2985">
        <v>285580</v>
      </c>
      <c r="AD28" s="2985">
        <v>66084</v>
      </c>
      <c r="AE28" s="2985">
        <v>66084</v>
      </c>
      <c r="AF28" s="2985">
        <v>21618</v>
      </c>
      <c r="AG28" s="2985">
        <v>21618</v>
      </c>
      <c r="AH28" s="2985">
        <v>157087</v>
      </c>
      <c r="AI28" s="2985">
        <v>157087</v>
      </c>
      <c r="AJ28" s="2985">
        <v>51183</v>
      </c>
      <c r="AK28" s="2985">
        <v>51183</v>
      </c>
      <c r="AL28" s="2985">
        <v>2145</v>
      </c>
      <c r="AM28" s="2985">
        <v>2145</v>
      </c>
      <c r="AN28" s="2985">
        <v>12718</v>
      </c>
      <c r="AO28" s="2985">
        <v>12718</v>
      </c>
      <c r="AP28" s="2985">
        <v>26</v>
      </c>
      <c r="AQ28" s="2985">
        <v>26</v>
      </c>
      <c r="AR28" s="2985">
        <v>37</v>
      </c>
      <c r="AS28" s="2985">
        <v>37</v>
      </c>
      <c r="AT28" s="2985">
        <v>0</v>
      </c>
      <c r="AU28" s="3224">
        <v>0</v>
      </c>
      <c r="AV28" s="2985">
        <v>0</v>
      </c>
      <c r="AW28" s="3224">
        <v>0</v>
      </c>
      <c r="AX28" s="2985">
        <v>44350</v>
      </c>
      <c r="AY28" s="2985">
        <v>44350</v>
      </c>
      <c r="AZ28" s="2985">
        <v>21944</v>
      </c>
      <c r="BA28" s="2985">
        <v>21944</v>
      </c>
      <c r="BB28" s="2985">
        <v>578</v>
      </c>
      <c r="BC28" s="2985">
        <v>578</v>
      </c>
      <c r="BD28" s="2985">
        <f>+Z28+AB28</f>
        <v>581552</v>
      </c>
      <c r="BE28" s="2985">
        <f>+AA28+AC28</f>
        <v>581552</v>
      </c>
      <c r="BF28" s="2602">
        <f>14+22</f>
        <v>36</v>
      </c>
      <c r="BG28" s="4446">
        <f>SUM(V28:V31)</f>
        <v>329072188</v>
      </c>
      <c r="BH28" s="4446">
        <f>SUM(W28:W31)</f>
        <v>329072188</v>
      </c>
      <c r="BI28" s="2627">
        <f>BH28/BG28</f>
        <v>1</v>
      </c>
      <c r="BJ28" s="2594" t="s">
        <v>301</v>
      </c>
      <c r="BK28" s="2585" t="s">
        <v>302</v>
      </c>
      <c r="BL28" s="3063">
        <v>43832</v>
      </c>
      <c r="BM28" s="3116">
        <v>44067</v>
      </c>
      <c r="BN28" s="3064">
        <v>44195</v>
      </c>
      <c r="BO28" s="2631">
        <v>44189</v>
      </c>
      <c r="BP28" s="2751" t="s">
        <v>245</v>
      </c>
    </row>
    <row r="29" spans="1:87" s="4" customFormat="1" ht="107.25" customHeight="1" x14ac:dyDescent="0.25">
      <c r="A29" s="337"/>
      <c r="B29" s="169"/>
      <c r="C29" s="338"/>
      <c r="E29" s="339"/>
      <c r="F29" s="340"/>
      <c r="G29" s="3225"/>
      <c r="H29" s="3225"/>
      <c r="I29" s="2909"/>
      <c r="J29" s="3648"/>
      <c r="K29" s="4453"/>
      <c r="L29" s="3650"/>
      <c r="M29" s="4251"/>
      <c r="N29" s="4154"/>
      <c r="O29" s="2820"/>
      <c r="P29" s="4433"/>
      <c r="Q29" s="4451"/>
      <c r="R29" s="3648"/>
      <c r="S29" s="3648"/>
      <c r="T29" s="3384"/>
      <c r="U29" s="4449"/>
      <c r="V29" s="4450"/>
      <c r="W29" s="4450"/>
      <c r="X29" s="4128"/>
      <c r="Y29" s="3577"/>
      <c r="Z29" s="2986"/>
      <c r="AA29" s="3225"/>
      <c r="AB29" s="2986"/>
      <c r="AC29" s="2986"/>
      <c r="AD29" s="2986"/>
      <c r="AE29" s="2986"/>
      <c r="AF29" s="2986"/>
      <c r="AG29" s="2986"/>
      <c r="AH29" s="2986"/>
      <c r="AI29" s="2986"/>
      <c r="AJ29" s="2986"/>
      <c r="AK29" s="2986"/>
      <c r="AL29" s="2986"/>
      <c r="AM29" s="2986"/>
      <c r="AN29" s="2986"/>
      <c r="AO29" s="2986"/>
      <c r="AP29" s="2986"/>
      <c r="AQ29" s="2986"/>
      <c r="AR29" s="2986"/>
      <c r="AS29" s="2986"/>
      <c r="AT29" s="2986"/>
      <c r="AU29" s="3225"/>
      <c r="AV29" s="2986"/>
      <c r="AW29" s="3225"/>
      <c r="AX29" s="2986"/>
      <c r="AY29" s="2986"/>
      <c r="AZ29" s="2986"/>
      <c r="BA29" s="2986"/>
      <c r="BB29" s="2986"/>
      <c r="BC29" s="2986"/>
      <c r="BD29" s="2986"/>
      <c r="BE29" s="2986"/>
      <c r="BF29" s="2603"/>
      <c r="BG29" s="2603"/>
      <c r="BH29" s="2603"/>
      <c r="BI29" s="2628"/>
      <c r="BJ29" s="2603"/>
      <c r="BK29" s="2586"/>
      <c r="BL29" s="3063"/>
      <c r="BM29" s="4445"/>
      <c r="BN29" s="3064"/>
      <c r="BO29" s="2632"/>
      <c r="BP29" s="2751"/>
    </row>
    <row r="30" spans="1:87" s="4" customFormat="1" ht="84.75" customHeight="1" x14ac:dyDescent="0.25">
      <c r="A30" s="337"/>
      <c r="B30" s="169"/>
      <c r="C30" s="338"/>
      <c r="E30" s="339"/>
      <c r="F30" s="340"/>
      <c r="G30" s="3384"/>
      <c r="H30" s="3384"/>
      <c r="I30" s="3422"/>
      <c r="J30" s="3649"/>
      <c r="K30" s="4453"/>
      <c r="L30" s="3577"/>
      <c r="M30" s="4251"/>
      <c r="N30" s="4154"/>
      <c r="O30" s="2820"/>
      <c r="P30" s="4322"/>
      <c r="Q30" s="4451"/>
      <c r="R30" s="3648"/>
      <c r="S30" s="3648"/>
      <c r="T30" s="341" t="s">
        <v>303</v>
      </c>
      <c r="U30" s="342">
        <v>116711868</v>
      </c>
      <c r="V30" s="343">
        <f>8394000+8394000+8394000+6360000+8394000+8394000+8394000+9792999+8394000+9326666+7517999+2544000+3171066+2984533+2518200+2424933+1837333+1772067+1025933+1772067</f>
        <v>111805796</v>
      </c>
      <c r="W30" s="343">
        <f>V30</f>
        <v>111805796</v>
      </c>
      <c r="X30" s="300">
        <v>88</v>
      </c>
      <c r="Y30" s="301" t="s">
        <v>247</v>
      </c>
      <c r="Z30" s="2986"/>
      <c r="AA30" s="3225"/>
      <c r="AB30" s="2986"/>
      <c r="AC30" s="2986"/>
      <c r="AD30" s="2986"/>
      <c r="AE30" s="2986"/>
      <c r="AF30" s="2986"/>
      <c r="AG30" s="2986"/>
      <c r="AH30" s="2986"/>
      <c r="AI30" s="2986"/>
      <c r="AJ30" s="2986"/>
      <c r="AK30" s="2986"/>
      <c r="AL30" s="2986"/>
      <c r="AM30" s="2986"/>
      <c r="AN30" s="2986"/>
      <c r="AO30" s="2986"/>
      <c r="AP30" s="2986"/>
      <c r="AQ30" s="2986"/>
      <c r="AR30" s="2986"/>
      <c r="AS30" s="2986"/>
      <c r="AT30" s="2986"/>
      <c r="AU30" s="3225"/>
      <c r="AV30" s="2986"/>
      <c r="AW30" s="3225"/>
      <c r="AX30" s="2986"/>
      <c r="AY30" s="2986"/>
      <c r="AZ30" s="2986"/>
      <c r="BA30" s="2986"/>
      <c r="BB30" s="2986"/>
      <c r="BC30" s="2986"/>
      <c r="BD30" s="2986"/>
      <c r="BE30" s="2986"/>
      <c r="BF30" s="2603"/>
      <c r="BG30" s="2603"/>
      <c r="BH30" s="2603"/>
      <c r="BI30" s="2628"/>
      <c r="BJ30" s="2603"/>
      <c r="BK30" s="2586"/>
      <c r="BL30" s="3063"/>
      <c r="BM30" s="4445"/>
      <c r="BN30" s="3064"/>
      <c r="BO30" s="2632"/>
      <c r="BP30" s="2751"/>
    </row>
    <row r="31" spans="1:87" s="4" customFormat="1" ht="120" customHeight="1" x14ac:dyDescent="0.2">
      <c r="A31" s="337"/>
      <c r="B31" s="174"/>
      <c r="C31" s="338"/>
      <c r="D31" s="263"/>
      <c r="E31" s="141"/>
      <c r="F31" s="142"/>
      <c r="G31" s="295">
        <v>2302066</v>
      </c>
      <c r="H31" s="295" t="s">
        <v>304</v>
      </c>
      <c r="I31" s="242" t="s">
        <v>305</v>
      </c>
      <c r="J31" s="344" t="s">
        <v>306</v>
      </c>
      <c r="K31" s="345">
        <v>30</v>
      </c>
      <c r="L31" s="345">
        <v>30</v>
      </c>
      <c r="M31" s="4251"/>
      <c r="N31" s="4151"/>
      <c r="O31" s="3494"/>
      <c r="P31" s="346">
        <f>U31/Q28</f>
        <v>0.25534248744066651</v>
      </c>
      <c r="Q31" s="4452"/>
      <c r="R31" s="3649"/>
      <c r="S31" s="3649"/>
      <c r="T31" s="347" t="s">
        <v>307</v>
      </c>
      <c r="U31" s="348">
        <v>90320000</v>
      </c>
      <c r="V31" s="244">
        <f>23926466+6994999+6994999+6994999+6994999+6994999+5875799+3000000+2800000</f>
        <v>70577260</v>
      </c>
      <c r="W31" s="244">
        <f>V31</f>
        <v>70577260</v>
      </c>
      <c r="X31" s="300">
        <v>88</v>
      </c>
      <c r="Y31" s="301" t="s">
        <v>247</v>
      </c>
      <c r="Z31" s="2987"/>
      <c r="AA31" s="3384"/>
      <c r="AB31" s="2987"/>
      <c r="AC31" s="2987"/>
      <c r="AD31" s="2987"/>
      <c r="AE31" s="2987"/>
      <c r="AF31" s="2987"/>
      <c r="AG31" s="2987"/>
      <c r="AH31" s="2987"/>
      <c r="AI31" s="2987"/>
      <c r="AJ31" s="2987"/>
      <c r="AK31" s="2987"/>
      <c r="AL31" s="2987"/>
      <c r="AM31" s="2987"/>
      <c r="AN31" s="2987"/>
      <c r="AO31" s="2987"/>
      <c r="AP31" s="2987"/>
      <c r="AQ31" s="2987"/>
      <c r="AR31" s="2987"/>
      <c r="AS31" s="2987"/>
      <c r="AT31" s="2987"/>
      <c r="AU31" s="3384"/>
      <c r="AV31" s="2987"/>
      <c r="AW31" s="3384"/>
      <c r="AX31" s="2987"/>
      <c r="AY31" s="2987"/>
      <c r="AZ31" s="2987"/>
      <c r="BA31" s="2987"/>
      <c r="BB31" s="2987"/>
      <c r="BC31" s="2987"/>
      <c r="BD31" s="2987"/>
      <c r="BE31" s="2987"/>
      <c r="BF31" s="3055"/>
      <c r="BG31" s="3055"/>
      <c r="BH31" s="3055"/>
      <c r="BI31" s="2991"/>
      <c r="BJ31" s="3055"/>
      <c r="BK31" s="3559"/>
      <c r="BL31" s="3063"/>
      <c r="BM31" s="3117"/>
      <c r="BN31" s="3064"/>
      <c r="BO31" s="2756"/>
      <c r="BP31" s="2751"/>
    </row>
    <row r="32" spans="1:87" s="4" customFormat="1" ht="28.5" customHeight="1" x14ac:dyDescent="0.2">
      <c r="A32" s="349"/>
      <c r="B32" s="350"/>
      <c r="C32" s="351"/>
      <c r="D32" s="352"/>
      <c r="E32" s="352"/>
      <c r="F32" s="353"/>
      <c r="G32" s="323"/>
      <c r="H32" s="323"/>
      <c r="I32" s="96"/>
      <c r="J32" s="96"/>
      <c r="K32" s="354"/>
      <c r="L32" s="354"/>
      <c r="M32" s="354"/>
      <c r="N32" s="355"/>
      <c r="O32" s="356"/>
      <c r="P32" s="357"/>
      <c r="Q32" s="358">
        <f>SUM(Q12:Q31)</f>
        <v>632885000</v>
      </c>
      <c r="R32" s="359"/>
      <c r="S32" s="359"/>
      <c r="T32" s="359"/>
      <c r="U32" s="360">
        <f>SUM(U12:U31)</f>
        <v>632885000</v>
      </c>
      <c r="V32" s="360">
        <f>SUM(V12:V31)</f>
        <v>576746686</v>
      </c>
      <c r="W32" s="360">
        <f>SUM(W12:W31)</f>
        <v>576746686</v>
      </c>
      <c r="X32" s="361"/>
      <c r="Y32" s="362"/>
      <c r="Z32" s="363"/>
      <c r="AA32" s="363"/>
      <c r="AB32" s="363"/>
      <c r="AC32" s="363"/>
      <c r="AD32" s="363"/>
      <c r="AE32" s="363"/>
      <c r="AF32" s="363"/>
      <c r="AG32" s="363"/>
      <c r="AH32" s="363"/>
      <c r="AI32" s="363"/>
      <c r="AJ32" s="363"/>
      <c r="AK32" s="363"/>
      <c r="AL32" s="363"/>
      <c r="AM32" s="363"/>
      <c r="AN32" s="363"/>
      <c r="AO32" s="363"/>
      <c r="AP32" s="363"/>
      <c r="AQ32" s="363"/>
      <c r="AR32" s="363"/>
      <c r="AS32" s="363"/>
      <c r="AT32" s="363"/>
      <c r="AU32" s="363"/>
      <c r="AV32" s="363"/>
      <c r="AW32" s="363"/>
      <c r="AX32" s="363"/>
      <c r="AY32" s="363"/>
      <c r="AZ32" s="363"/>
      <c r="BA32" s="363"/>
      <c r="BB32" s="363"/>
      <c r="BC32" s="363"/>
      <c r="BD32" s="363"/>
      <c r="BE32" s="363"/>
      <c r="BF32" s="323"/>
      <c r="BG32" s="358">
        <f>SUM(BG12:BG31)</f>
        <v>576746686</v>
      </c>
      <c r="BH32" s="358">
        <f>SUM(BH12:BH31)</f>
        <v>576746686</v>
      </c>
      <c r="BI32" s="323"/>
      <c r="BJ32" s="323"/>
      <c r="BK32" s="323"/>
      <c r="BL32" s="364"/>
      <c r="BM32" s="364"/>
      <c r="BN32" s="365"/>
      <c r="BO32" s="365"/>
      <c r="BP32" s="359"/>
    </row>
    <row r="33" spans="2:57" s="4" customFormat="1" x14ac:dyDescent="0.2">
      <c r="I33" s="179"/>
      <c r="J33" s="179"/>
      <c r="X33" s="178"/>
      <c r="Z33" s="366"/>
      <c r="AA33" s="366"/>
      <c r="AB33" s="366"/>
      <c r="AC33" s="366"/>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366"/>
      <c r="AZ33" s="366"/>
      <c r="BA33" s="366"/>
      <c r="BB33" s="366"/>
      <c r="BC33" s="366"/>
      <c r="BD33" s="366"/>
      <c r="BE33" s="366"/>
    </row>
    <row r="34" spans="2:57" s="4" customFormat="1" x14ac:dyDescent="0.2">
      <c r="I34" s="179"/>
      <c r="J34" s="179"/>
      <c r="X34" s="178"/>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366"/>
      <c r="AZ34" s="366"/>
      <c r="BA34" s="366"/>
      <c r="BB34" s="366"/>
      <c r="BC34" s="366"/>
      <c r="BD34" s="366"/>
      <c r="BE34" s="366"/>
    </row>
    <row r="35" spans="2:57" s="4" customFormat="1" x14ac:dyDescent="0.2">
      <c r="I35" s="179"/>
      <c r="J35" s="179"/>
      <c r="X35" s="178"/>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6"/>
      <c r="AZ35" s="366"/>
      <c r="BA35" s="366"/>
      <c r="BB35" s="366"/>
      <c r="BC35" s="366"/>
      <c r="BD35" s="366"/>
      <c r="BE35" s="366"/>
    </row>
    <row r="36" spans="2:57" s="4" customFormat="1" x14ac:dyDescent="0.2">
      <c r="B36" s="367"/>
      <c r="C36" s="368"/>
      <c r="D36" s="263"/>
      <c r="E36" s="263"/>
      <c r="F36" s="263"/>
      <c r="G36" s="263"/>
      <c r="I36" s="179"/>
      <c r="J36" s="179"/>
      <c r="T36" s="369"/>
      <c r="X36" s="178"/>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row>
    <row r="37" spans="2:57" s="4" customFormat="1" ht="15.75" x14ac:dyDescent="0.25">
      <c r="B37" s="169" t="s">
        <v>308</v>
      </c>
      <c r="C37" s="170"/>
      <c r="I37" s="179"/>
      <c r="J37" s="179"/>
      <c r="X37" s="178"/>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row>
    <row r="38" spans="2:57" s="4" customFormat="1" ht="15.75" x14ac:dyDescent="0.25">
      <c r="B38" s="169" t="s">
        <v>309</v>
      </c>
      <c r="C38" s="170"/>
      <c r="I38" s="179"/>
      <c r="J38" s="179"/>
      <c r="X38" s="178"/>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row>
    <row r="39" spans="2:57" s="4" customFormat="1" x14ac:dyDescent="0.2">
      <c r="B39" s="174"/>
      <c r="C39" s="170"/>
      <c r="I39" s="179"/>
      <c r="J39" s="179"/>
      <c r="X39" s="178"/>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row>
    <row r="40" spans="2:57" s="4" customFormat="1" x14ac:dyDescent="0.2">
      <c r="I40" s="179"/>
      <c r="J40" s="179"/>
      <c r="X40" s="178"/>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row>
    <row r="45" spans="2:57" x14ac:dyDescent="0.25">
      <c r="U45" s="371"/>
      <c r="V45" s="371"/>
      <c r="W45" s="371"/>
    </row>
  </sheetData>
  <sheetProtection password="A60F" sheet="1" objects="1" scenarios="1"/>
  <mergeCells count="175">
    <mergeCell ref="A1:BN4"/>
    <mergeCell ref="A5:K6"/>
    <mergeCell ref="M5:BP5"/>
    <mergeCell ref="Z6:BD6"/>
    <mergeCell ref="A7:A9"/>
    <mergeCell ref="B7:C9"/>
    <mergeCell ref="D7:D9"/>
    <mergeCell ref="E7:F9"/>
    <mergeCell ref="G7:G9"/>
    <mergeCell ref="H7:H9"/>
    <mergeCell ref="P7:P9"/>
    <mergeCell ref="Q7:Q9"/>
    <mergeCell ref="R7:R9"/>
    <mergeCell ref="S7:S9"/>
    <mergeCell ref="T7:T9"/>
    <mergeCell ref="U7:W7"/>
    <mergeCell ref="I7:I9"/>
    <mergeCell ref="J7:J9"/>
    <mergeCell ref="K7:L8"/>
    <mergeCell ref="M7:M9"/>
    <mergeCell ref="N7:N9"/>
    <mergeCell ref="O7:O9"/>
    <mergeCell ref="BL7:BM8"/>
    <mergeCell ref="BN7:BO8"/>
    <mergeCell ref="BP7:BP8"/>
    <mergeCell ref="U8:U9"/>
    <mergeCell ref="V8:V9"/>
    <mergeCell ref="W8:W9"/>
    <mergeCell ref="Z8:AA8"/>
    <mergeCell ref="AB8:AC8"/>
    <mergeCell ref="X7:X9"/>
    <mergeCell ref="Y7:Y9"/>
    <mergeCell ref="Z7:AC7"/>
    <mergeCell ref="AD7:AK7"/>
    <mergeCell ref="AL7:AW7"/>
    <mergeCell ref="AX7:BC7"/>
    <mergeCell ref="AD8:AE8"/>
    <mergeCell ref="AF8:AG8"/>
    <mergeCell ref="AH8:AI8"/>
    <mergeCell ref="AJ8:AK8"/>
    <mergeCell ref="BJ8:BJ9"/>
    <mergeCell ref="BK8:BK9"/>
    <mergeCell ref="AZ8:BA8"/>
    <mergeCell ref="BF8:BF9"/>
    <mergeCell ref="BG8:BG9"/>
    <mergeCell ref="BH8:BH9"/>
    <mergeCell ref="BI8:BI9"/>
    <mergeCell ref="BD7:BE8"/>
    <mergeCell ref="G12:G17"/>
    <mergeCell ref="H12:H17"/>
    <mergeCell ref="I12:I17"/>
    <mergeCell ref="J12:J17"/>
    <mergeCell ref="K12:K17"/>
    <mergeCell ref="L12:L17"/>
    <mergeCell ref="M12:M18"/>
    <mergeCell ref="N12:N18"/>
    <mergeCell ref="AX8:AY8"/>
    <mergeCell ref="AL8:AM8"/>
    <mergeCell ref="AN8:AO8"/>
    <mergeCell ref="AP8:AQ8"/>
    <mergeCell ref="AR8:AS8"/>
    <mergeCell ref="AT8:AU8"/>
    <mergeCell ref="AV8:AW8"/>
    <mergeCell ref="AK12:AK18"/>
    <mergeCell ref="AL12:AL18"/>
    <mergeCell ref="AY12:AY18"/>
    <mergeCell ref="BF7:BK7"/>
    <mergeCell ref="AA12:AA18"/>
    <mergeCell ref="AB12:AB18"/>
    <mergeCell ref="AC12:AC18"/>
    <mergeCell ref="AD12:AD18"/>
    <mergeCell ref="AE12:AE18"/>
    <mergeCell ref="AF12:AF18"/>
    <mergeCell ref="O12:O18"/>
    <mergeCell ref="P12:P17"/>
    <mergeCell ref="Q12:Q18"/>
    <mergeCell ref="R12:R18"/>
    <mergeCell ref="S12:S17"/>
    <mergeCell ref="Z12:Z18"/>
    <mergeCell ref="T13:T14"/>
    <mergeCell ref="AM12:AM18"/>
    <mergeCell ref="AN12:AN18"/>
    <mergeCell ref="AO12:AO18"/>
    <mergeCell ref="AP12:AP18"/>
    <mergeCell ref="AQ12:AQ18"/>
    <mergeCell ref="AR12:AR18"/>
    <mergeCell ref="AG12:AG18"/>
    <mergeCell ref="AH12:AH18"/>
    <mergeCell ref="AI12:AI18"/>
    <mergeCell ref="AJ12:AJ18"/>
    <mergeCell ref="AZ12:AZ18"/>
    <mergeCell ref="BA12:BA18"/>
    <mergeCell ref="BB12:BB18"/>
    <mergeCell ref="BC12:BC18"/>
    <mergeCell ref="BD12:BD18"/>
    <mergeCell ref="AS12:AS18"/>
    <mergeCell ref="AT12:AT18"/>
    <mergeCell ref="AU12:AU18"/>
    <mergeCell ref="AV12:AV18"/>
    <mergeCell ref="AW12:AW18"/>
    <mergeCell ref="AX12:AX18"/>
    <mergeCell ref="BK12:BK18"/>
    <mergeCell ref="BL12:BL18"/>
    <mergeCell ref="BM12:BM18"/>
    <mergeCell ref="BN12:BN18"/>
    <mergeCell ref="BO12:BO18"/>
    <mergeCell ref="BP12:BP18"/>
    <mergeCell ref="BE12:BE18"/>
    <mergeCell ref="BF12:BF18"/>
    <mergeCell ref="BG12:BG18"/>
    <mergeCell ref="BH12:BH18"/>
    <mergeCell ref="BI12:BI18"/>
    <mergeCell ref="BJ12:BJ18"/>
    <mergeCell ref="M28:M31"/>
    <mergeCell ref="N28:N31"/>
    <mergeCell ref="O28:O31"/>
    <mergeCell ref="P28:P30"/>
    <mergeCell ref="Q28:Q31"/>
    <mergeCell ref="R28:R31"/>
    <mergeCell ref="G28:G30"/>
    <mergeCell ref="H28:H30"/>
    <mergeCell ref="I28:I30"/>
    <mergeCell ref="J28:J30"/>
    <mergeCell ref="K28:K30"/>
    <mergeCell ref="L28:L30"/>
    <mergeCell ref="Y28:Y29"/>
    <mergeCell ref="Z28:Z31"/>
    <mergeCell ref="AA28:AA31"/>
    <mergeCell ref="AB28:AB31"/>
    <mergeCell ref="AC28:AC31"/>
    <mergeCell ref="AD28:AD31"/>
    <mergeCell ref="S28:S31"/>
    <mergeCell ref="T28:T29"/>
    <mergeCell ref="U28:U29"/>
    <mergeCell ref="V28:V29"/>
    <mergeCell ref="W28:W29"/>
    <mergeCell ref="X28:X29"/>
    <mergeCell ref="AK28:AK31"/>
    <mergeCell ref="AL28:AL31"/>
    <mergeCell ref="AM28:AM31"/>
    <mergeCell ref="AN28:AN31"/>
    <mergeCell ref="AO28:AO31"/>
    <mergeCell ref="AP28:AP31"/>
    <mergeCell ref="AE28:AE31"/>
    <mergeCell ref="AF28:AF31"/>
    <mergeCell ref="AG28:AG31"/>
    <mergeCell ref="AH28:AH31"/>
    <mergeCell ref="AI28:AI31"/>
    <mergeCell ref="AJ28:AJ31"/>
    <mergeCell ref="AW28:AW31"/>
    <mergeCell ref="AX28:AX31"/>
    <mergeCell ref="AY28:AY31"/>
    <mergeCell ref="AZ28:AZ31"/>
    <mergeCell ref="BA28:BA31"/>
    <mergeCell ref="BB28:BB31"/>
    <mergeCell ref="AQ28:AQ31"/>
    <mergeCell ref="AR28:AR31"/>
    <mergeCell ref="AS28:AS31"/>
    <mergeCell ref="AT28:AT31"/>
    <mergeCell ref="AU28:AU31"/>
    <mergeCell ref="AV28:AV31"/>
    <mergeCell ref="BO28:BO31"/>
    <mergeCell ref="BP28:BP31"/>
    <mergeCell ref="BI28:BI31"/>
    <mergeCell ref="BJ28:BJ31"/>
    <mergeCell ref="BK28:BK31"/>
    <mergeCell ref="BL28:BL31"/>
    <mergeCell ref="BM28:BM31"/>
    <mergeCell ref="BN28:BN31"/>
    <mergeCell ref="BC28:BC31"/>
    <mergeCell ref="BD28:BD31"/>
    <mergeCell ref="BE28:BE31"/>
    <mergeCell ref="BF28:BF31"/>
    <mergeCell ref="BG28:BG31"/>
    <mergeCell ref="BH28:BH3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A80"/>
  <sheetViews>
    <sheetView showGridLines="0" topLeftCell="B1" zoomScale="55" zoomScaleNormal="55" zoomScalePageLayoutView="40" workbookViewId="0">
      <selection activeCell="M18" sqref="M18"/>
    </sheetView>
  </sheetViews>
  <sheetFormatPr baseColWidth="10" defaultRowHeight="15" x14ac:dyDescent="0.25"/>
  <cols>
    <col min="1" max="1" width="16.85546875" customWidth="1"/>
    <col min="4" max="4" width="16.85546875" customWidth="1"/>
    <col min="7" max="7" width="14.7109375" customWidth="1"/>
    <col min="8" max="8" width="22.140625" customWidth="1"/>
    <col min="9" max="9" width="39.28515625" customWidth="1"/>
    <col min="10" max="10" width="30.5703125" customWidth="1"/>
    <col min="11" max="12" width="16" customWidth="1"/>
    <col min="13" max="13" width="29.28515625" customWidth="1"/>
    <col min="14" max="14" width="24.28515625" customWidth="1"/>
    <col min="15" max="15" width="31" customWidth="1"/>
    <col min="16" max="16" width="24.28515625" customWidth="1"/>
    <col min="17" max="17" width="30.28515625" customWidth="1"/>
    <col min="18" max="18" width="39" style="1470" customWidth="1"/>
    <col min="19" max="19" width="32.42578125" customWidth="1"/>
    <col min="20" max="20" width="37.85546875" style="1470" customWidth="1"/>
    <col min="21" max="21" width="32" customWidth="1"/>
    <col min="22" max="22" width="27.5703125" customWidth="1"/>
    <col min="23" max="23" width="28.28515625" customWidth="1"/>
    <col min="24" max="24" width="24.28515625" customWidth="1"/>
    <col min="25" max="25" width="40" style="372" customWidth="1"/>
    <col min="59" max="59" width="26.140625" customWidth="1"/>
    <col min="60" max="60" width="23.7109375" customWidth="1"/>
    <col min="61" max="61" width="19.42578125" bestFit="1" customWidth="1"/>
    <col min="62" max="62" width="37.7109375" customWidth="1"/>
    <col min="63" max="63" width="21" customWidth="1"/>
    <col min="64" max="66" width="17.85546875" customWidth="1"/>
    <col min="67" max="67" width="12.7109375" bestFit="1" customWidth="1"/>
    <col min="68" max="68" width="25.28515625" customWidth="1"/>
  </cols>
  <sheetData>
    <row r="1" spans="1:76" ht="18" customHeight="1" x14ac:dyDescent="0.25">
      <c r="A1" s="2518" t="s">
        <v>1097</v>
      </c>
      <c r="B1" s="2519"/>
      <c r="C1" s="2519"/>
      <c r="D1" s="2519"/>
      <c r="E1" s="2519"/>
      <c r="F1" s="2519"/>
      <c r="G1" s="2519"/>
      <c r="H1" s="2519"/>
      <c r="I1" s="2519"/>
      <c r="J1" s="2519"/>
      <c r="K1" s="2519"/>
      <c r="L1" s="2519"/>
      <c r="M1" s="2519"/>
      <c r="N1" s="2519"/>
      <c r="O1" s="2519"/>
      <c r="P1" s="2519"/>
      <c r="Q1" s="2519"/>
      <c r="R1" s="2519"/>
      <c r="S1" s="2519"/>
      <c r="T1" s="2519"/>
      <c r="U1" s="2519"/>
      <c r="V1" s="2519"/>
      <c r="W1" s="2519"/>
      <c r="X1" s="2519"/>
      <c r="Y1" s="2519"/>
      <c r="Z1" s="2519"/>
      <c r="AA1" s="2519"/>
      <c r="AB1" s="2519"/>
      <c r="AC1" s="2519"/>
      <c r="AD1" s="2519"/>
      <c r="AE1" s="2519"/>
      <c r="AF1" s="2519"/>
      <c r="AG1" s="2519"/>
      <c r="AH1" s="2519"/>
      <c r="AI1" s="2519"/>
      <c r="AJ1" s="2519"/>
      <c r="AK1" s="2519"/>
      <c r="AL1" s="2519"/>
      <c r="AM1" s="2519"/>
      <c r="AN1" s="2519"/>
      <c r="AO1" s="2519"/>
      <c r="AP1" s="2519"/>
      <c r="AQ1" s="2519"/>
      <c r="AR1" s="2519"/>
      <c r="AS1" s="2519"/>
      <c r="AT1" s="2519"/>
      <c r="AU1" s="2519"/>
      <c r="AV1" s="2519"/>
      <c r="AW1" s="2519"/>
      <c r="AX1" s="2519"/>
      <c r="AY1" s="2519"/>
      <c r="AZ1" s="2519"/>
      <c r="BA1" s="2519"/>
      <c r="BB1" s="2519"/>
      <c r="BC1" s="2519"/>
      <c r="BD1" s="2519"/>
      <c r="BE1" s="2519"/>
      <c r="BF1" s="2519"/>
      <c r="BG1" s="2519"/>
      <c r="BH1" s="2519"/>
      <c r="BI1" s="2519"/>
      <c r="BJ1" s="2519"/>
      <c r="BK1" s="2519"/>
      <c r="BL1" s="2519"/>
      <c r="BM1" s="876"/>
      <c r="BO1" s="386" t="s">
        <v>1</v>
      </c>
      <c r="BP1" s="735" t="s">
        <v>2</v>
      </c>
      <c r="BQ1" s="191"/>
      <c r="BR1" s="191"/>
      <c r="BS1" s="191"/>
      <c r="BT1" s="191"/>
      <c r="BU1" s="191"/>
      <c r="BV1" s="191"/>
      <c r="BW1" s="191"/>
      <c r="BX1" s="191"/>
    </row>
    <row r="2" spans="1:76" x14ac:dyDescent="0.25">
      <c r="A2" s="2521"/>
      <c r="B2" s="3531"/>
      <c r="C2" s="3531"/>
      <c r="D2" s="3531"/>
      <c r="E2" s="3531"/>
      <c r="F2" s="3531"/>
      <c r="G2" s="3531"/>
      <c r="H2" s="3531"/>
      <c r="I2" s="3531"/>
      <c r="J2" s="3531"/>
      <c r="K2" s="3531"/>
      <c r="L2" s="3531"/>
      <c r="M2" s="3531"/>
      <c r="N2" s="3531"/>
      <c r="O2" s="3531"/>
      <c r="P2" s="3531"/>
      <c r="Q2" s="3531"/>
      <c r="R2" s="3531"/>
      <c r="S2" s="3531"/>
      <c r="T2" s="3531"/>
      <c r="U2" s="3531"/>
      <c r="V2" s="3531"/>
      <c r="W2" s="3531"/>
      <c r="X2" s="3531"/>
      <c r="Y2" s="3531"/>
      <c r="Z2" s="3531"/>
      <c r="AA2" s="3531"/>
      <c r="AB2" s="3531"/>
      <c r="AC2" s="3531"/>
      <c r="AD2" s="3531"/>
      <c r="AE2" s="3531"/>
      <c r="AF2" s="3531"/>
      <c r="AG2" s="3531"/>
      <c r="AH2" s="3531"/>
      <c r="AI2" s="3531"/>
      <c r="AJ2" s="3531"/>
      <c r="AK2" s="3531"/>
      <c r="AL2" s="3531"/>
      <c r="AM2" s="3531"/>
      <c r="AN2" s="3531"/>
      <c r="AO2" s="3531"/>
      <c r="AP2" s="3531"/>
      <c r="AQ2" s="3531"/>
      <c r="AR2" s="3531"/>
      <c r="AS2" s="3531"/>
      <c r="AT2" s="3531"/>
      <c r="AU2" s="3531"/>
      <c r="AV2" s="3531"/>
      <c r="AW2" s="3531"/>
      <c r="AX2" s="3531"/>
      <c r="AY2" s="3531"/>
      <c r="AZ2" s="3531"/>
      <c r="BA2" s="3531"/>
      <c r="BB2" s="3531"/>
      <c r="BC2" s="3531"/>
      <c r="BD2" s="3531"/>
      <c r="BE2" s="3531"/>
      <c r="BF2" s="3531"/>
      <c r="BG2" s="3531"/>
      <c r="BH2" s="3531"/>
      <c r="BI2" s="3531"/>
      <c r="BJ2" s="3531"/>
      <c r="BK2" s="3531"/>
      <c r="BL2" s="3531"/>
      <c r="BM2" s="942"/>
      <c r="BO2" s="389" t="s">
        <v>3</v>
      </c>
      <c r="BP2" s="737">
        <v>6</v>
      </c>
      <c r="BQ2" s="191"/>
      <c r="BR2" s="191"/>
      <c r="BS2" s="191"/>
      <c r="BT2" s="191"/>
      <c r="BU2" s="191"/>
      <c r="BV2" s="191"/>
      <c r="BW2" s="191"/>
      <c r="BX2" s="191"/>
    </row>
    <row r="3" spans="1:76" x14ac:dyDescent="0.25">
      <c r="A3" s="2521"/>
      <c r="B3" s="3531"/>
      <c r="C3" s="3531"/>
      <c r="D3" s="3531"/>
      <c r="E3" s="3531"/>
      <c r="F3" s="3531"/>
      <c r="G3" s="3531"/>
      <c r="H3" s="3531"/>
      <c r="I3" s="3531"/>
      <c r="J3" s="3531"/>
      <c r="K3" s="3531"/>
      <c r="L3" s="3531"/>
      <c r="M3" s="3531"/>
      <c r="N3" s="3531"/>
      <c r="O3" s="3531"/>
      <c r="P3" s="3531"/>
      <c r="Q3" s="3531"/>
      <c r="R3" s="3531"/>
      <c r="S3" s="3531"/>
      <c r="T3" s="3531"/>
      <c r="U3" s="3531"/>
      <c r="V3" s="3531"/>
      <c r="W3" s="3531"/>
      <c r="X3" s="3531"/>
      <c r="Y3" s="3531"/>
      <c r="Z3" s="3531"/>
      <c r="AA3" s="3531"/>
      <c r="AB3" s="3531"/>
      <c r="AC3" s="3531"/>
      <c r="AD3" s="3531"/>
      <c r="AE3" s="3531"/>
      <c r="AF3" s="3531"/>
      <c r="AG3" s="3531"/>
      <c r="AH3" s="3531"/>
      <c r="AI3" s="3531"/>
      <c r="AJ3" s="3531"/>
      <c r="AK3" s="3531"/>
      <c r="AL3" s="3531"/>
      <c r="AM3" s="3531"/>
      <c r="AN3" s="3531"/>
      <c r="AO3" s="3531"/>
      <c r="AP3" s="3531"/>
      <c r="AQ3" s="3531"/>
      <c r="AR3" s="3531"/>
      <c r="AS3" s="3531"/>
      <c r="AT3" s="3531"/>
      <c r="AU3" s="3531"/>
      <c r="AV3" s="3531"/>
      <c r="AW3" s="3531"/>
      <c r="AX3" s="3531"/>
      <c r="AY3" s="3531"/>
      <c r="AZ3" s="3531"/>
      <c r="BA3" s="3531"/>
      <c r="BB3" s="3531"/>
      <c r="BC3" s="3531"/>
      <c r="BD3" s="3531"/>
      <c r="BE3" s="3531"/>
      <c r="BF3" s="3531"/>
      <c r="BG3" s="3531"/>
      <c r="BH3" s="3531"/>
      <c r="BI3" s="3531"/>
      <c r="BJ3" s="3531"/>
      <c r="BK3" s="3531"/>
      <c r="BL3" s="3531"/>
      <c r="BM3" s="942"/>
      <c r="BO3" s="389" t="s">
        <v>5</v>
      </c>
      <c r="BP3" s="738" t="s">
        <v>6</v>
      </c>
      <c r="BQ3" s="191"/>
      <c r="BR3" s="191"/>
      <c r="BS3" s="191"/>
      <c r="BT3" s="191"/>
      <c r="BU3" s="191"/>
      <c r="BV3" s="191"/>
      <c r="BW3" s="191"/>
      <c r="BX3" s="191"/>
    </row>
    <row r="4" spans="1:76" x14ac:dyDescent="0.25">
      <c r="A4" s="2524"/>
      <c r="B4" s="2525"/>
      <c r="C4" s="2525"/>
      <c r="D4" s="2525"/>
      <c r="E4" s="2525"/>
      <c r="F4" s="2525"/>
      <c r="G4" s="2525"/>
      <c r="H4" s="2525"/>
      <c r="I4" s="2525"/>
      <c r="J4" s="2525"/>
      <c r="K4" s="2525"/>
      <c r="L4" s="2525"/>
      <c r="M4" s="2525"/>
      <c r="N4" s="2525"/>
      <c r="O4" s="2525"/>
      <c r="P4" s="2525"/>
      <c r="Q4" s="2525"/>
      <c r="R4" s="2525"/>
      <c r="S4" s="2525"/>
      <c r="T4" s="2525"/>
      <c r="U4" s="2525"/>
      <c r="V4" s="2525"/>
      <c r="W4" s="2525"/>
      <c r="X4" s="2525"/>
      <c r="Y4" s="2525"/>
      <c r="Z4" s="2525"/>
      <c r="AA4" s="2525"/>
      <c r="AB4" s="2525"/>
      <c r="AC4" s="2525"/>
      <c r="AD4" s="2525"/>
      <c r="AE4" s="2525"/>
      <c r="AF4" s="2525"/>
      <c r="AG4" s="2525"/>
      <c r="AH4" s="2525"/>
      <c r="AI4" s="2525"/>
      <c r="AJ4" s="2525"/>
      <c r="AK4" s="2525"/>
      <c r="AL4" s="2525"/>
      <c r="AM4" s="2525"/>
      <c r="AN4" s="2525"/>
      <c r="AO4" s="2525"/>
      <c r="AP4" s="2525"/>
      <c r="AQ4" s="2525"/>
      <c r="AR4" s="2525"/>
      <c r="AS4" s="2525"/>
      <c r="AT4" s="2525"/>
      <c r="AU4" s="2525"/>
      <c r="AV4" s="2525"/>
      <c r="AW4" s="2525"/>
      <c r="AX4" s="2525"/>
      <c r="AY4" s="2525"/>
      <c r="AZ4" s="2525"/>
      <c r="BA4" s="2525"/>
      <c r="BB4" s="2525"/>
      <c r="BC4" s="2525"/>
      <c r="BD4" s="2525"/>
      <c r="BE4" s="2525"/>
      <c r="BF4" s="2525"/>
      <c r="BG4" s="2525"/>
      <c r="BH4" s="2525"/>
      <c r="BI4" s="2525"/>
      <c r="BJ4" s="2525"/>
      <c r="BK4" s="2525"/>
      <c r="BL4" s="2525"/>
      <c r="BM4" s="878"/>
      <c r="BN4" s="739"/>
      <c r="BO4" s="389" t="s">
        <v>7</v>
      </c>
      <c r="BP4" s="740" t="s">
        <v>311</v>
      </c>
      <c r="BQ4" s="191"/>
      <c r="BR4" s="191"/>
      <c r="BS4" s="191"/>
      <c r="BT4" s="191"/>
      <c r="BU4" s="191"/>
      <c r="BV4" s="191"/>
      <c r="BW4" s="191"/>
      <c r="BX4" s="191"/>
    </row>
    <row r="5" spans="1:76" ht="15.75" x14ac:dyDescent="0.25">
      <c r="A5" s="2527" t="s">
        <v>312</v>
      </c>
      <c r="B5" s="2528"/>
      <c r="C5" s="2528"/>
      <c r="D5" s="2528"/>
      <c r="E5" s="2528"/>
      <c r="F5" s="2528"/>
      <c r="G5" s="2528"/>
      <c r="H5" s="2528"/>
      <c r="I5" s="2528"/>
      <c r="J5" s="2528"/>
      <c r="K5" s="2528"/>
      <c r="L5" s="879"/>
      <c r="M5" s="3124" t="s">
        <v>10</v>
      </c>
      <c r="N5" s="3124"/>
      <c r="O5" s="3124"/>
      <c r="P5" s="3124"/>
      <c r="Q5" s="3124"/>
      <c r="R5" s="3124"/>
      <c r="S5" s="3124"/>
      <c r="T5" s="3124"/>
      <c r="U5" s="3124"/>
      <c r="V5" s="3124"/>
      <c r="W5" s="3124"/>
      <c r="X5" s="3124"/>
      <c r="Y5" s="3124"/>
      <c r="Z5" s="3124"/>
      <c r="AA5" s="3124"/>
      <c r="AB5" s="3124"/>
      <c r="AC5" s="3124"/>
      <c r="AD5" s="3124"/>
      <c r="AE5" s="3124"/>
      <c r="AF5" s="3124"/>
      <c r="AG5" s="3124"/>
      <c r="AH5" s="3124"/>
      <c r="AI5" s="3124"/>
      <c r="AJ5" s="3124"/>
      <c r="AK5" s="3124"/>
      <c r="AL5" s="3124"/>
      <c r="AM5" s="3124"/>
      <c r="AN5" s="3124"/>
      <c r="AO5" s="3124"/>
      <c r="AP5" s="3124"/>
      <c r="AQ5" s="3124"/>
      <c r="AR5" s="3124"/>
      <c r="AS5" s="3124"/>
      <c r="AT5" s="3124"/>
      <c r="AU5" s="3124"/>
      <c r="AV5" s="3124"/>
      <c r="AW5" s="3124"/>
      <c r="AX5" s="3124"/>
      <c r="AY5" s="3124"/>
      <c r="AZ5" s="3124"/>
      <c r="BA5" s="3124"/>
      <c r="BB5" s="3124"/>
      <c r="BC5" s="3124"/>
      <c r="BD5" s="3124"/>
      <c r="BE5" s="3124"/>
      <c r="BF5" s="3124"/>
      <c r="BG5" s="3124"/>
      <c r="BH5" s="3124"/>
      <c r="BI5" s="3124"/>
      <c r="BJ5" s="3124"/>
      <c r="BK5" s="3124"/>
      <c r="BL5" s="3124"/>
      <c r="BM5" s="3124"/>
      <c r="BN5" s="3124"/>
      <c r="BO5" s="2531"/>
      <c r="BP5" s="3947"/>
      <c r="BQ5" s="3"/>
      <c r="BR5" s="3"/>
      <c r="BS5" s="3"/>
      <c r="BT5" s="3"/>
      <c r="BU5" s="3"/>
      <c r="BV5" s="3"/>
      <c r="BW5" s="3"/>
      <c r="BX5" s="3"/>
    </row>
    <row r="6" spans="1:76" ht="16.5" thickBot="1" x14ac:dyDescent="0.3">
      <c r="A6" s="2529"/>
      <c r="B6" s="2530"/>
      <c r="C6" s="2530"/>
      <c r="D6" s="2530"/>
      <c r="E6" s="2530"/>
      <c r="F6" s="2530"/>
      <c r="G6" s="2530"/>
      <c r="H6" s="2530"/>
      <c r="I6" s="2530"/>
      <c r="J6" s="2530"/>
      <c r="K6" s="2530"/>
      <c r="L6" s="880"/>
      <c r="M6" s="943"/>
      <c r="N6" s="741"/>
      <c r="O6" s="397"/>
      <c r="P6" s="880"/>
      <c r="Q6" s="398"/>
      <c r="R6" s="397"/>
      <c r="S6" s="880"/>
      <c r="T6" s="397"/>
      <c r="U6" s="880"/>
      <c r="V6" s="880"/>
      <c r="W6" s="1355">
        <f>+V12+V13+V14+V15+V16+V17</f>
        <v>147658760</v>
      </c>
      <c r="X6" s="880"/>
      <c r="Y6" s="880"/>
      <c r="Z6" s="3125" t="s">
        <v>11</v>
      </c>
      <c r="AA6" s="2530"/>
      <c r="AB6" s="2530"/>
      <c r="AC6" s="2530"/>
      <c r="AD6" s="2530"/>
      <c r="AE6" s="2530"/>
      <c r="AF6" s="2530"/>
      <c r="AG6" s="2530"/>
      <c r="AH6" s="2530"/>
      <c r="AI6" s="2530"/>
      <c r="AJ6" s="2530"/>
      <c r="AK6" s="2530"/>
      <c r="AL6" s="2530"/>
      <c r="AM6" s="2530"/>
      <c r="AN6" s="2530"/>
      <c r="AO6" s="2530"/>
      <c r="AP6" s="2530"/>
      <c r="AQ6" s="2530"/>
      <c r="AR6" s="2530"/>
      <c r="AS6" s="2530"/>
      <c r="AT6" s="2530"/>
      <c r="AU6" s="2530"/>
      <c r="AV6" s="2530"/>
      <c r="AW6" s="2530"/>
      <c r="AX6" s="2530"/>
      <c r="AY6" s="2530"/>
      <c r="AZ6" s="2530"/>
      <c r="BA6" s="2530"/>
      <c r="BB6" s="2530"/>
      <c r="BC6" s="880"/>
      <c r="BD6" s="399"/>
      <c r="BE6" s="399"/>
      <c r="BF6" s="399"/>
      <c r="BG6" s="399"/>
      <c r="BH6" s="399"/>
      <c r="BI6" s="399"/>
      <c r="BJ6" s="399"/>
      <c r="BK6" s="399"/>
      <c r="BL6" s="400"/>
      <c r="BM6" s="400"/>
      <c r="BN6" s="400"/>
      <c r="BO6" s="400"/>
      <c r="BP6" s="743"/>
      <c r="BQ6" s="3"/>
      <c r="BR6" s="3"/>
      <c r="BS6" s="3"/>
      <c r="BT6" s="3"/>
      <c r="BU6" s="3"/>
      <c r="BV6" s="3"/>
      <c r="BW6" s="3"/>
      <c r="BX6" s="3"/>
    </row>
    <row r="7" spans="1:76" ht="29.25" customHeight="1" x14ac:dyDescent="0.25">
      <c r="A7" s="4465" t="s">
        <v>12</v>
      </c>
      <c r="B7" s="2580" t="s">
        <v>13</v>
      </c>
      <c r="C7" s="2580"/>
      <c r="D7" s="2580" t="s">
        <v>12</v>
      </c>
      <c r="E7" s="2580" t="s">
        <v>14</v>
      </c>
      <c r="F7" s="2580"/>
      <c r="G7" s="2580" t="s">
        <v>12</v>
      </c>
      <c r="H7" s="2516" t="s">
        <v>597</v>
      </c>
      <c r="I7" s="2580" t="s">
        <v>15</v>
      </c>
      <c r="J7" s="2580" t="s">
        <v>16</v>
      </c>
      <c r="K7" s="2580" t="s">
        <v>17</v>
      </c>
      <c r="L7" s="2580"/>
      <c r="M7" s="4465" t="s">
        <v>18</v>
      </c>
      <c r="N7" s="2580" t="s">
        <v>19</v>
      </c>
      <c r="O7" s="2580" t="s">
        <v>10</v>
      </c>
      <c r="P7" s="4474" t="s">
        <v>20</v>
      </c>
      <c r="Q7" s="2566" t="s">
        <v>21</v>
      </c>
      <c r="R7" s="2580" t="s">
        <v>22</v>
      </c>
      <c r="S7" s="2580" t="s">
        <v>23</v>
      </c>
      <c r="T7" s="2580" t="s">
        <v>599</v>
      </c>
      <c r="U7" s="2566" t="s">
        <v>21</v>
      </c>
      <c r="V7" s="2566"/>
      <c r="W7" s="2566"/>
      <c r="X7" s="4465" t="s">
        <v>12</v>
      </c>
      <c r="Y7" s="2580" t="s">
        <v>25</v>
      </c>
      <c r="Z7" s="2551" t="s">
        <v>26</v>
      </c>
      <c r="AA7" s="2552"/>
      <c r="AB7" s="2552"/>
      <c r="AC7" s="2553"/>
      <c r="AD7" s="2554" t="s">
        <v>27</v>
      </c>
      <c r="AE7" s="2555"/>
      <c r="AF7" s="2555"/>
      <c r="AG7" s="2555"/>
      <c r="AH7" s="2555"/>
      <c r="AI7" s="2555"/>
      <c r="AJ7" s="2555"/>
      <c r="AK7" s="2556"/>
      <c r="AL7" s="2677" t="s">
        <v>28</v>
      </c>
      <c r="AM7" s="2678"/>
      <c r="AN7" s="2678"/>
      <c r="AO7" s="2678"/>
      <c r="AP7" s="2678"/>
      <c r="AQ7" s="2678"/>
      <c r="AR7" s="2678"/>
      <c r="AS7" s="2678"/>
      <c r="AT7" s="2678"/>
      <c r="AU7" s="2678"/>
      <c r="AV7" s="2678"/>
      <c r="AW7" s="2679"/>
      <c r="AX7" s="2554" t="s">
        <v>29</v>
      </c>
      <c r="AY7" s="2555"/>
      <c r="AZ7" s="2555"/>
      <c r="BA7" s="2555"/>
      <c r="BB7" s="2555"/>
      <c r="BC7" s="2556"/>
      <c r="BD7" s="2910" t="s">
        <v>30</v>
      </c>
      <c r="BE7" s="2911"/>
      <c r="BF7" s="3526" t="s">
        <v>31</v>
      </c>
      <c r="BG7" s="3527"/>
      <c r="BH7" s="3527"/>
      <c r="BI7" s="3527"/>
      <c r="BJ7" s="3527"/>
      <c r="BK7" s="3528"/>
      <c r="BL7" s="2541" t="s">
        <v>32</v>
      </c>
      <c r="BM7" s="2542"/>
      <c r="BN7" s="2541" t="s">
        <v>33</v>
      </c>
      <c r="BO7" s="2542"/>
      <c r="BP7" s="2545" t="s">
        <v>34</v>
      </c>
      <c r="BQ7" s="3"/>
      <c r="BR7" s="3"/>
      <c r="BS7" s="3"/>
      <c r="BT7" s="3"/>
      <c r="BU7" s="3"/>
      <c r="BV7" s="3"/>
      <c r="BW7" s="3"/>
      <c r="BX7" s="3"/>
    </row>
    <row r="8" spans="1:76" ht="75" customHeight="1" x14ac:dyDescent="0.25">
      <c r="A8" s="4465"/>
      <c r="B8" s="2580"/>
      <c r="C8" s="2580"/>
      <c r="D8" s="2580"/>
      <c r="E8" s="2580"/>
      <c r="F8" s="2580"/>
      <c r="G8" s="2580"/>
      <c r="H8" s="2540"/>
      <c r="I8" s="2580"/>
      <c r="J8" s="2580"/>
      <c r="K8" s="874" t="s">
        <v>59</v>
      </c>
      <c r="L8" s="874" t="s">
        <v>60</v>
      </c>
      <c r="M8" s="4465"/>
      <c r="N8" s="2580"/>
      <c r="O8" s="2580"/>
      <c r="P8" s="4474"/>
      <c r="Q8" s="2566"/>
      <c r="R8" s="2580"/>
      <c r="S8" s="2580"/>
      <c r="T8" s="2580"/>
      <c r="U8" s="875" t="s">
        <v>229</v>
      </c>
      <c r="V8" s="875" t="s">
        <v>230</v>
      </c>
      <c r="W8" s="875" t="s">
        <v>231</v>
      </c>
      <c r="X8" s="4465"/>
      <c r="Y8" s="2580"/>
      <c r="Z8" s="2673" t="s">
        <v>38</v>
      </c>
      <c r="AA8" s="2674"/>
      <c r="AB8" s="2675" t="s">
        <v>39</v>
      </c>
      <c r="AC8" s="2676"/>
      <c r="AD8" s="2673" t="s">
        <v>40</v>
      </c>
      <c r="AE8" s="2674"/>
      <c r="AF8" s="2673" t="s">
        <v>41</v>
      </c>
      <c r="AG8" s="2674"/>
      <c r="AH8" s="2673" t="s">
        <v>232</v>
      </c>
      <c r="AI8" s="2674"/>
      <c r="AJ8" s="2673" t="s">
        <v>43</v>
      </c>
      <c r="AK8" s="2674"/>
      <c r="AL8" s="2673" t="s">
        <v>44</v>
      </c>
      <c r="AM8" s="2674"/>
      <c r="AN8" s="2673" t="s">
        <v>45</v>
      </c>
      <c r="AO8" s="2674"/>
      <c r="AP8" s="2673" t="s">
        <v>46</v>
      </c>
      <c r="AQ8" s="2674"/>
      <c r="AR8" s="2673" t="s">
        <v>47</v>
      </c>
      <c r="AS8" s="2674"/>
      <c r="AT8" s="2673" t="s">
        <v>48</v>
      </c>
      <c r="AU8" s="2674"/>
      <c r="AV8" s="2673" t="s">
        <v>49</v>
      </c>
      <c r="AW8" s="2674"/>
      <c r="AX8" s="2673" t="s">
        <v>50</v>
      </c>
      <c r="AY8" s="2674"/>
      <c r="AZ8" s="2673" t="s">
        <v>51</v>
      </c>
      <c r="BA8" s="2674"/>
      <c r="BB8" s="2673" t="s">
        <v>52</v>
      </c>
      <c r="BC8" s="2674"/>
      <c r="BD8" s="4475"/>
      <c r="BE8" s="4476"/>
      <c r="BF8" s="3515" t="s">
        <v>53</v>
      </c>
      <c r="BG8" s="3514" t="s">
        <v>54</v>
      </c>
      <c r="BH8" s="3515" t="s">
        <v>55</v>
      </c>
      <c r="BI8" s="3516" t="s">
        <v>56</v>
      </c>
      <c r="BJ8" s="3515" t="s">
        <v>57</v>
      </c>
      <c r="BK8" s="3521" t="s">
        <v>58</v>
      </c>
      <c r="BL8" s="2669"/>
      <c r="BM8" s="2670"/>
      <c r="BN8" s="2669"/>
      <c r="BO8" s="2670"/>
      <c r="BP8" s="2545"/>
      <c r="BQ8" s="3"/>
      <c r="BR8" s="3"/>
      <c r="BS8" s="3"/>
      <c r="BT8" s="3"/>
      <c r="BU8" s="3"/>
      <c r="BV8" s="3"/>
      <c r="BW8" s="3"/>
      <c r="BX8" s="3"/>
    </row>
    <row r="9" spans="1:76" ht="30.75" customHeight="1" x14ac:dyDescent="0.25">
      <c r="A9" s="745"/>
      <c r="B9" s="18"/>
      <c r="C9" s="18"/>
      <c r="D9" s="18"/>
      <c r="E9" s="746"/>
      <c r="F9" s="746"/>
      <c r="G9" s="18"/>
      <c r="H9" s="746"/>
      <c r="I9" s="18"/>
      <c r="J9" s="18"/>
      <c r="K9" s="18"/>
      <c r="L9" s="18"/>
      <c r="M9" s="745"/>
      <c r="N9" s="18"/>
      <c r="O9" s="18"/>
      <c r="P9" s="749"/>
      <c r="Q9" s="751"/>
      <c r="R9" s="748"/>
      <c r="S9" s="18"/>
      <c r="T9" s="748"/>
      <c r="U9" s="750"/>
      <c r="V9" s="751"/>
      <c r="W9" s="751"/>
      <c r="X9" s="1356"/>
      <c r="Y9" s="18"/>
      <c r="Z9" s="874" t="s">
        <v>59</v>
      </c>
      <c r="AA9" s="874" t="s">
        <v>60</v>
      </c>
      <c r="AB9" s="874" t="s">
        <v>59</v>
      </c>
      <c r="AC9" s="874" t="s">
        <v>60</v>
      </c>
      <c r="AD9" s="874" t="s">
        <v>59</v>
      </c>
      <c r="AE9" s="874" t="s">
        <v>60</v>
      </c>
      <c r="AF9" s="874" t="s">
        <v>59</v>
      </c>
      <c r="AG9" s="874" t="s">
        <v>60</v>
      </c>
      <c r="AH9" s="874" t="s">
        <v>59</v>
      </c>
      <c r="AI9" s="874" t="s">
        <v>60</v>
      </c>
      <c r="AJ9" s="874" t="s">
        <v>59</v>
      </c>
      <c r="AK9" s="874" t="s">
        <v>60</v>
      </c>
      <c r="AL9" s="874" t="s">
        <v>59</v>
      </c>
      <c r="AM9" s="874" t="s">
        <v>60</v>
      </c>
      <c r="AN9" s="874" t="s">
        <v>59</v>
      </c>
      <c r="AO9" s="874" t="s">
        <v>60</v>
      </c>
      <c r="AP9" s="874" t="s">
        <v>59</v>
      </c>
      <c r="AQ9" s="874" t="s">
        <v>60</v>
      </c>
      <c r="AR9" s="874" t="s">
        <v>59</v>
      </c>
      <c r="AS9" s="874" t="s">
        <v>60</v>
      </c>
      <c r="AT9" s="874" t="s">
        <v>59</v>
      </c>
      <c r="AU9" s="874" t="s">
        <v>60</v>
      </c>
      <c r="AV9" s="874" t="s">
        <v>59</v>
      </c>
      <c r="AW9" s="874" t="s">
        <v>60</v>
      </c>
      <c r="AX9" s="874" t="s">
        <v>59</v>
      </c>
      <c r="AY9" s="874" t="s">
        <v>60</v>
      </c>
      <c r="AZ9" s="874" t="s">
        <v>59</v>
      </c>
      <c r="BA9" s="874" t="s">
        <v>60</v>
      </c>
      <c r="BB9" s="874" t="s">
        <v>59</v>
      </c>
      <c r="BC9" s="874" t="s">
        <v>60</v>
      </c>
      <c r="BD9" s="874" t="s">
        <v>59</v>
      </c>
      <c r="BE9" s="874" t="s">
        <v>60</v>
      </c>
      <c r="BF9" s="3515"/>
      <c r="BG9" s="3514"/>
      <c r="BH9" s="3515"/>
      <c r="BI9" s="3516"/>
      <c r="BJ9" s="3515"/>
      <c r="BK9" s="3522"/>
      <c r="BL9" s="874" t="s">
        <v>59</v>
      </c>
      <c r="BM9" s="874" t="s">
        <v>60</v>
      </c>
      <c r="BN9" s="874" t="s">
        <v>59</v>
      </c>
      <c r="BO9" s="874" t="s">
        <v>60</v>
      </c>
      <c r="BP9" s="752"/>
      <c r="BQ9" s="3"/>
      <c r="BR9" s="3"/>
      <c r="BS9" s="3"/>
      <c r="BT9" s="3"/>
      <c r="BU9" s="3"/>
      <c r="BV9" s="3"/>
      <c r="BW9" s="3"/>
      <c r="BX9" s="3"/>
    </row>
    <row r="10" spans="1:76" ht="15.75" x14ac:dyDescent="0.25">
      <c r="A10" s="753">
        <v>1</v>
      </c>
      <c r="B10" s="204" t="s">
        <v>680</v>
      </c>
      <c r="C10" s="754"/>
      <c r="D10" s="206"/>
      <c r="E10" s="755"/>
      <c r="F10" s="755"/>
      <c r="G10" s="755"/>
      <c r="H10" s="755"/>
      <c r="I10" s="756"/>
      <c r="J10" s="757"/>
      <c r="K10" s="755"/>
      <c r="L10" s="755"/>
      <c r="M10" s="1357"/>
      <c r="N10" s="755"/>
      <c r="O10" s="757"/>
      <c r="P10" s="759"/>
      <c r="Q10" s="755"/>
      <c r="R10" s="758"/>
      <c r="S10" s="758"/>
      <c r="T10" s="758"/>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5"/>
      <c r="AY10" s="755"/>
      <c r="AZ10" s="755"/>
      <c r="BA10" s="755"/>
      <c r="BB10" s="755"/>
      <c r="BC10" s="755"/>
      <c r="BD10" s="755"/>
      <c r="BE10" s="755"/>
      <c r="BF10" s="755"/>
      <c r="BG10" s="755"/>
      <c r="BH10" s="755"/>
      <c r="BI10" s="755"/>
      <c r="BJ10" s="755"/>
      <c r="BK10" s="755"/>
      <c r="BL10" s="755"/>
      <c r="BM10" s="755"/>
      <c r="BN10" s="755"/>
      <c r="BO10" s="755"/>
      <c r="BP10" s="755"/>
      <c r="BQ10" s="4"/>
      <c r="BR10" s="4"/>
      <c r="BS10" s="4"/>
      <c r="BT10" s="4"/>
      <c r="BU10" s="4"/>
      <c r="BV10" s="4"/>
      <c r="BW10" s="4"/>
      <c r="BX10" s="4"/>
    </row>
    <row r="11" spans="1:76" ht="15.75" x14ac:dyDescent="0.25">
      <c r="A11" s="760"/>
      <c r="B11" s="760"/>
      <c r="C11" s="762"/>
      <c r="D11" s="763">
        <v>39</v>
      </c>
      <c r="E11" s="219" t="s">
        <v>602</v>
      </c>
      <c r="F11" s="220"/>
      <c r="G11" s="954"/>
      <c r="H11" s="954"/>
      <c r="I11" s="1358"/>
      <c r="J11" s="787"/>
      <c r="K11" s="955"/>
      <c r="L11" s="955"/>
      <c r="M11" s="1359"/>
      <c r="N11" s="954"/>
      <c r="O11" s="1360"/>
      <c r="P11" s="1050"/>
      <c r="Q11" s="1361"/>
      <c r="R11" s="1362"/>
      <c r="S11" s="1362"/>
      <c r="T11" s="220"/>
      <c r="U11" s="1055"/>
      <c r="V11" s="1055"/>
      <c r="W11" s="1055"/>
      <c r="X11" s="1361"/>
      <c r="Y11" s="1363"/>
      <c r="Z11" s="1361"/>
      <c r="AA11" s="1361"/>
      <c r="AB11" s="1361"/>
      <c r="AC11" s="1361"/>
      <c r="AD11" s="1361"/>
      <c r="AE11" s="1361"/>
      <c r="AF11" s="1361"/>
      <c r="AG11" s="1361"/>
      <c r="AH11" s="1361"/>
      <c r="AI11" s="1361"/>
      <c r="AJ11" s="1361"/>
      <c r="AK11" s="1361"/>
      <c r="AL11" s="1361"/>
      <c r="AM11" s="1361"/>
      <c r="AN11" s="1361"/>
      <c r="AO11" s="1361"/>
      <c r="AP11" s="1361"/>
      <c r="AQ11" s="1361"/>
      <c r="AR11" s="1361"/>
      <c r="AS11" s="1361"/>
      <c r="AT11" s="1361"/>
      <c r="AU11" s="1361"/>
      <c r="AV11" s="1361"/>
      <c r="AW11" s="1361"/>
      <c r="AX11" s="1361"/>
      <c r="AY11" s="1361"/>
      <c r="AZ11" s="1361"/>
      <c r="BA11" s="1361"/>
      <c r="BB11" s="1361"/>
      <c r="BC11" s="1361"/>
      <c r="BD11" s="1361"/>
      <c r="BE11" s="1361"/>
      <c r="BF11" s="1361"/>
      <c r="BG11" s="1361"/>
      <c r="BH11" s="1361"/>
      <c r="BI11" s="1361"/>
      <c r="BJ11" s="1361"/>
      <c r="BK11" s="1361"/>
      <c r="BL11" s="1361"/>
      <c r="BM11" s="1361"/>
      <c r="BN11" s="1361"/>
      <c r="BO11" s="1361"/>
      <c r="BP11" s="1361"/>
      <c r="BQ11" s="4"/>
      <c r="BR11" s="4"/>
      <c r="BS11" s="4"/>
      <c r="BT11" s="4"/>
      <c r="BU11" s="4"/>
      <c r="BV11" s="4"/>
      <c r="BW11" s="4"/>
      <c r="BX11" s="4"/>
    </row>
    <row r="12" spans="1:76" s="1372" customFormat="1" ht="45.75" customHeight="1" x14ac:dyDescent="0.25">
      <c r="A12" s="1364"/>
      <c r="B12" s="1364"/>
      <c r="C12" s="1365"/>
      <c r="D12" s="4482"/>
      <c r="E12" s="4484"/>
      <c r="F12" s="1366"/>
      <c r="G12" s="2592">
        <v>4301007</v>
      </c>
      <c r="H12" s="2592" t="s">
        <v>1098</v>
      </c>
      <c r="I12" s="4486" t="s">
        <v>1099</v>
      </c>
      <c r="J12" s="3851" t="s">
        <v>1100</v>
      </c>
      <c r="K12" s="4406">
        <v>12</v>
      </c>
      <c r="L12" s="4406">
        <v>12</v>
      </c>
      <c r="M12" s="1367" t="s">
        <v>1101</v>
      </c>
      <c r="N12" s="3315" t="s">
        <v>1102</v>
      </c>
      <c r="O12" s="2779" t="s">
        <v>1103</v>
      </c>
      <c r="P12" s="4477">
        <f>+(U12+U13+U14)/(U12+U13+U14+U29+U52+U53+U54+U55)</f>
        <v>0.10797728471625799</v>
      </c>
      <c r="Q12" s="4480">
        <f>+U12+U13+U14+U15+U16+U17</f>
        <v>175589000</v>
      </c>
      <c r="R12" s="2863" t="s">
        <v>1104</v>
      </c>
      <c r="S12" s="3851" t="s">
        <v>1105</v>
      </c>
      <c r="T12" s="4493" t="s">
        <v>1106</v>
      </c>
      <c r="U12" s="1368">
        <v>47740000</v>
      </c>
      <c r="V12" s="1368">
        <v>47740000</v>
      </c>
      <c r="W12" s="1368">
        <v>47740000</v>
      </c>
      <c r="X12" s="1369">
        <v>12</v>
      </c>
      <c r="Y12" s="1370" t="s">
        <v>1107</v>
      </c>
      <c r="Z12" s="4494">
        <v>770</v>
      </c>
      <c r="AA12" s="4490">
        <v>651</v>
      </c>
      <c r="AB12" s="4481">
        <v>630</v>
      </c>
      <c r="AC12" s="4490">
        <v>416</v>
      </c>
      <c r="AD12" s="4481">
        <v>372</v>
      </c>
      <c r="AE12" s="4481">
        <v>509</v>
      </c>
      <c r="AF12" s="4481">
        <v>94</v>
      </c>
      <c r="AG12" s="4481">
        <v>181</v>
      </c>
      <c r="AH12" s="4481">
        <v>934</v>
      </c>
      <c r="AI12" s="4481">
        <v>20</v>
      </c>
      <c r="AJ12" s="4481">
        <v>0</v>
      </c>
      <c r="AK12" s="4481">
        <v>357</v>
      </c>
      <c r="AL12" s="4481">
        <v>40</v>
      </c>
      <c r="AM12" s="4481"/>
      <c r="AN12" s="4481">
        <v>0</v>
      </c>
      <c r="AO12" s="4481"/>
      <c r="AP12" s="4481">
        <v>0</v>
      </c>
      <c r="AQ12" s="4481"/>
      <c r="AR12" s="4481">
        <v>0</v>
      </c>
      <c r="AS12" s="4481"/>
      <c r="AT12" s="4481">
        <v>0</v>
      </c>
      <c r="AU12" s="4481"/>
      <c r="AV12" s="4481">
        <v>0</v>
      </c>
      <c r="AW12" s="4481"/>
      <c r="AX12" s="4481">
        <v>0</v>
      </c>
      <c r="AY12" s="4481"/>
      <c r="AZ12" s="4481">
        <v>0</v>
      </c>
      <c r="BA12" s="4481"/>
      <c r="BB12" s="4481">
        <v>0</v>
      </c>
      <c r="BC12" s="4481"/>
      <c r="BD12" s="4481">
        <v>1400</v>
      </c>
      <c r="BE12" s="4481">
        <f>+AA12+AC12+AE12+AG12+AI12+AK12</f>
        <v>2134</v>
      </c>
      <c r="BF12" s="4490">
        <v>30</v>
      </c>
      <c r="BG12" s="4490">
        <f>+V12+V14+V15+V16+V17+V13</f>
        <v>147658760</v>
      </c>
      <c r="BH12" s="4490">
        <f>+W12+W14+W16+W17+W15+W13</f>
        <v>147658760</v>
      </c>
      <c r="BI12" s="4507">
        <f>BH12/BG12</f>
        <v>1</v>
      </c>
      <c r="BJ12" s="1371" t="s">
        <v>1107</v>
      </c>
      <c r="BK12" s="4510" t="s">
        <v>1108</v>
      </c>
      <c r="BL12" s="3686">
        <v>43832</v>
      </c>
      <c r="BM12" s="3686">
        <v>43862</v>
      </c>
      <c r="BN12" s="3686">
        <v>44195</v>
      </c>
      <c r="BO12" s="4497">
        <v>44195</v>
      </c>
      <c r="BP12" s="2725" t="s">
        <v>1109</v>
      </c>
      <c r="BQ12" s="3"/>
      <c r="BR12" s="3"/>
      <c r="BS12" s="3"/>
      <c r="BT12" s="3"/>
      <c r="BU12" s="3"/>
      <c r="BV12" s="3"/>
      <c r="BW12" s="3"/>
      <c r="BX12" s="3"/>
    </row>
    <row r="13" spans="1:76" s="1372" customFormat="1" ht="69.75" customHeight="1" x14ac:dyDescent="0.25">
      <c r="A13" s="1373"/>
      <c r="B13" s="1374"/>
      <c r="C13" s="1375"/>
      <c r="D13" s="4483"/>
      <c r="E13" s="4485"/>
      <c r="F13" s="552"/>
      <c r="G13" s="2592"/>
      <c r="H13" s="2592"/>
      <c r="I13" s="4487"/>
      <c r="J13" s="3008"/>
      <c r="K13" s="4406"/>
      <c r="L13" s="4406"/>
      <c r="M13" s="1367" t="s">
        <v>1110</v>
      </c>
      <c r="N13" s="3315"/>
      <c r="O13" s="2779"/>
      <c r="P13" s="4478"/>
      <c r="Q13" s="4480"/>
      <c r="R13" s="2864"/>
      <c r="S13" s="3008"/>
      <c r="T13" s="4493"/>
      <c r="U13" s="1376">
        <v>96129000</v>
      </c>
      <c r="V13" s="1376">
        <f>87798760-450000</f>
        <v>87348760</v>
      </c>
      <c r="W13" s="1376">
        <v>87348760</v>
      </c>
      <c r="X13" s="1369" t="s">
        <v>1111</v>
      </c>
      <c r="Y13" s="1377" t="s">
        <v>1112</v>
      </c>
      <c r="Z13" s="4494"/>
      <c r="AA13" s="4491"/>
      <c r="AB13" s="4481"/>
      <c r="AC13" s="4491"/>
      <c r="AD13" s="4481"/>
      <c r="AE13" s="4481"/>
      <c r="AF13" s="4481"/>
      <c r="AG13" s="4481"/>
      <c r="AH13" s="4481"/>
      <c r="AI13" s="4481"/>
      <c r="AJ13" s="4481"/>
      <c r="AK13" s="4481"/>
      <c r="AL13" s="4481"/>
      <c r="AM13" s="4481"/>
      <c r="AN13" s="4481"/>
      <c r="AO13" s="4481"/>
      <c r="AP13" s="4481"/>
      <c r="AQ13" s="4481"/>
      <c r="AR13" s="4481"/>
      <c r="AS13" s="4481"/>
      <c r="AT13" s="4481"/>
      <c r="AU13" s="4481"/>
      <c r="AV13" s="4481"/>
      <c r="AW13" s="4481"/>
      <c r="AX13" s="4481"/>
      <c r="AY13" s="4481"/>
      <c r="AZ13" s="4481"/>
      <c r="BA13" s="4481"/>
      <c r="BB13" s="4481"/>
      <c r="BC13" s="4481"/>
      <c r="BD13" s="4481"/>
      <c r="BE13" s="4481"/>
      <c r="BF13" s="4491"/>
      <c r="BG13" s="4491"/>
      <c r="BH13" s="4491"/>
      <c r="BI13" s="4508"/>
      <c r="BJ13" s="1378" t="s">
        <v>1112</v>
      </c>
      <c r="BK13" s="4511"/>
      <c r="BL13" s="3772"/>
      <c r="BM13" s="3772"/>
      <c r="BN13" s="3772"/>
      <c r="BO13" s="3715"/>
      <c r="BP13" s="2725"/>
      <c r="BQ13" s="3"/>
      <c r="BR13" s="3"/>
      <c r="BS13" s="3"/>
      <c r="BT13" s="3"/>
      <c r="BU13" s="3"/>
      <c r="BV13" s="3"/>
      <c r="BW13" s="3"/>
      <c r="BX13" s="3"/>
    </row>
    <row r="14" spans="1:76" s="1372" customFormat="1" ht="66" customHeight="1" x14ac:dyDescent="0.25">
      <c r="A14" s="1373"/>
      <c r="B14" s="1374"/>
      <c r="C14" s="1375"/>
      <c r="D14" s="1379"/>
      <c r="E14" s="1380"/>
      <c r="F14" s="552"/>
      <c r="G14" s="2592"/>
      <c r="H14" s="2592"/>
      <c r="I14" s="4488"/>
      <c r="J14" s="4489"/>
      <c r="K14" s="4406"/>
      <c r="L14" s="4406"/>
      <c r="M14" s="1367" t="s">
        <v>1110</v>
      </c>
      <c r="N14" s="3315"/>
      <c r="O14" s="2779"/>
      <c r="P14" s="4479"/>
      <c r="Q14" s="4480"/>
      <c r="R14" s="2864"/>
      <c r="S14" s="3008"/>
      <c r="T14" s="4493"/>
      <c r="U14" s="1376">
        <v>18240000</v>
      </c>
      <c r="V14" s="1368">
        <v>450000</v>
      </c>
      <c r="W14" s="1368">
        <v>450000</v>
      </c>
      <c r="X14" s="1369" t="s">
        <v>1111</v>
      </c>
      <c r="Y14" s="1377" t="s">
        <v>1112</v>
      </c>
      <c r="Z14" s="4494"/>
      <c r="AA14" s="4491"/>
      <c r="AB14" s="4481"/>
      <c r="AC14" s="4491"/>
      <c r="AD14" s="4481"/>
      <c r="AE14" s="4481"/>
      <c r="AF14" s="4481"/>
      <c r="AG14" s="4481"/>
      <c r="AH14" s="4481"/>
      <c r="AI14" s="4481"/>
      <c r="AJ14" s="4481"/>
      <c r="AK14" s="4481"/>
      <c r="AL14" s="4481"/>
      <c r="AM14" s="4481"/>
      <c r="AN14" s="4481"/>
      <c r="AO14" s="4481"/>
      <c r="AP14" s="4481"/>
      <c r="AQ14" s="4481"/>
      <c r="AR14" s="4481"/>
      <c r="AS14" s="4481"/>
      <c r="AT14" s="4481"/>
      <c r="AU14" s="4481"/>
      <c r="AV14" s="4481"/>
      <c r="AW14" s="4481"/>
      <c r="AX14" s="4481"/>
      <c r="AY14" s="4481"/>
      <c r="AZ14" s="4481"/>
      <c r="BA14" s="4481"/>
      <c r="BB14" s="4481"/>
      <c r="BC14" s="4481"/>
      <c r="BD14" s="4481"/>
      <c r="BE14" s="4481"/>
      <c r="BF14" s="4491"/>
      <c r="BG14" s="4491"/>
      <c r="BH14" s="4491"/>
      <c r="BI14" s="4508"/>
      <c r="BJ14" s="1378" t="s">
        <v>1112</v>
      </c>
      <c r="BK14" s="4511"/>
      <c r="BL14" s="3772"/>
      <c r="BM14" s="3772"/>
      <c r="BN14" s="3772"/>
      <c r="BO14" s="3715"/>
      <c r="BP14" s="2725"/>
      <c r="BQ14" s="3"/>
      <c r="BR14" s="3"/>
      <c r="BS14" s="3"/>
      <c r="BT14" s="3"/>
      <c r="BU14" s="3"/>
      <c r="BV14" s="3"/>
      <c r="BW14" s="3"/>
      <c r="BX14" s="3"/>
    </row>
    <row r="15" spans="1:76" s="1372" customFormat="1" ht="42.75" customHeight="1" x14ac:dyDescent="0.25">
      <c r="A15" s="1373"/>
      <c r="B15" s="1374"/>
      <c r="C15" s="1375"/>
      <c r="D15" s="552"/>
      <c r="E15" s="552"/>
      <c r="F15" s="552"/>
      <c r="G15" s="2592">
        <v>4301037</v>
      </c>
      <c r="H15" s="2592">
        <v>39.200000000000003</v>
      </c>
      <c r="I15" s="4498" t="s">
        <v>1113</v>
      </c>
      <c r="J15" s="4501" t="s">
        <v>1114</v>
      </c>
      <c r="K15" s="4406">
        <v>12</v>
      </c>
      <c r="L15" s="4406">
        <v>12</v>
      </c>
      <c r="M15" s="1381" t="s">
        <v>1115</v>
      </c>
      <c r="N15" s="3315"/>
      <c r="O15" s="2779"/>
      <c r="P15" s="4504">
        <f>+(U15+U16+U17)/1488175680.78</f>
        <v>9.0580703435058866E-3</v>
      </c>
      <c r="Q15" s="4480"/>
      <c r="R15" s="2864"/>
      <c r="S15" s="2864"/>
      <c r="T15" s="1382" t="s">
        <v>1116</v>
      </c>
      <c r="U15" s="1383">
        <v>4000000</v>
      </c>
      <c r="V15" s="1384">
        <v>4000000</v>
      </c>
      <c r="W15" s="1384">
        <v>4000000</v>
      </c>
      <c r="X15" s="970" t="s">
        <v>1117</v>
      </c>
      <c r="Y15" s="1385" t="s">
        <v>1118</v>
      </c>
      <c r="Z15" s="4481"/>
      <c r="AA15" s="4491"/>
      <c r="AB15" s="4481"/>
      <c r="AC15" s="4491"/>
      <c r="AD15" s="4481"/>
      <c r="AE15" s="4481"/>
      <c r="AF15" s="4481"/>
      <c r="AG15" s="4481"/>
      <c r="AH15" s="4481"/>
      <c r="AI15" s="4481"/>
      <c r="AJ15" s="4481"/>
      <c r="AK15" s="4481"/>
      <c r="AL15" s="4481"/>
      <c r="AM15" s="4481"/>
      <c r="AN15" s="4481"/>
      <c r="AO15" s="4481"/>
      <c r="AP15" s="4481"/>
      <c r="AQ15" s="4481"/>
      <c r="AR15" s="4481"/>
      <c r="AS15" s="4481"/>
      <c r="AT15" s="4481"/>
      <c r="AU15" s="4481"/>
      <c r="AV15" s="4481"/>
      <c r="AW15" s="4481"/>
      <c r="AX15" s="4481"/>
      <c r="AY15" s="4481"/>
      <c r="AZ15" s="4481"/>
      <c r="BA15" s="4481"/>
      <c r="BB15" s="4481"/>
      <c r="BC15" s="4481"/>
      <c r="BD15" s="4481"/>
      <c r="BE15" s="4481"/>
      <c r="BF15" s="4491"/>
      <c r="BG15" s="4491"/>
      <c r="BH15" s="4491"/>
      <c r="BI15" s="4508"/>
      <c r="BJ15" s="1386" t="s">
        <v>1118</v>
      </c>
      <c r="BK15" s="4511"/>
      <c r="BL15" s="3772"/>
      <c r="BM15" s="3772"/>
      <c r="BN15" s="3772"/>
      <c r="BO15" s="3715"/>
      <c r="BP15" s="2725"/>
      <c r="BQ15" s="3"/>
      <c r="BR15" s="3"/>
      <c r="BS15" s="3"/>
      <c r="BT15" s="3"/>
      <c r="BU15" s="3"/>
      <c r="BV15" s="3"/>
      <c r="BW15" s="3"/>
      <c r="BX15" s="3"/>
    </row>
    <row r="16" spans="1:76" s="1372" customFormat="1" ht="29.25" customHeight="1" x14ac:dyDescent="0.25">
      <c r="A16" s="1373"/>
      <c r="B16" s="1374"/>
      <c r="C16" s="1375"/>
      <c r="D16" s="552"/>
      <c r="E16" s="552"/>
      <c r="F16" s="552"/>
      <c r="G16" s="2592"/>
      <c r="H16" s="2592"/>
      <c r="I16" s="4499"/>
      <c r="J16" s="4502"/>
      <c r="K16" s="4406"/>
      <c r="L16" s="4406"/>
      <c r="M16" s="1381" t="s">
        <v>1119</v>
      </c>
      <c r="N16" s="3315"/>
      <c r="O16" s="2779"/>
      <c r="P16" s="4505"/>
      <c r="Q16" s="4480"/>
      <c r="R16" s="2864"/>
      <c r="S16" s="2864"/>
      <c r="T16" s="4495" t="s">
        <v>1120</v>
      </c>
      <c r="U16" s="1387">
        <v>3480000</v>
      </c>
      <c r="V16" s="1388">
        <v>2120000</v>
      </c>
      <c r="W16" s="1388">
        <v>2120000</v>
      </c>
      <c r="X16" s="970" t="s">
        <v>1121</v>
      </c>
      <c r="Y16" s="1389" t="s">
        <v>1122</v>
      </c>
      <c r="Z16" s="4481"/>
      <c r="AA16" s="4491"/>
      <c r="AB16" s="4481"/>
      <c r="AC16" s="4491"/>
      <c r="AD16" s="4481"/>
      <c r="AE16" s="4481"/>
      <c r="AF16" s="4481"/>
      <c r="AG16" s="4481"/>
      <c r="AH16" s="4481"/>
      <c r="AI16" s="4481"/>
      <c r="AJ16" s="4481"/>
      <c r="AK16" s="4481"/>
      <c r="AL16" s="4481"/>
      <c r="AM16" s="4481"/>
      <c r="AN16" s="4481"/>
      <c r="AO16" s="4481"/>
      <c r="AP16" s="4481"/>
      <c r="AQ16" s="4481"/>
      <c r="AR16" s="4481"/>
      <c r="AS16" s="4481"/>
      <c r="AT16" s="4481"/>
      <c r="AU16" s="4481"/>
      <c r="AV16" s="4481"/>
      <c r="AW16" s="4481"/>
      <c r="AX16" s="4481"/>
      <c r="AY16" s="4481"/>
      <c r="AZ16" s="4481"/>
      <c r="BA16" s="4481"/>
      <c r="BB16" s="4481"/>
      <c r="BC16" s="4481"/>
      <c r="BD16" s="4481"/>
      <c r="BE16" s="4481"/>
      <c r="BF16" s="4491"/>
      <c r="BG16" s="4491"/>
      <c r="BH16" s="4491"/>
      <c r="BI16" s="4508"/>
      <c r="BJ16" s="1390" t="s">
        <v>1122</v>
      </c>
      <c r="BK16" s="4511"/>
      <c r="BL16" s="3772"/>
      <c r="BM16" s="3772"/>
      <c r="BN16" s="3772"/>
      <c r="BO16" s="3715"/>
      <c r="BP16" s="2725"/>
      <c r="BQ16" s="3"/>
      <c r="BR16" s="3"/>
      <c r="BS16" s="3"/>
      <c r="BT16" s="3"/>
      <c r="BU16" s="3"/>
      <c r="BV16" s="3"/>
      <c r="BW16" s="3"/>
      <c r="BX16" s="3"/>
    </row>
    <row r="17" spans="1:183" s="1372" customFormat="1" ht="33" customHeight="1" x14ac:dyDescent="0.25">
      <c r="A17" s="1373"/>
      <c r="B17" s="1374"/>
      <c r="C17" s="1375"/>
      <c r="D17" s="552"/>
      <c r="E17" s="552"/>
      <c r="F17" s="552"/>
      <c r="G17" s="2592"/>
      <c r="H17" s="2592"/>
      <c r="I17" s="4500"/>
      <c r="J17" s="4503"/>
      <c r="K17" s="4406"/>
      <c r="L17" s="4406"/>
      <c r="M17" s="1381" t="s">
        <v>1123</v>
      </c>
      <c r="N17" s="3315"/>
      <c r="O17" s="2779"/>
      <c r="P17" s="4506"/>
      <c r="Q17" s="4480"/>
      <c r="R17" s="2865"/>
      <c r="S17" s="2865"/>
      <c r="T17" s="4495"/>
      <c r="U17" s="1391">
        <v>6000000</v>
      </c>
      <c r="V17" s="1392">
        <v>6000000</v>
      </c>
      <c r="W17" s="1392">
        <v>6000000</v>
      </c>
      <c r="X17" s="1369" t="s">
        <v>1124</v>
      </c>
      <c r="Y17" s="964" t="s">
        <v>1107</v>
      </c>
      <c r="Z17" s="4481"/>
      <c r="AA17" s="4492"/>
      <c r="AB17" s="4481"/>
      <c r="AC17" s="4492"/>
      <c r="AD17" s="4481"/>
      <c r="AE17" s="4481"/>
      <c r="AF17" s="4481"/>
      <c r="AG17" s="4481"/>
      <c r="AH17" s="4481"/>
      <c r="AI17" s="4481"/>
      <c r="AJ17" s="4481"/>
      <c r="AK17" s="4481"/>
      <c r="AL17" s="4481"/>
      <c r="AM17" s="4481"/>
      <c r="AN17" s="4481"/>
      <c r="AO17" s="4481"/>
      <c r="AP17" s="4481"/>
      <c r="AQ17" s="4481"/>
      <c r="AR17" s="4481"/>
      <c r="AS17" s="4481"/>
      <c r="AT17" s="4481"/>
      <c r="AU17" s="4481"/>
      <c r="AV17" s="4481"/>
      <c r="AW17" s="4481"/>
      <c r="AX17" s="4481"/>
      <c r="AY17" s="4481"/>
      <c r="AZ17" s="4481"/>
      <c r="BA17" s="4481"/>
      <c r="BB17" s="4481"/>
      <c r="BC17" s="4481"/>
      <c r="BD17" s="4481"/>
      <c r="BE17" s="4481"/>
      <c r="BF17" s="4492"/>
      <c r="BG17" s="4492"/>
      <c r="BH17" s="4492"/>
      <c r="BI17" s="4509"/>
      <c r="BJ17" s="1393" t="s">
        <v>1107</v>
      </c>
      <c r="BK17" s="4512"/>
      <c r="BL17" s="3687"/>
      <c r="BM17" s="3687"/>
      <c r="BN17" s="3687"/>
      <c r="BO17" s="3716"/>
      <c r="BP17" s="2725"/>
      <c r="BQ17" s="3"/>
      <c r="BR17" s="3"/>
      <c r="BS17" s="3"/>
      <c r="BT17" s="3"/>
      <c r="BU17" s="3"/>
      <c r="BV17" s="3"/>
      <c r="BW17" s="3"/>
      <c r="BX17" s="3"/>
    </row>
    <row r="18" spans="1:183" s="1372" customFormat="1" ht="47.25" customHeight="1" x14ac:dyDescent="0.25">
      <c r="A18" s="1373"/>
      <c r="B18" s="1374"/>
      <c r="C18" s="1375"/>
      <c r="D18" s="552"/>
      <c r="E18" s="552"/>
      <c r="F18" s="552"/>
      <c r="G18" s="2723">
        <v>4301037</v>
      </c>
      <c r="H18" s="3156" t="s">
        <v>1125</v>
      </c>
      <c r="I18" s="4496" t="s">
        <v>1113</v>
      </c>
      <c r="J18" s="3236" t="s">
        <v>1126</v>
      </c>
      <c r="K18" s="3706">
        <v>12</v>
      </c>
      <c r="L18" s="2601">
        <v>11</v>
      </c>
      <c r="M18" s="924" t="s">
        <v>1127</v>
      </c>
      <c r="N18" s="4514" t="s">
        <v>1128</v>
      </c>
      <c r="O18" s="3237" t="s">
        <v>1129</v>
      </c>
      <c r="P18" s="4517">
        <f>(U18+U19+U20)/1488175680.78</f>
        <v>3.3079042102205532E-2</v>
      </c>
      <c r="Q18" s="4518">
        <f>+U18+U19+U20</f>
        <v>49227426</v>
      </c>
      <c r="R18" s="2708" t="s">
        <v>1130</v>
      </c>
      <c r="S18" s="2764" t="s">
        <v>1131</v>
      </c>
      <c r="T18" s="2778" t="s">
        <v>1132</v>
      </c>
      <c r="U18" s="1394">
        <v>7000000</v>
      </c>
      <c r="V18" s="1395">
        <v>7000000</v>
      </c>
      <c r="W18" s="1395">
        <v>7000000</v>
      </c>
      <c r="X18" s="1396">
        <v>12</v>
      </c>
      <c r="Y18" s="1397" t="s">
        <v>1107</v>
      </c>
      <c r="Z18" s="4513">
        <v>6000</v>
      </c>
      <c r="AA18" s="4513">
        <v>0</v>
      </c>
      <c r="AB18" s="4513">
        <v>9000</v>
      </c>
      <c r="AC18" s="4513">
        <v>0</v>
      </c>
      <c r="AD18" s="4513">
        <v>10500</v>
      </c>
      <c r="AE18" s="4513">
        <v>0</v>
      </c>
      <c r="AF18" s="4513">
        <v>4500</v>
      </c>
      <c r="AG18" s="4513">
        <v>0</v>
      </c>
      <c r="AH18" s="4513">
        <v>0</v>
      </c>
      <c r="AI18" s="4513"/>
      <c r="AJ18" s="4513">
        <v>0</v>
      </c>
      <c r="AK18" s="4513"/>
      <c r="AL18" s="4513">
        <v>22</v>
      </c>
      <c r="AM18" s="4513">
        <v>0</v>
      </c>
      <c r="AN18" s="4513">
        <v>115</v>
      </c>
      <c r="AO18" s="4513">
        <v>0</v>
      </c>
      <c r="AP18" s="4513">
        <v>1</v>
      </c>
      <c r="AQ18" s="4513">
        <v>0</v>
      </c>
      <c r="AR18" s="4513">
        <v>0</v>
      </c>
      <c r="AS18" s="4513">
        <v>0</v>
      </c>
      <c r="AT18" s="4513">
        <v>0</v>
      </c>
      <c r="AU18" s="4513">
        <v>0</v>
      </c>
      <c r="AV18" s="4513">
        <v>0</v>
      </c>
      <c r="AW18" s="4513">
        <v>0</v>
      </c>
      <c r="AX18" s="4513">
        <v>0</v>
      </c>
      <c r="AY18" s="4513">
        <v>0</v>
      </c>
      <c r="AZ18" s="4513">
        <v>59</v>
      </c>
      <c r="BA18" s="4513">
        <v>0</v>
      </c>
      <c r="BB18" s="4513">
        <v>0</v>
      </c>
      <c r="BC18" s="4513">
        <v>0</v>
      </c>
      <c r="BD18" s="4513">
        <v>15000</v>
      </c>
      <c r="BE18" s="4513">
        <v>0</v>
      </c>
      <c r="BF18" s="4528">
        <v>1</v>
      </c>
      <c r="BG18" s="4528">
        <f>+V18+V19+V20</f>
        <v>11000000</v>
      </c>
      <c r="BH18" s="4528">
        <f>+W18+W19+W20</f>
        <v>11000000</v>
      </c>
      <c r="BI18" s="4523">
        <f>BH18/BG18</f>
        <v>1</v>
      </c>
      <c r="BJ18" s="1398" t="s">
        <v>1107</v>
      </c>
      <c r="BK18" s="4526" t="s">
        <v>1133</v>
      </c>
      <c r="BL18" s="3666">
        <v>43832</v>
      </c>
      <c r="BM18" s="3666">
        <v>43862</v>
      </c>
      <c r="BN18" s="4527">
        <v>44195</v>
      </c>
      <c r="BO18" s="3666">
        <v>44195</v>
      </c>
      <c r="BP18" s="2725" t="s">
        <v>1109</v>
      </c>
      <c r="BQ18" s="3"/>
      <c r="BR18" s="3"/>
      <c r="BS18" s="3"/>
      <c r="BT18" s="3"/>
      <c r="BU18" s="3"/>
      <c r="BV18" s="3"/>
      <c r="BW18" s="3"/>
      <c r="BX18" s="3"/>
    </row>
    <row r="19" spans="1:183" s="1372" customFormat="1" ht="51" customHeight="1" x14ac:dyDescent="0.25">
      <c r="A19" s="1373"/>
      <c r="B19" s="1374"/>
      <c r="C19" s="1375"/>
      <c r="D19" s="552"/>
      <c r="E19" s="552"/>
      <c r="F19" s="552"/>
      <c r="G19" s="2592"/>
      <c r="H19" s="3156"/>
      <c r="I19" s="4496"/>
      <c r="J19" s="3236"/>
      <c r="K19" s="3706"/>
      <c r="L19" s="2598"/>
      <c r="M19" s="924" t="s">
        <v>1134</v>
      </c>
      <c r="N19" s="4515"/>
      <c r="O19" s="3237"/>
      <c r="P19" s="3675"/>
      <c r="Q19" s="4518"/>
      <c r="R19" s="2708"/>
      <c r="S19" s="2764"/>
      <c r="T19" s="2779"/>
      <c r="U19" s="1394">
        <v>2227426</v>
      </c>
      <c r="V19" s="1395">
        <v>0</v>
      </c>
      <c r="W19" s="1395">
        <v>0</v>
      </c>
      <c r="X19" s="1396">
        <v>4</v>
      </c>
      <c r="Y19" s="1397" t="s">
        <v>1135</v>
      </c>
      <c r="Z19" s="4513"/>
      <c r="AA19" s="4513">
        <v>0</v>
      </c>
      <c r="AB19" s="4513"/>
      <c r="AC19" s="4513">
        <v>0</v>
      </c>
      <c r="AD19" s="4513"/>
      <c r="AE19" s="4513"/>
      <c r="AF19" s="4513"/>
      <c r="AG19" s="4513"/>
      <c r="AH19" s="4513"/>
      <c r="AI19" s="4513"/>
      <c r="AJ19" s="4513"/>
      <c r="AK19" s="4513"/>
      <c r="AL19" s="4513"/>
      <c r="AM19" s="4513"/>
      <c r="AN19" s="4513"/>
      <c r="AO19" s="4513"/>
      <c r="AP19" s="4513"/>
      <c r="AQ19" s="4513"/>
      <c r="AR19" s="4513"/>
      <c r="AS19" s="4513"/>
      <c r="AT19" s="4513"/>
      <c r="AU19" s="4513"/>
      <c r="AV19" s="4513"/>
      <c r="AW19" s="4513"/>
      <c r="AX19" s="4513"/>
      <c r="AY19" s="4513"/>
      <c r="AZ19" s="4513"/>
      <c r="BA19" s="4513"/>
      <c r="BB19" s="4513"/>
      <c r="BC19" s="4513"/>
      <c r="BD19" s="4513"/>
      <c r="BE19" s="4513">
        <v>0</v>
      </c>
      <c r="BF19" s="4513"/>
      <c r="BG19" s="4513"/>
      <c r="BH19" s="4513"/>
      <c r="BI19" s="4524"/>
      <c r="BJ19" s="1398" t="s">
        <v>1135</v>
      </c>
      <c r="BK19" s="3501"/>
      <c r="BL19" s="3627"/>
      <c r="BM19" s="3627"/>
      <c r="BN19" s="4527"/>
      <c r="BO19" s="3627"/>
      <c r="BP19" s="2725"/>
    </row>
    <row r="20" spans="1:183" s="1372" customFormat="1" ht="73.5" customHeight="1" x14ac:dyDescent="0.25">
      <c r="A20" s="1373"/>
      <c r="B20" s="1374"/>
      <c r="C20" s="1375"/>
      <c r="D20" s="552"/>
      <c r="E20" s="552"/>
      <c r="F20" s="552"/>
      <c r="G20" s="2721"/>
      <c r="H20" s="3156"/>
      <c r="I20" s="4496"/>
      <c r="J20" s="3236"/>
      <c r="K20" s="3706"/>
      <c r="L20" s="3423"/>
      <c r="M20" s="924" t="s">
        <v>1136</v>
      </c>
      <c r="N20" s="4516"/>
      <c r="O20" s="3236"/>
      <c r="P20" s="3663"/>
      <c r="Q20" s="4519"/>
      <c r="R20" s="2708"/>
      <c r="S20" s="2764"/>
      <c r="T20" s="3273"/>
      <c r="U20" s="1394">
        <v>40000000</v>
      </c>
      <c r="V20" s="1395">
        <v>4000000</v>
      </c>
      <c r="W20" s="1395">
        <v>4000000</v>
      </c>
      <c r="X20" s="1396">
        <v>6</v>
      </c>
      <c r="Y20" s="1397" t="s">
        <v>1112</v>
      </c>
      <c r="Z20" s="4513"/>
      <c r="AA20" s="4513"/>
      <c r="AB20" s="4513"/>
      <c r="AC20" s="4513"/>
      <c r="AD20" s="4513"/>
      <c r="AE20" s="4513"/>
      <c r="AF20" s="4513"/>
      <c r="AG20" s="4513"/>
      <c r="AH20" s="4513"/>
      <c r="AI20" s="4513"/>
      <c r="AJ20" s="4513"/>
      <c r="AK20" s="4513"/>
      <c r="AL20" s="4513"/>
      <c r="AM20" s="4513"/>
      <c r="AN20" s="4513"/>
      <c r="AO20" s="4513"/>
      <c r="AP20" s="4513"/>
      <c r="AQ20" s="4513"/>
      <c r="AR20" s="4513"/>
      <c r="AS20" s="4513"/>
      <c r="AT20" s="4513"/>
      <c r="AU20" s="4513"/>
      <c r="AV20" s="4513"/>
      <c r="AW20" s="4513"/>
      <c r="AX20" s="4513"/>
      <c r="AY20" s="4513"/>
      <c r="AZ20" s="4513"/>
      <c r="BA20" s="4513"/>
      <c r="BB20" s="4513"/>
      <c r="BC20" s="4513"/>
      <c r="BD20" s="4513"/>
      <c r="BE20" s="4513"/>
      <c r="BF20" s="4529"/>
      <c r="BG20" s="4529"/>
      <c r="BH20" s="4529"/>
      <c r="BI20" s="4525"/>
      <c r="BJ20" s="1398" t="s">
        <v>1112</v>
      </c>
      <c r="BK20" s="3553"/>
      <c r="BL20" s="3628"/>
      <c r="BM20" s="3628"/>
      <c r="BN20" s="4527"/>
      <c r="BO20" s="3628"/>
      <c r="BP20" s="2725"/>
    </row>
    <row r="21" spans="1:183" s="861" customFormat="1" ht="45" customHeight="1" x14ac:dyDescent="0.25">
      <c r="A21" s="813"/>
      <c r="B21" s="339"/>
      <c r="C21" s="340"/>
      <c r="D21" s="156"/>
      <c r="E21" s="156"/>
      <c r="F21" s="156"/>
      <c r="G21" s="3815">
        <v>4301037</v>
      </c>
      <c r="H21" s="2592" t="s">
        <v>1125</v>
      </c>
      <c r="I21" s="3042" t="s">
        <v>1113</v>
      </c>
      <c r="J21" s="3042" t="s">
        <v>1137</v>
      </c>
      <c r="K21" s="3439">
        <v>12</v>
      </c>
      <c r="L21" s="3439">
        <v>12</v>
      </c>
      <c r="M21" s="145" t="s">
        <v>1138</v>
      </c>
      <c r="N21" s="4520" t="s">
        <v>1139</v>
      </c>
      <c r="O21" s="4521" t="s">
        <v>1140</v>
      </c>
      <c r="P21" s="4249">
        <f>(U21+U22+U23+U24)/1488175680.78</f>
        <v>2.5400226927635199E-2</v>
      </c>
      <c r="Q21" s="4544">
        <f>+U21+U22+U23+U24+U25+U26+U27</f>
        <v>69300000</v>
      </c>
      <c r="R21" s="4062" t="s">
        <v>1141</v>
      </c>
      <c r="S21" s="4062" t="s">
        <v>1142</v>
      </c>
      <c r="T21" s="3189" t="s">
        <v>1143</v>
      </c>
      <c r="U21" s="1394">
        <v>6400000</v>
      </c>
      <c r="V21" s="1394">
        <v>6400000</v>
      </c>
      <c r="W21" s="1394">
        <v>6400000</v>
      </c>
      <c r="X21" s="1399">
        <v>3</v>
      </c>
      <c r="Y21" s="1400" t="s">
        <v>1118</v>
      </c>
      <c r="Z21" s="4407">
        <v>1666</v>
      </c>
      <c r="AA21" s="4407">
        <v>651</v>
      </c>
      <c r="AB21" s="4407">
        <v>1507</v>
      </c>
      <c r="AC21" s="4407">
        <v>416</v>
      </c>
      <c r="AD21" s="4407">
        <v>1400</v>
      </c>
      <c r="AE21" s="4407">
        <v>509</v>
      </c>
      <c r="AF21" s="4407">
        <v>350</v>
      </c>
      <c r="AG21" s="4407">
        <v>192</v>
      </c>
      <c r="AH21" s="4407">
        <v>450</v>
      </c>
      <c r="AI21" s="4407">
        <v>9</v>
      </c>
      <c r="AJ21" s="4407">
        <v>973</v>
      </c>
      <c r="AK21" s="4407">
        <v>357</v>
      </c>
      <c r="AL21" s="4407">
        <v>0</v>
      </c>
      <c r="AM21" s="4407"/>
      <c r="AN21" s="4407">
        <v>0</v>
      </c>
      <c r="AO21" s="4407"/>
      <c r="AP21" s="4407">
        <v>0</v>
      </c>
      <c r="AQ21" s="4407"/>
      <c r="AR21" s="4407">
        <v>0</v>
      </c>
      <c r="AS21" s="4407"/>
      <c r="AT21" s="4407">
        <v>0</v>
      </c>
      <c r="AU21" s="4407"/>
      <c r="AV21" s="4407">
        <v>0</v>
      </c>
      <c r="AW21" s="4407"/>
      <c r="AX21" s="4407">
        <v>0</v>
      </c>
      <c r="AY21" s="4407"/>
      <c r="AZ21" s="4407">
        <v>0</v>
      </c>
      <c r="BA21" s="4407">
        <v>51</v>
      </c>
      <c r="BB21" s="4407">
        <v>0</v>
      </c>
      <c r="BC21" s="4407"/>
      <c r="BD21" s="4407">
        <v>3173</v>
      </c>
      <c r="BE21" s="4407">
        <f>+AA21+AC21+AE21+AG21+AI21+AK21+BA21</f>
        <v>2185</v>
      </c>
      <c r="BF21" s="4407">
        <v>4</v>
      </c>
      <c r="BG21" s="4407">
        <f>+V21+V22+V23+V24+V25+V26+V27</f>
        <v>69161384</v>
      </c>
      <c r="BH21" s="4407">
        <f>+W21+W22+W23+W24+W25+W26+W27</f>
        <v>69161384</v>
      </c>
      <c r="BI21" s="4534">
        <f>+(BH21)/(U21+U22+U23+U24+U25+U26+U27)</f>
        <v>0.99799976911976906</v>
      </c>
      <c r="BJ21" s="1401" t="s">
        <v>1118</v>
      </c>
      <c r="BK21" s="4535" t="s">
        <v>1108</v>
      </c>
      <c r="BL21" s="4536">
        <v>43832</v>
      </c>
      <c r="BM21" s="4530">
        <v>43862</v>
      </c>
      <c r="BN21" s="4530">
        <v>44195</v>
      </c>
      <c r="BO21" s="4530">
        <v>44195</v>
      </c>
      <c r="BP21" s="4532" t="s">
        <v>1109</v>
      </c>
    </row>
    <row r="22" spans="1:183" s="861" customFormat="1" ht="41.25" customHeight="1" x14ac:dyDescent="0.25">
      <c r="A22" s="813"/>
      <c r="B22" s="339"/>
      <c r="C22" s="340"/>
      <c r="D22" s="156"/>
      <c r="E22" s="156"/>
      <c r="F22" s="156"/>
      <c r="G22" s="3815"/>
      <c r="H22" s="2592"/>
      <c r="I22" s="3042"/>
      <c r="J22" s="3042"/>
      <c r="K22" s="3439"/>
      <c r="L22" s="3439"/>
      <c r="M22" s="145" t="s">
        <v>1144</v>
      </c>
      <c r="N22" s="4520"/>
      <c r="O22" s="3738"/>
      <c r="P22" s="4249"/>
      <c r="Q22" s="4545"/>
      <c r="R22" s="4122"/>
      <c r="S22" s="4122"/>
      <c r="T22" s="3189"/>
      <c r="U22" s="1394">
        <v>12000000</v>
      </c>
      <c r="V22" s="1394">
        <v>12000000</v>
      </c>
      <c r="W22" s="1394">
        <v>12000000</v>
      </c>
      <c r="X22" s="1399">
        <v>6</v>
      </c>
      <c r="Y22" s="1400" t="s">
        <v>1112</v>
      </c>
      <c r="Z22" s="4407"/>
      <c r="AA22" s="4407"/>
      <c r="AB22" s="4407"/>
      <c r="AC22" s="4407"/>
      <c r="AD22" s="4407"/>
      <c r="AE22" s="4407"/>
      <c r="AF22" s="4407"/>
      <c r="AG22" s="4407"/>
      <c r="AH22" s="4407"/>
      <c r="AI22" s="4407"/>
      <c r="AJ22" s="4407"/>
      <c r="AK22" s="4407"/>
      <c r="AL22" s="4407"/>
      <c r="AM22" s="4407"/>
      <c r="AN22" s="4407"/>
      <c r="AO22" s="4407"/>
      <c r="AP22" s="4407"/>
      <c r="AQ22" s="4407"/>
      <c r="AR22" s="4407"/>
      <c r="AS22" s="4407"/>
      <c r="AT22" s="4407"/>
      <c r="AU22" s="4407"/>
      <c r="AV22" s="4407"/>
      <c r="AW22" s="4407"/>
      <c r="AX22" s="4407"/>
      <c r="AY22" s="4407"/>
      <c r="AZ22" s="4407"/>
      <c r="BA22" s="4407"/>
      <c r="BB22" s="4407"/>
      <c r="BC22" s="4407"/>
      <c r="BD22" s="4407"/>
      <c r="BE22" s="4407"/>
      <c r="BF22" s="4407"/>
      <c r="BG22" s="4407"/>
      <c r="BH22" s="4407"/>
      <c r="BI22" s="4534"/>
      <c r="BJ22" s="1401" t="s">
        <v>1112</v>
      </c>
      <c r="BK22" s="4535"/>
      <c r="BL22" s="4536"/>
      <c r="BM22" s="4531"/>
      <c r="BN22" s="4531"/>
      <c r="BO22" s="4531"/>
      <c r="BP22" s="4532"/>
    </row>
    <row r="23" spans="1:183" s="861" customFormat="1" ht="45.75" customHeight="1" x14ac:dyDescent="0.25">
      <c r="A23" s="813"/>
      <c r="B23" s="339"/>
      <c r="C23" s="340"/>
      <c r="D23" s="156"/>
      <c r="E23" s="156"/>
      <c r="F23" s="156"/>
      <c r="G23" s="3815"/>
      <c r="H23" s="2592"/>
      <c r="I23" s="3042"/>
      <c r="J23" s="3042"/>
      <c r="K23" s="3439"/>
      <c r="L23" s="3439"/>
      <c r="M23" s="145" t="s">
        <v>1145</v>
      </c>
      <c r="N23" s="4520"/>
      <c r="O23" s="3738"/>
      <c r="P23" s="4249"/>
      <c r="Q23" s="4545"/>
      <c r="R23" s="4122"/>
      <c r="S23" s="4122"/>
      <c r="T23" s="3189" t="s">
        <v>1146</v>
      </c>
      <c r="U23" s="1394">
        <v>7400000</v>
      </c>
      <c r="V23" s="1395">
        <v>7400000</v>
      </c>
      <c r="W23" s="1395">
        <v>7400000</v>
      </c>
      <c r="X23" s="1399">
        <v>3</v>
      </c>
      <c r="Y23" s="1400" t="s">
        <v>1118</v>
      </c>
      <c r="Z23" s="4407"/>
      <c r="AA23" s="4407"/>
      <c r="AB23" s="4407"/>
      <c r="AC23" s="4407"/>
      <c r="AD23" s="4407"/>
      <c r="AE23" s="4407"/>
      <c r="AF23" s="4407"/>
      <c r="AG23" s="4407"/>
      <c r="AH23" s="4407"/>
      <c r="AI23" s="4407"/>
      <c r="AJ23" s="4407"/>
      <c r="AK23" s="4407"/>
      <c r="AL23" s="4407"/>
      <c r="AM23" s="4407"/>
      <c r="AN23" s="4407"/>
      <c r="AO23" s="4407"/>
      <c r="AP23" s="4407"/>
      <c r="AQ23" s="4407"/>
      <c r="AR23" s="4407"/>
      <c r="AS23" s="4407"/>
      <c r="AT23" s="4407"/>
      <c r="AU23" s="4407"/>
      <c r="AV23" s="4407"/>
      <c r="AW23" s="4407"/>
      <c r="AX23" s="4407"/>
      <c r="AY23" s="4407"/>
      <c r="AZ23" s="4407"/>
      <c r="BA23" s="4407"/>
      <c r="BB23" s="4407"/>
      <c r="BC23" s="4407"/>
      <c r="BD23" s="4407"/>
      <c r="BE23" s="4407"/>
      <c r="BF23" s="4407"/>
      <c r="BG23" s="4407"/>
      <c r="BH23" s="4407"/>
      <c r="BI23" s="4534"/>
      <c r="BJ23" s="1401" t="s">
        <v>1118</v>
      </c>
      <c r="BK23" s="4535"/>
      <c r="BL23" s="4536"/>
      <c r="BM23" s="4531"/>
      <c r="BN23" s="4531"/>
      <c r="BO23" s="4531"/>
      <c r="BP23" s="4532"/>
    </row>
    <row r="24" spans="1:183" s="861" customFormat="1" ht="45" customHeight="1" x14ac:dyDescent="0.25">
      <c r="A24" s="813"/>
      <c r="B24" s="339"/>
      <c r="C24" s="340"/>
      <c r="D24" s="156"/>
      <c r="E24" s="156"/>
      <c r="F24" s="156"/>
      <c r="G24" s="3815"/>
      <c r="H24" s="2592"/>
      <c r="I24" s="3042"/>
      <c r="J24" s="3042"/>
      <c r="K24" s="3439"/>
      <c r="L24" s="3439"/>
      <c r="M24" s="145" t="s">
        <v>1147</v>
      </c>
      <c r="N24" s="4520"/>
      <c r="O24" s="3738"/>
      <c r="P24" s="4249"/>
      <c r="Q24" s="4545"/>
      <c r="R24" s="4122"/>
      <c r="S24" s="4122"/>
      <c r="T24" s="3189"/>
      <c r="U24" s="1394">
        <v>12000000</v>
      </c>
      <c r="V24" s="1394">
        <v>12000000</v>
      </c>
      <c r="W24" s="1394">
        <v>12000000</v>
      </c>
      <c r="X24" s="1399">
        <v>6</v>
      </c>
      <c r="Y24" s="1400" t="s">
        <v>1112</v>
      </c>
      <c r="Z24" s="4407"/>
      <c r="AA24" s="4407"/>
      <c r="AB24" s="4407"/>
      <c r="AC24" s="4407"/>
      <c r="AD24" s="4407"/>
      <c r="AE24" s="4407"/>
      <c r="AF24" s="4407"/>
      <c r="AG24" s="4407"/>
      <c r="AH24" s="4407"/>
      <c r="AI24" s="4407"/>
      <c r="AJ24" s="4407"/>
      <c r="AK24" s="4407"/>
      <c r="AL24" s="4407"/>
      <c r="AM24" s="4407"/>
      <c r="AN24" s="4407"/>
      <c r="AO24" s="4407"/>
      <c r="AP24" s="4407"/>
      <c r="AQ24" s="4407"/>
      <c r="AR24" s="4407"/>
      <c r="AS24" s="4407"/>
      <c r="AT24" s="4407"/>
      <c r="AU24" s="4407"/>
      <c r="AV24" s="4407"/>
      <c r="AW24" s="4407"/>
      <c r="AX24" s="4407"/>
      <c r="AY24" s="4407"/>
      <c r="AZ24" s="4407"/>
      <c r="BA24" s="4407"/>
      <c r="BB24" s="4407"/>
      <c r="BC24" s="4407"/>
      <c r="BD24" s="4407"/>
      <c r="BE24" s="4407"/>
      <c r="BF24" s="4407"/>
      <c r="BG24" s="4407"/>
      <c r="BH24" s="4407"/>
      <c r="BI24" s="4534"/>
      <c r="BJ24" s="1401" t="s">
        <v>1112</v>
      </c>
      <c r="BK24" s="4535"/>
      <c r="BL24" s="4536"/>
      <c r="BM24" s="4531"/>
      <c r="BN24" s="4531"/>
      <c r="BO24" s="4531"/>
      <c r="BP24" s="4532"/>
    </row>
    <row r="25" spans="1:183" s="861" customFormat="1" ht="51.75" customHeight="1" x14ac:dyDescent="0.25">
      <c r="A25" s="813"/>
      <c r="B25" s="339"/>
      <c r="C25" s="340"/>
      <c r="D25" s="156"/>
      <c r="E25" s="156"/>
      <c r="F25" s="156"/>
      <c r="G25" s="3815"/>
      <c r="H25" s="2592" t="s">
        <v>1148</v>
      </c>
      <c r="I25" s="3042" t="s">
        <v>1149</v>
      </c>
      <c r="J25" s="3042" t="s">
        <v>1150</v>
      </c>
      <c r="K25" s="3815">
        <v>1</v>
      </c>
      <c r="L25" s="4538">
        <v>0.3</v>
      </c>
      <c r="M25" s="145" t="s">
        <v>1151</v>
      </c>
      <c r="N25" s="4520"/>
      <c r="O25" s="3738"/>
      <c r="P25" s="4249">
        <f>+(U25+U26+U27)/(U25+U26+U27+U56+U57)</f>
        <v>0.36206896551724138</v>
      </c>
      <c r="Q25" s="4545"/>
      <c r="R25" s="4122"/>
      <c r="S25" s="4122"/>
      <c r="T25" s="3286" t="s">
        <v>1152</v>
      </c>
      <c r="U25" s="1402">
        <v>12000000</v>
      </c>
      <c r="V25" s="1394">
        <v>11861384</v>
      </c>
      <c r="W25" s="1394">
        <v>11861384</v>
      </c>
      <c r="X25" s="1399">
        <v>12</v>
      </c>
      <c r="Y25" s="1400" t="s">
        <v>1107</v>
      </c>
      <c r="Z25" s="4407"/>
      <c r="AA25" s="4407"/>
      <c r="AB25" s="4407"/>
      <c r="AC25" s="4407"/>
      <c r="AD25" s="4407"/>
      <c r="AE25" s="4407"/>
      <c r="AF25" s="4407"/>
      <c r="AG25" s="4407"/>
      <c r="AH25" s="4407"/>
      <c r="AI25" s="4407"/>
      <c r="AJ25" s="4407"/>
      <c r="AK25" s="4407"/>
      <c r="AL25" s="4407"/>
      <c r="AM25" s="4407"/>
      <c r="AN25" s="4407"/>
      <c r="AO25" s="4407"/>
      <c r="AP25" s="4407"/>
      <c r="AQ25" s="4407"/>
      <c r="AR25" s="4407"/>
      <c r="AS25" s="4407"/>
      <c r="AT25" s="4407"/>
      <c r="AU25" s="4407"/>
      <c r="AV25" s="4407"/>
      <c r="AW25" s="4407"/>
      <c r="AX25" s="4407"/>
      <c r="AY25" s="4407"/>
      <c r="AZ25" s="4407"/>
      <c r="BA25" s="4407"/>
      <c r="BB25" s="4407"/>
      <c r="BC25" s="4407"/>
      <c r="BD25" s="4407"/>
      <c r="BE25" s="4407"/>
      <c r="BF25" s="4407"/>
      <c r="BG25" s="4407"/>
      <c r="BH25" s="4407"/>
      <c r="BI25" s="4534"/>
      <c r="BJ25" s="1401" t="s">
        <v>1107</v>
      </c>
      <c r="BK25" s="4535"/>
      <c r="BL25" s="4536"/>
      <c r="BM25" s="4531"/>
      <c r="BN25" s="4531"/>
      <c r="BO25" s="4531"/>
      <c r="BP25" s="4532"/>
    </row>
    <row r="26" spans="1:183" s="861" customFormat="1" ht="39.75" customHeight="1" x14ac:dyDescent="0.25">
      <c r="A26" s="813"/>
      <c r="B26" s="339"/>
      <c r="C26" s="340"/>
      <c r="D26" s="156"/>
      <c r="E26" s="156"/>
      <c r="F26" s="156"/>
      <c r="G26" s="3815"/>
      <c r="H26" s="2592"/>
      <c r="I26" s="3042"/>
      <c r="J26" s="3042"/>
      <c r="K26" s="3815"/>
      <c r="L26" s="4538"/>
      <c r="M26" s="145" t="s">
        <v>1153</v>
      </c>
      <c r="N26" s="4520"/>
      <c r="O26" s="3738"/>
      <c r="P26" s="4249"/>
      <c r="Q26" s="4545"/>
      <c r="R26" s="4122"/>
      <c r="S26" s="4122"/>
      <c r="T26" s="4539"/>
      <c r="U26" s="1402">
        <v>15500000</v>
      </c>
      <c r="V26" s="1403">
        <v>15500000</v>
      </c>
      <c r="W26" s="1403">
        <v>15500000</v>
      </c>
      <c r="X26" s="1399">
        <v>12</v>
      </c>
      <c r="Y26" s="1400" t="s">
        <v>1107</v>
      </c>
      <c r="Z26" s="4407"/>
      <c r="AA26" s="4407"/>
      <c r="AB26" s="4407"/>
      <c r="AC26" s="4407"/>
      <c r="AD26" s="4407"/>
      <c r="AE26" s="4407"/>
      <c r="AF26" s="4407"/>
      <c r="AG26" s="4407"/>
      <c r="AH26" s="4407"/>
      <c r="AI26" s="4407"/>
      <c r="AJ26" s="4407"/>
      <c r="AK26" s="4407"/>
      <c r="AL26" s="4407"/>
      <c r="AM26" s="4407"/>
      <c r="AN26" s="4407"/>
      <c r="AO26" s="4407"/>
      <c r="AP26" s="4407"/>
      <c r="AQ26" s="4407"/>
      <c r="AR26" s="4407"/>
      <c r="AS26" s="4407"/>
      <c r="AT26" s="4407"/>
      <c r="AU26" s="4407"/>
      <c r="AV26" s="4407"/>
      <c r="AW26" s="4407"/>
      <c r="AX26" s="4407"/>
      <c r="AY26" s="4407"/>
      <c r="AZ26" s="4407"/>
      <c r="BA26" s="4407"/>
      <c r="BB26" s="4407"/>
      <c r="BC26" s="4407"/>
      <c r="BD26" s="4407"/>
      <c r="BE26" s="4407"/>
      <c r="BF26" s="4407"/>
      <c r="BG26" s="4407"/>
      <c r="BH26" s="4407"/>
      <c r="BI26" s="4534"/>
      <c r="BJ26" s="1401" t="s">
        <v>1107</v>
      </c>
      <c r="BK26" s="4535"/>
      <c r="BL26" s="4536"/>
      <c r="BM26" s="4531"/>
      <c r="BN26" s="4531"/>
      <c r="BO26" s="4531"/>
      <c r="BP26" s="4532"/>
    </row>
    <row r="27" spans="1:183" s="861" customFormat="1" ht="138" customHeight="1" x14ac:dyDescent="0.25">
      <c r="A27" s="813"/>
      <c r="B27" s="339"/>
      <c r="C27" s="340"/>
      <c r="D27" s="156"/>
      <c r="E27" s="156"/>
      <c r="F27" s="156"/>
      <c r="G27" s="3815"/>
      <c r="H27" s="2592"/>
      <c r="I27" s="3042"/>
      <c r="J27" s="3042"/>
      <c r="K27" s="3815"/>
      <c r="L27" s="4538"/>
      <c r="M27" s="145" t="s">
        <v>1154</v>
      </c>
      <c r="N27" s="4520"/>
      <c r="O27" s="4522"/>
      <c r="P27" s="4249"/>
      <c r="Q27" s="4546"/>
      <c r="R27" s="4122"/>
      <c r="S27" s="4122"/>
      <c r="T27" s="4539"/>
      <c r="U27" s="1402">
        <v>4000000</v>
      </c>
      <c r="V27" s="1403">
        <v>4000000</v>
      </c>
      <c r="W27" s="1403">
        <v>4000000</v>
      </c>
      <c r="X27" s="1399">
        <v>3</v>
      </c>
      <c r="Y27" s="1400" t="s">
        <v>1118</v>
      </c>
      <c r="Z27" s="4407"/>
      <c r="AA27" s="4407"/>
      <c r="AB27" s="4407"/>
      <c r="AC27" s="4407"/>
      <c r="AD27" s="4407"/>
      <c r="AE27" s="4407"/>
      <c r="AF27" s="4407"/>
      <c r="AG27" s="4407"/>
      <c r="AH27" s="4407"/>
      <c r="AI27" s="4407"/>
      <c r="AJ27" s="4407"/>
      <c r="AK27" s="4407"/>
      <c r="AL27" s="4407"/>
      <c r="AM27" s="4407"/>
      <c r="AN27" s="4407"/>
      <c r="AO27" s="4407"/>
      <c r="AP27" s="4407"/>
      <c r="AQ27" s="4407"/>
      <c r="AR27" s="4407"/>
      <c r="AS27" s="4407"/>
      <c r="AT27" s="4407"/>
      <c r="AU27" s="4407"/>
      <c r="AV27" s="4407"/>
      <c r="AW27" s="4407"/>
      <c r="AX27" s="4407"/>
      <c r="AY27" s="4407"/>
      <c r="AZ27" s="4407"/>
      <c r="BA27" s="4407"/>
      <c r="BB27" s="4407"/>
      <c r="BC27" s="4407"/>
      <c r="BD27" s="4407"/>
      <c r="BE27" s="4407"/>
      <c r="BF27" s="4407"/>
      <c r="BG27" s="4407"/>
      <c r="BH27" s="4407"/>
      <c r="BI27" s="4534"/>
      <c r="BJ27" s="1401" t="s">
        <v>1118</v>
      </c>
      <c r="BK27" s="4535"/>
      <c r="BL27" s="3629"/>
      <c r="BM27" s="4531"/>
      <c r="BN27" s="4531"/>
      <c r="BO27" s="4531"/>
      <c r="BP27" s="4533"/>
    </row>
    <row r="28" spans="1:183" s="1410" customFormat="1" ht="105" customHeight="1" x14ac:dyDescent="0.25">
      <c r="A28" s="813"/>
      <c r="B28" s="339"/>
      <c r="C28" s="340"/>
      <c r="D28" s="156"/>
      <c r="E28" s="156"/>
      <c r="F28" s="156"/>
      <c r="G28" s="911">
        <v>4301037</v>
      </c>
      <c r="H28" s="1984" t="s">
        <v>1125</v>
      </c>
      <c r="I28" s="920" t="s">
        <v>1113</v>
      </c>
      <c r="J28" s="913" t="s">
        <v>1137</v>
      </c>
      <c r="K28" s="925">
        <v>12</v>
      </c>
      <c r="L28" s="1404">
        <v>12</v>
      </c>
      <c r="M28" s="1312" t="s">
        <v>1155</v>
      </c>
      <c r="N28" s="4520" t="s">
        <v>1156</v>
      </c>
      <c r="O28" s="4540" t="s">
        <v>1157</v>
      </c>
      <c r="P28" s="1405">
        <f>+U28/1488175680.78</f>
        <v>1.2417888720177208E-2</v>
      </c>
      <c r="Q28" s="4542">
        <f>+U28+U29</f>
        <v>367085598</v>
      </c>
      <c r="R28" s="3816" t="s">
        <v>1158</v>
      </c>
      <c r="S28" s="3816" t="s">
        <v>1159</v>
      </c>
      <c r="T28" s="3042" t="s">
        <v>1160</v>
      </c>
      <c r="U28" s="1406">
        <v>18480000</v>
      </c>
      <c r="V28" s="1395">
        <v>18480000</v>
      </c>
      <c r="W28" s="1395">
        <v>18480000</v>
      </c>
      <c r="X28" s="1407" t="s">
        <v>1121</v>
      </c>
      <c r="Y28" s="1408" t="s">
        <v>1135</v>
      </c>
      <c r="Z28" s="4537">
        <v>1700</v>
      </c>
      <c r="AA28" s="4537">
        <v>34</v>
      </c>
      <c r="AB28" s="4537">
        <v>1500</v>
      </c>
      <c r="AC28" s="4537">
        <v>93</v>
      </c>
      <c r="AD28" s="4537">
        <v>1800</v>
      </c>
      <c r="AE28" s="4537">
        <v>103</v>
      </c>
      <c r="AF28" s="4537">
        <v>1000</v>
      </c>
      <c r="AG28" s="4537">
        <v>24</v>
      </c>
      <c r="AH28" s="4537">
        <v>400</v>
      </c>
      <c r="AI28" s="4407"/>
      <c r="AJ28" s="4407"/>
      <c r="AK28" s="4407"/>
      <c r="AL28" s="4407"/>
      <c r="AM28" s="4407"/>
      <c r="AN28" s="4407"/>
      <c r="AO28" s="4407"/>
      <c r="AP28" s="4407"/>
      <c r="AQ28" s="4407"/>
      <c r="AR28" s="4407"/>
      <c r="AS28" s="4407"/>
      <c r="AT28" s="4407"/>
      <c r="AU28" s="4407"/>
      <c r="AV28" s="4407"/>
      <c r="AW28" s="4407"/>
      <c r="AX28" s="4407"/>
      <c r="AY28" s="4407"/>
      <c r="AZ28" s="4407"/>
      <c r="BA28" s="4407"/>
      <c r="BB28" s="4407"/>
      <c r="BC28" s="4407"/>
      <c r="BD28" s="4407">
        <f>+Z28+AB28+AD28+AF28+AH28</f>
        <v>6400</v>
      </c>
      <c r="BE28" s="4407">
        <f>+AA28+AC28+AE28+AG28+AI28</f>
        <v>254</v>
      </c>
      <c r="BF28" s="4407">
        <v>8</v>
      </c>
      <c r="BG28" s="4407">
        <f>+V28+V29</f>
        <v>367085598</v>
      </c>
      <c r="BH28" s="4407">
        <f>+W28+W29</f>
        <v>367085598</v>
      </c>
      <c r="BI28" s="4534">
        <f>+(BH28)/(U28+U29)</f>
        <v>1</v>
      </c>
      <c r="BJ28" s="1409" t="s">
        <v>1135</v>
      </c>
      <c r="BK28" s="4535" t="s">
        <v>1108</v>
      </c>
      <c r="BL28" s="4536">
        <v>43832</v>
      </c>
      <c r="BM28" s="4536">
        <v>43862</v>
      </c>
      <c r="BN28" s="4536">
        <v>44195</v>
      </c>
      <c r="BO28" s="4536">
        <v>44195</v>
      </c>
      <c r="BP28" s="3816" t="s">
        <v>1109</v>
      </c>
      <c r="BQ28" s="861"/>
      <c r="BR28" s="861"/>
      <c r="BS28" s="861"/>
      <c r="BT28" s="861"/>
      <c r="BU28" s="861"/>
      <c r="BV28" s="861"/>
      <c r="BW28" s="861"/>
      <c r="BX28" s="861"/>
      <c r="BY28" s="861"/>
      <c r="BZ28" s="861"/>
      <c r="CA28" s="861"/>
      <c r="CB28" s="861"/>
      <c r="CC28" s="861"/>
      <c r="CD28" s="861"/>
      <c r="CE28" s="861"/>
      <c r="CF28" s="861"/>
      <c r="CG28" s="861"/>
      <c r="CH28" s="861"/>
      <c r="CI28" s="861"/>
      <c r="CJ28" s="861"/>
      <c r="CK28" s="861"/>
      <c r="CL28" s="861"/>
      <c r="CM28" s="861"/>
      <c r="CN28" s="861"/>
      <c r="CO28" s="861"/>
      <c r="CP28" s="861"/>
      <c r="CQ28" s="861"/>
      <c r="CR28" s="861"/>
      <c r="CS28" s="861"/>
      <c r="CT28" s="861"/>
      <c r="CU28" s="861"/>
      <c r="CV28" s="861"/>
      <c r="CW28" s="861"/>
      <c r="CX28" s="861"/>
      <c r="CY28" s="861"/>
      <c r="CZ28" s="861"/>
      <c r="DA28" s="861"/>
      <c r="DB28" s="861"/>
      <c r="DC28" s="861"/>
      <c r="DD28" s="861"/>
      <c r="DE28" s="861"/>
      <c r="DF28" s="861"/>
      <c r="DG28" s="861"/>
      <c r="DH28" s="861"/>
      <c r="DI28" s="861"/>
      <c r="DJ28" s="861"/>
      <c r="DK28" s="861"/>
      <c r="DL28" s="861"/>
      <c r="DM28" s="861"/>
      <c r="DN28" s="861"/>
      <c r="DO28" s="861"/>
      <c r="DP28" s="861"/>
      <c r="DQ28" s="861"/>
      <c r="DR28" s="861"/>
      <c r="DS28" s="861"/>
      <c r="DT28" s="861"/>
      <c r="DU28" s="861"/>
      <c r="DV28" s="861"/>
      <c r="DW28" s="861"/>
      <c r="DX28" s="861"/>
      <c r="DY28" s="861"/>
      <c r="DZ28" s="861"/>
      <c r="EA28" s="861"/>
      <c r="EB28" s="861"/>
      <c r="EC28" s="861"/>
      <c r="ED28" s="861"/>
      <c r="EE28" s="861"/>
      <c r="EF28" s="861"/>
      <c r="EG28" s="861"/>
      <c r="EH28" s="861"/>
      <c r="EI28" s="861"/>
      <c r="EJ28" s="861"/>
      <c r="EK28" s="861"/>
      <c r="EL28" s="861"/>
      <c r="EM28" s="861"/>
      <c r="EN28" s="861"/>
      <c r="EO28" s="861"/>
      <c r="EP28" s="861"/>
      <c r="EQ28" s="861"/>
      <c r="ER28" s="861"/>
      <c r="ES28" s="861"/>
      <c r="ET28" s="861"/>
      <c r="EU28" s="861"/>
      <c r="EV28" s="861"/>
      <c r="EW28" s="861"/>
      <c r="EX28" s="861"/>
      <c r="EY28" s="861"/>
      <c r="EZ28" s="861"/>
      <c r="FA28" s="861"/>
      <c r="FB28" s="861"/>
      <c r="FC28" s="861"/>
      <c r="FD28" s="861"/>
      <c r="FE28" s="861"/>
      <c r="FF28" s="861"/>
      <c r="FG28" s="861"/>
      <c r="FH28" s="861"/>
      <c r="FI28" s="861"/>
      <c r="FJ28" s="861"/>
      <c r="FK28" s="861"/>
      <c r="FL28" s="861"/>
      <c r="FM28" s="861"/>
      <c r="FN28" s="861"/>
      <c r="FO28" s="861"/>
      <c r="FP28" s="861"/>
      <c r="FQ28" s="861"/>
      <c r="FR28" s="861"/>
      <c r="FS28" s="861"/>
      <c r="FT28" s="861"/>
      <c r="FU28" s="861"/>
      <c r="FV28" s="861"/>
      <c r="FW28" s="861"/>
      <c r="FX28" s="861"/>
      <c r="FY28" s="861"/>
      <c r="FZ28" s="861"/>
      <c r="GA28" s="861"/>
    </row>
    <row r="29" spans="1:183" s="1410" customFormat="1" ht="105" customHeight="1" x14ac:dyDescent="0.25">
      <c r="A29" s="813"/>
      <c r="B29" s="339"/>
      <c r="C29" s="340"/>
      <c r="D29" s="156"/>
      <c r="E29" s="156"/>
      <c r="F29" s="156"/>
      <c r="G29" s="911">
        <v>4301007</v>
      </c>
      <c r="H29" s="1875" t="s">
        <v>1098</v>
      </c>
      <c r="I29" s="1411" t="s">
        <v>1099</v>
      </c>
      <c r="J29" s="922" t="s">
        <v>1100</v>
      </c>
      <c r="K29" s="145">
        <v>12</v>
      </c>
      <c r="L29" s="145">
        <v>12</v>
      </c>
      <c r="M29" s="1412" t="s">
        <v>1161</v>
      </c>
      <c r="N29" s="4520"/>
      <c r="O29" s="4541"/>
      <c r="P29" s="631">
        <f>(U29)/(U12+U13+U14+U29+U52+U53+U54+U55)</f>
        <v>0.23219861888561016</v>
      </c>
      <c r="Q29" s="4543"/>
      <c r="R29" s="3816"/>
      <c r="S29" s="3816"/>
      <c r="T29" s="3042"/>
      <c r="U29" s="1376">
        <v>348605598</v>
      </c>
      <c r="V29" s="1376">
        <v>348605598</v>
      </c>
      <c r="W29" s="1376">
        <v>348605598</v>
      </c>
      <c r="X29" s="1407" t="s">
        <v>1162</v>
      </c>
      <c r="Y29" s="1413" t="s">
        <v>1163</v>
      </c>
      <c r="Z29" s="4537"/>
      <c r="AA29" s="4537"/>
      <c r="AB29" s="4537"/>
      <c r="AC29" s="4537"/>
      <c r="AD29" s="4537"/>
      <c r="AE29" s="4537"/>
      <c r="AF29" s="4537"/>
      <c r="AG29" s="4537"/>
      <c r="AH29" s="4537"/>
      <c r="AI29" s="4407"/>
      <c r="AJ29" s="4407"/>
      <c r="AK29" s="4407"/>
      <c r="AL29" s="4407"/>
      <c r="AM29" s="4407"/>
      <c r="AN29" s="4407"/>
      <c r="AO29" s="4407"/>
      <c r="AP29" s="4407"/>
      <c r="AQ29" s="4407"/>
      <c r="AR29" s="4407"/>
      <c r="AS29" s="4407"/>
      <c r="AT29" s="4407"/>
      <c r="AU29" s="4407"/>
      <c r="AV29" s="4407"/>
      <c r="AW29" s="4407"/>
      <c r="AX29" s="4407"/>
      <c r="AY29" s="4407"/>
      <c r="AZ29" s="4407"/>
      <c r="BA29" s="4407"/>
      <c r="BB29" s="4407"/>
      <c r="BC29" s="4407"/>
      <c r="BD29" s="4407"/>
      <c r="BE29" s="4407"/>
      <c r="BF29" s="4407"/>
      <c r="BG29" s="4407"/>
      <c r="BH29" s="4407"/>
      <c r="BI29" s="4534"/>
      <c r="BJ29" s="1414" t="s">
        <v>1163</v>
      </c>
      <c r="BK29" s="4535"/>
      <c r="BL29" s="4536"/>
      <c r="BM29" s="4536"/>
      <c r="BN29" s="4536"/>
      <c r="BO29" s="4536"/>
      <c r="BP29" s="3816"/>
      <c r="BQ29" s="861"/>
      <c r="BR29" s="861"/>
      <c r="BS29" s="861"/>
      <c r="BT29" s="861"/>
      <c r="BU29" s="861"/>
      <c r="BV29" s="861"/>
      <c r="BW29" s="861"/>
      <c r="BX29" s="861"/>
      <c r="BY29" s="861"/>
      <c r="BZ29" s="861"/>
      <c r="CA29" s="861"/>
      <c r="CB29" s="861"/>
      <c r="CC29" s="861"/>
      <c r="CD29" s="861"/>
      <c r="CE29" s="861"/>
      <c r="CF29" s="861"/>
      <c r="CG29" s="861"/>
      <c r="CH29" s="861"/>
      <c r="CI29" s="861"/>
      <c r="CJ29" s="861"/>
      <c r="CK29" s="861"/>
      <c r="CL29" s="861"/>
      <c r="CM29" s="861"/>
      <c r="CN29" s="861"/>
      <c r="CO29" s="861"/>
      <c r="CP29" s="861"/>
      <c r="CQ29" s="861"/>
      <c r="CR29" s="861"/>
      <c r="CS29" s="861"/>
      <c r="CT29" s="861"/>
      <c r="CU29" s="861"/>
      <c r="CV29" s="861"/>
      <c r="CW29" s="861"/>
      <c r="CX29" s="861"/>
      <c r="CY29" s="861"/>
      <c r="CZ29" s="861"/>
      <c r="DA29" s="861"/>
      <c r="DB29" s="861"/>
      <c r="DC29" s="861"/>
      <c r="DD29" s="861"/>
      <c r="DE29" s="861"/>
      <c r="DF29" s="861"/>
      <c r="DG29" s="861"/>
      <c r="DH29" s="861"/>
      <c r="DI29" s="861"/>
      <c r="DJ29" s="861"/>
      <c r="DK29" s="861"/>
      <c r="DL29" s="861"/>
      <c r="DM29" s="861"/>
      <c r="DN29" s="861"/>
      <c r="DO29" s="861"/>
      <c r="DP29" s="861"/>
      <c r="DQ29" s="861"/>
      <c r="DR29" s="861"/>
      <c r="DS29" s="861"/>
      <c r="DT29" s="861"/>
      <c r="DU29" s="861"/>
      <c r="DV29" s="861"/>
      <c r="DW29" s="861"/>
      <c r="DX29" s="861"/>
      <c r="DY29" s="861"/>
      <c r="DZ29" s="861"/>
      <c r="EA29" s="861"/>
      <c r="EB29" s="861"/>
      <c r="EC29" s="861"/>
      <c r="ED29" s="861"/>
      <c r="EE29" s="861"/>
      <c r="EF29" s="861"/>
      <c r="EG29" s="861"/>
      <c r="EH29" s="861"/>
      <c r="EI29" s="861"/>
      <c r="EJ29" s="861"/>
      <c r="EK29" s="861"/>
      <c r="EL29" s="861"/>
      <c r="EM29" s="861"/>
      <c r="EN29" s="861"/>
      <c r="EO29" s="861"/>
      <c r="EP29" s="861"/>
      <c r="EQ29" s="861"/>
      <c r="ER29" s="861"/>
      <c r="ES29" s="861"/>
      <c r="ET29" s="861"/>
      <c r="EU29" s="861"/>
      <c r="EV29" s="861"/>
      <c r="EW29" s="861"/>
      <c r="EX29" s="861"/>
      <c r="EY29" s="861"/>
      <c r="EZ29" s="861"/>
      <c r="FA29" s="861"/>
      <c r="FB29" s="861"/>
      <c r="FC29" s="861"/>
      <c r="FD29" s="861"/>
      <c r="FE29" s="861"/>
      <c r="FF29" s="861"/>
      <c r="FG29" s="861"/>
      <c r="FH29" s="861"/>
      <c r="FI29" s="861"/>
      <c r="FJ29" s="861"/>
      <c r="FK29" s="861"/>
      <c r="FL29" s="861"/>
      <c r="FM29" s="861"/>
      <c r="FN29" s="861"/>
      <c r="FO29" s="861"/>
      <c r="FP29" s="861"/>
      <c r="FQ29" s="861"/>
      <c r="FR29" s="861"/>
      <c r="FS29" s="861"/>
      <c r="FT29" s="861"/>
      <c r="FU29" s="861"/>
      <c r="FV29" s="861"/>
      <c r="FW29" s="861"/>
      <c r="FX29" s="861"/>
      <c r="FY29" s="861"/>
      <c r="FZ29" s="861"/>
      <c r="GA29" s="861"/>
    </row>
    <row r="30" spans="1:183" s="1372" customFormat="1" ht="39.75" customHeight="1" x14ac:dyDescent="0.25">
      <c r="A30" s="813"/>
      <c r="B30" s="339"/>
      <c r="C30" s="340"/>
      <c r="D30" s="156"/>
      <c r="E30" s="156"/>
      <c r="F30" s="156"/>
      <c r="G30" s="3815">
        <v>4301037</v>
      </c>
      <c r="H30" s="4547" t="s">
        <v>1125</v>
      </c>
      <c r="I30" s="3734" t="s">
        <v>1113</v>
      </c>
      <c r="J30" s="4548" t="s">
        <v>1137</v>
      </c>
      <c r="K30" s="4550">
        <v>12</v>
      </c>
      <c r="L30" s="4551">
        <v>12</v>
      </c>
      <c r="M30" s="1415" t="s">
        <v>1164</v>
      </c>
      <c r="N30" s="4555" t="s">
        <v>1165</v>
      </c>
      <c r="O30" s="3071" t="s">
        <v>1166</v>
      </c>
      <c r="P30" s="4557">
        <f>(U30+U31+U32+U33+U34)/1488175680.78</f>
        <v>6.1541848978473673E-2</v>
      </c>
      <c r="Q30" s="4558">
        <f>+U30+U31+U32+U33+U34</f>
        <v>91585083</v>
      </c>
      <c r="R30" s="3492" t="s">
        <v>1167</v>
      </c>
      <c r="S30" s="3648" t="s">
        <v>1168</v>
      </c>
      <c r="T30" s="2909" t="s">
        <v>1160</v>
      </c>
      <c r="U30" s="1402">
        <v>30633333</v>
      </c>
      <c r="V30" s="1395">
        <v>30633333</v>
      </c>
      <c r="W30" s="1395">
        <v>30633333</v>
      </c>
      <c r="X30" s="1399">
        <v>3</v>
      </c>
      <c r="Y30" s="1416" t="s">
        <v>1118</v>
      </c>
      <c r="Z30" s="4554">
        <v>3380</v>
      </c>
      <c r="AA30" s="4554">
        <v>4449</v>
      </c>
      <c r="AB30" s="4554">
        <v>460</v>
      </c>
      <c r="AC30" s="4554">
        <v>2169</v>
      </c>
      <c r="AD30" s="4554">
        <v>0</v>
      </c>
      <c r="AE30" s="4554">
        <v>1383</v>
      </c>
      <c r="AF30" s="4554">
        <v>0</v>
      </c>
      <c r="AG30" s="4554">
        <v>592</v>
      </c>
      <c r="AH30" s="4554">
        <v>3840</v>
      </c>
      <c r="AI30" s="4554">
        <v>3638</v>
      </c>
      <c r="AJ30" s="4554">
        <v>0</v>
      </c>
      <c r="AK30" s="4554">
        <v>1005</v>
      </c>
      <c r="AL30" s="4554">
        <v>0</v>
      </c>
      <c r="AM30" s="4554">
        <v>20</v>
      </c>
      <c r="AN30" s="4554">
        <v>0</v>
      </c>
      <c r="AO30" s="4554">
        <v>9</v>
      </c>
      <c r="AP30" s="4554">
        <v>0</v>
      </c>
      <c r="AQ30" s="4554">
        <v>0</v>
      </c>
      <c r="AR30" s="4554">
        <v>0</v>
      </c>
      <c r="AS30" s="4554">
        <v>0</v>
      </c>
      <c r="AT30" s="4554">
        <v>0</v>
      </c>
      <c r="AU30" s="4554">
        <v>0</v>
      </c>
      <c r="AV30" s="4554">
        <v>0</v>
      </c>
      <c r="AW30" s="4554">
        <v>0</v>
      </c>
      <c r="AX30" s="4554">
        <v>0</v>
      </c>
      <c r="AY30" s="4554">
        <v>44</v>
      </c>
      <c r="AZ30" s="4554">
        <v>0</v>
      </c>
      <c r="BA30" s="4554">
        <v>259</v>
      </c>
      <c r="BB30" s="4554">
        <v>0</v>
      </c>
      <c r="BC30" s="4554">
        <v>1</v>
      </c>
      <c r="BD30" s="4554">
        <f>+Z30+AB30+AD30+AF30+AH30+AJ30</f>
        <v>7680</v>
      </c>
      <c r="BE30" s="4554">
        <f>+AA30+AC30+AE30+AG30+AI30+AK30</f>
        <v>13236</v>
      </c>
      <c r="BF30" s="4554">
        <v>16</v>
      </c>
      <c r="BG30" s="4414">
        <f>+V30+V31+V32+V33+V34</f>
        <v>57090908</v>
      </c>
      <c r="BH30" s="4414">
        <f>+W30+W31+W32+W33+W34</f>
        <v>57090908</v>
      </c>
      <c r="BI30" s="4567">
        <f>BH30/BG30</f>
        <v>1</v>
      </c>
      <c r="BJ30" s="1417" t="s">
        <v>1118</v>
      </c>
      <c r="BK30" s="4422" t="s">
        <v>1169</v>
      </c>
      <c r="BL30" s="3630">
        <v>43832</v>
      </c>
      <c r="BM30" s="3629">
        <v>43862</v>
      </c>
      <c r="BN30" s="3630">
        <v>44195</v>
      </c>
      <c r="BO30" s="3629">
        <v>44195</v>
      </c>
      <c r="BP30" s="4559" t="s">
        <v>1109</v>
      </c>
      <c r="BQ30" s="861"/>
      <c r="BR30" s="861"/>
    </row>
    <row r="31" spans="1:183" s="1372" customFormat="1" ht="58.5" customHeight="1" x14ac:dyDescent="0.25">
      <c r="A31" s="813"/>
      <c r="B31" s="339"/>
      <c r="C31" s="340"/>
      <c r="D31" s="156"/>
      <c r="E31" s="156"/>
      <c r="F31" s="156"/>
      <c r="G31" s="3815"/>
      <c r="H31" s="3156"/>
      <c r="I31" s="3735"/>
      <c r="J31" s="4549"/>
      <c r="K31" s="4550"/>
      <c r="L31" s="4552"/>
      <c r="M31" s="1415" t="s">
        <v>1170</v>
      </c>
      <c r="N31" s="4556"/>
      <c r="O31" s="3189"/>
      <c r="P31" s="4557"/>
      <c r="Q31" s="4558"/>
      <c r="R31" s="3492"/>
      <c r="S31" s="3648"/>
      <c r="T31" s="2909"/>
      <c r="U31" s="1402">
        <v>18733896</v>
      </c>
      <c r="V31" s="1395">
        <v>0</v>
      </c>
      <c r="W31" s="1395">
        <v>0</v>
      </c>
      <c r="X31" s="1399">
        <v>15</v>
      </c>
      <c r="Y31" s="1400" t="s">
        <v>1171</v>
      </c>
      <c r="Z31" s="4554"/>
      <c r="AA31" s="4554"/>
      <c r="AB31" s="4554"/>
      <c r="AC31" s="4554"/>
      <c r="AD31" s="4554"/>
      <c r="AE31" s="4554"/>
      <c r="AF31" s="4554"/>
      <c r="AG31" s="4554"/>
      <c r="AH31" s="4554"/>
      <c r="AI31" s="4554"/>
      <c r="AJ31" s="4554"/>
      <c r="AK31" s="4554"/>
      <c r="AL31" s="4554"/>
      <c r="AM31" s="4554"/>
      <c r="AN31" s="4554"/>
      <c r="AO31" s="4554"/>
      <c r="AP31" s="4554"/>
      <c r="AQ31" s="4554"/>
      <c r="AR31" s="4554"/>
      <c r="AS31" s="4554"/>
      <c r="AT31" s="4554"/>
      <c r="AU31" s="4554"/>
      <c r="AV31" s="4554"/>
      <c r="AW31" s="4554"/>
      <c r="AX31" s="4554"/>
      <c r="AY31" s="4554"/>
      <c r="AZ31" s="4554"/>
      <c r="BA31" s="4554"/>
      <c r="BB31" s="4554"/>
      <c r="BC31" s="4554"/>
      <c r="BD31" s="4554"/>
      <c r="BE31" s="4554"/>
      <c r="BF31" s="4554"/>
      <c r="BG31" s="4554"/>
      <c r="BH31" s="4554"/>
      <c r="BI31" s="4568"/>
      <c r="BJ31" s="1401" t="s">
        <v>1171</v>
      </c>
      <c r="BK31" s="4570"/>
      <c r="BL31" s="3630"/>
      <c r="BM31" s="3630"/>
      <c r="BN31" s="3630"/>
      <c r="BO31" s="3630"/>
      <c r="BP31" s="4559"/>
      <c r="BQ31" s="861"/>
      <c r="BR31" s="861"/>
    </row>
    <row r="32" spans="1:183" s="1372" customFormat="1" ht="81" customHeight="1" x14ac:dyDescent="0.25">
      <c r="A32" s="813"/>
      <c r="B32" s="339"/>
      <c r="C32" s="340"/>
      <c r="D32" s="156"/>
      <c r="E32" s="156"/>
      <c r="F32" s="156"/>
      <c r="G32" s="3815"/>
      <c r="H32" s="3156"/>
      <c r="I32" s="3735"/>
      <c r="J32" s="4549"/>
      <c r="K32" s="4550"/>
      <c r="L32" s="4552"/>
      <c r="M32" s="145" t="s">
        <v>1172</v>
      </c>
      <c r="N32" s="4556"/>
      <c r="O32" s="3189"/>
      <c r="P32" s="4557"/>
      <c r="Q32" s="4558"/>
      <c r="R32" s="3492"/>
      <c r="S32" s="3648"/>
      <c r="T32" s="2909"/>
      <c r="U32" s="1402">
        <v>62946</v>
      </c>
      <c r="V32" s="1395">
        <v>0</v>
      </c>
      <c r="W32" s="1395">
        <v>0</v>
      </c>
      <c r="X32" s="1399">
        <v>18</v>
      </c>
      <c r="Y32" s="1400" t="s">
        <v>1173</v>
      </c>
      <c r="Z32" s="4554"/>
      <c r="AA32" s="4554"/>
      <c r="AB32" s="4554"/>
      <c r="AC32" s="4554"/>
      <c r="AD32" s="4554"/>
      <c r="AE32" s="4554"/>
      <c r="AF32" s="4554"/>
      <c r="AG32" s="4554"/>
      <c r="AH32" s="4554"/>
      <c r="AI32" s="4554"/>
      <c r="AJ32" s="4554"/>
      <c r="AK32" s="4554"/>
      <c r="AL32" s="4554"/>
      <c r="AM32" s="4554"/>
      <c r="AN32" s="4554"/>
      <c r="AO32" s="4554"/>
      <c r="AP32" s="4554"/>
      <c r="AQ32" s="4554"/>
      <c r="AR32" s="4554"/>
      <c r="AS32" s="4554"/>
      <c r="AT32" s="4554"/>
      <c r="AU32" s="4554"/>
      <c r="AV32" s="4554"/>
      <c r="AW32" s="4554"/>
      <c r="AX32" s="4554"/>
      <c r="AY32" s="4554"/>
      <c r="AZ32" s="4554"/>
      <c r="BA32" s="4554"/>
      <c r="BB32" s="4554"/>
      <c r="BC32" s="4554"/>
      <c r="BD32" s="4554"/>
      <c r="BE32" s="4554"/>
      <c r="BF32" s="4554"/>
      <c r="BG32" s="4554"/>
      <c r="BH32" s="4554"/>
      <c r="BI32" s="4568"/>
      <c r="BJ32" s="1401" t="s">
        <v>1173</v>
      </c>
      <c r="BK32" s="4570"/>
      <c r="BL32" s="3630"/>
      <c r="BM32" s="3630"/>
      <c r="BN32" s="3630"/>
      <c r="BO32" s="3630"/>
      <c r="BP32" s="4559"/>
      <c r="BQ32" s="861"/>
      <c r="BR32" s="861"/>
    </row>
    <row r="33" spans="1:70" s="1372" customFormat="1" ht="44.25" customHeight="1" x14ac:dyDescent="0.25">
      <c r="A33" s="813"/>
      <c r="B33" s="339"/>
      <c r="C33" s="340"/>
      <c r="D33" s="156"/>
      <c r="E33" s="156"/>
      <c r="F33" s="156"/>
      <c r="G33" s="3815"/>
      <c r="H33" s="3156"/>
      <c r="I33" s="3735"/>
      <c r="J33" s="4549"/>
      <c r="K33" s="4550"/>
      <c r="L33" s="4552"/>
      <c r="M33" s="145" t="s">
        <v>1174</v>
      </c>
      <c r="N33" s="4556"/>
      <c r="O33" s="3189"/>
      <c r="P33" s="4557"/>
      <c r="Q33" s="4558"/>
      <c r="R33" s="3492"/>
      <c r="S33" s="3648"/>
      <c r="T33" s="2909"/>
      <c r="U33" s="1402">
        <v>359648</v>
      </c>
      <c r="V33" s="1395">
        <v>0</v>
      </c>
      <c r="W33" s="1395">
        <v>0</v>
      </c>
      <c r="X33" s="1399">
        <v>4</v>
      </c>
      <c r="Y33" s="1400" t="s">
        <v>1135</v>
      </c>
      <c r="Z33" s="4554"/>
      <c r="AA33" s="4554"/>
      <c r="AB33" s="4554"/>
      <c r="AC33" s="4554"/>
      <c r="AD33" s="4554"/>
      <c r="AE33" s="4554"/>
      <c r="AF33" s="4554"/>
      <c r="AG33" s="4554"/>
      <c r="AH33" s="4554"/>
      <c r="AI33" s="4554"/>
      <c r="AJ33" s="4554"/>
      <c r="AK33" s="4554"/>
      <c r="AL33" s="4554"/>
      <c r="AM33" s="4554"/>
      <c r="AN33" s="4554"/>
      <c r="AO33" s="4554"/>
      <c r="AP33" s="4554"/>
      <c r="AQ33" s="4554"/>
      <c r="AR33" s="4554"/>
      <c r="AS33" s="4554"/>
      <c r="AT33" s="4554"/>
      <c r="AU33" s="4554"/>
      <c r="AV33" s="4554"/>
      <c r="AW33" s="4554"/>
      <c r="AX33" s="4554"/>
      <c r="AY33" s="4554"/>
      <c r="AZ33" s="4554"/>
      <c r="BA33" s="4554"/>
      <c r="BB33" s="4554"/>
      <c r="BC33" s="4554"/>
      <c r="BD33" s="4554"/>
      <c r="BE33" s="4554"/>
      <c r="BF33" s="4554"/>
      <c r="BG33" s="4554"/>
      <c r="BH33" s="4554"/>
      <c r="BI33" s="4568"/>
      <c r="BJ33" s="1401" t="s">
        <v>1135</v>
      </c>
      <c r="BK33" s="4570"/>
      <c r="BL33" s="3630"/>
      <c r="BM33" s="3630"/>
      <c r="BN33" s="3630"/>
      <c r="BO33" s="3630"/>
      <c r="BP33" s="4559"/>
      <c r="BQ33" s="861"/>
      <c r="BR33" s="861"/>
    </row>
    <row r="34" spans="1:70" s="1372" customFormat="1" ht="30" x14ac:dyDescent="0.25">
      <c r="A34" s="813"/>
      <c r="B34" s="339"/>
      <c r="C34" s="340"/>
      <c r="D34" s="156"/>
      <c r="E34" s="156"/>
      <c r="F34" s="156"/>
      <c r="G34" s="3815"/>
      <c r="H34" s="3156"/>
      <c r="I34" s="3735"/>
      <c r="J34" s="4549"/>
      <c r="K34" s="4550"/>
      <c r="L34" s="4553"/>
      <c r="M34" s="145" t="s">
        <v>1175</v>
      </c>
      <c r="N34" s="4556"/>
      <c r="O34" s="3189"/>
      <c r="P34" s="4557"/>
      <c r="Q34" s="4558"/>
      <c r="R34" s="3493"/>
      <c r="S34" s="3649"/>
      <c r="T34" s="3422"/>
      <c r="U34" s="1402">
        <v>41795260</v>
      </c>
      <c r="V34" s="1403">
        <v>26457575</v>
      </c>
      <c r="W34" s="1395">
        <f>+V34</f>
        <v>26457575</v>
      </c>
      <c r="X34" s="1399">
        <v>6</v>
      </c>
      <c r="Y34" s="1400" t="s">
        <v>1176</v>
      </c>
      <c r="Z34" s="4415"/>
      <c r="AA34" s="4415"/>
      <c r="AB34" s="4415"/>
      <c r="AC34" s="4415"/>
      <c r="AD34" s="4415"/>
      <c r="AE34" s="4415"/>
      <c r="AF34" s="4415"/>
      <c r="AG34" s="4415"/>
      <c r="AH34" s="4415"/>
      <c r="AI34" s="4415"/>
      <c r="AJ34" s="4415"/>
      <c r="AK34" s="4415"/>
      <c r="AL34" s="4415"/>
      <c r="AM34" s="4415"/>
      <c r="AN34" s="4415"/>
      <c r="AO34" s="4415"/>
      <c r="AP34" s="4415"/>
      <c r="AQ34" s="4415"/>
      <c r="AR34" s="4415"/>
      <c r="AS34" s="4415"/>
      <c r="AT34" s="4415"/>
      <c r="AU34" s="4415"/>
      <c r="AV34" s="4415"/>
      <c r="AW34" s="4415"/>
      <c r="AX34" s="4415"/>
      <c r="AY34" s="4415"/>
      <c r="AZ34" s="4415"/>
      <c r="BA34" s="4415"/>
      <c r="BB34" s="4415"/>
      <c r="BC34" s="4415"/>
      <c r="BD34" s="4415"/>
      <c r="BE34" s="4415"/>
      <c r="BF34" s="4415"/>
      <c r="BG34" s="4415"/>
      <c r="BH34" s="4415"/>
      <c r="BI34" s="4569"/>
      <c r="BJ34" s="1401" t="s">
        <v>1176</v>
      </c>
      <c r="BK34" s="4423"/>
      <c r="BL34" s="3631"/>
      <c r="BM34" s="3631"/>
      <c r="BN34" s="3631"/>
      <c r="BO34" s="3631"/>
      <c r="BP34" s="4560"/>
      <c r="BQ34" s="861"/>
      <c r="BR34" s="861"/>
    </row>
    <row r="35" spans="1:70" s="1372" customFormat="1" ht="46.5" customHeight="1" x14ac:dyDescent="0.25">
      <c r="A35" s="1373"/>
      <c r="B35" s="1374"/>
      <c r="C35" s="1375"/>
      <c r="D35" s="552"/>
      <c r="E35" s="552"/>
      <c r="F35" s="552"/>
      <c r="G35" s="2721"/>
      <c r="H35" s="4561" t="s">
        <v>1125</v>
      </c>
      <c r="I35" s="2779" t="s">
        <v>1113</v>
      </c>
      <c r="J35" s="3257" t="s">
        <v>1114</v>
      </c>
      <c r="K35" s="3706">
        <v>12</v>
      </c>
      <c r="L35" s="3706">
        <v>12</v>
      </c>
      <c r="M35" s="914" t="s">
        <v>1177</v>
      </c>
      <c r="N35" s="4563" t="s">
        <v>1178</v>
      </c>
      <c r="O35" s="4565" t="s">
        <v>1179</v>
      </c>
      <c r="P35" s="3056">
        <f>(U35+U36+U37+U38+U39+U40+U41+U42+U43+U44+U45+U46+U47+U48)/1488175680.78</f>
        <v>0.63572636214840805</v>
      </c>
      <c r="Q35" s="4572">
        <f>+U35+U36+U37+U38+U39+U40+U41+U42+U43++U44+U45+U46+U47+U48+U49+U50+U51+U52+U53+U54+U55+U56+U57</f>
        <v>2323713601.7799997</v>
      </c>
      <c r="R35" s="2725" t="s">
        <v>1180</v>
      </c>
      <c r="S35" s="3681" t="s">
        <v>1181</v>
      </c>
      <c r="T35" s="2779" t="s">
        <v>1113</v>
      </c>
      <c r="U35" s="1983">
        <v>79000000</v>
      </c>
      <c r="V35" s="1388">
        <v>0</v>
      </c>
      <c r="W35" s="1388">
        <v>0</v>
      </c>
      <c r="X35" s="1396">
        <v>12</v>
      </c>
      <c r="Y35" s="1419" t="s">
        <v>1107</v>
      </c>
      <c r="Z35" s="4571">
        <v>6990.88</v>
      </c>
      <c r="AA35" s="4571">
        <v>5357</v>
      </c>
      <c r="AB35" s="4571">
        <v>6453.12</v>
      </c>
      <c r="AC35" s="4571">
        <v>3533</v>
      </c>
      <c r="AD35" s="4571">
        <v>3520</v>
      </c>
      <c r="AE35" s="4571">
        <v>2210</v>
      </c>
      <c r="AF35" s="4571">
        <v>4378</v>
      </c>
      <c r="AG35" s="4571">
        <v>1830</v>
      </c>
      <c r="AH35" s="4571">
        <v>1344</v>
      </c>
      <c r="AI35" s="4571">
        <v>3638</v>
      </c>
      <c r="AJ35" s="4571"/>
      <c r="AK35" s="4571">
        <v>1005</v>
      </c>
      <c r="AL35" s="4571"/>
      <c r="AM35" s="4571">
        <v>31</v>
      </c>
      <c r="AN35" s="4571"/>
      <c r="AO35" s="4571">
        <v>18</v>
      </c>
      <c r="AP35" s="4571"/>
      <c r="AQ35" s="4571">
        <v>0</v>
      </c>
      <c r="AR35" s="4571"/>
      <c r="AS35" s="4571">
        <v>0</v>
      </c>
      <c r="AT35" s="4571"/>
      <c r="AU35" s="4571">
        <v>0</v>
      </c>
      <c r="AV35" s="4571"/>
      <c r="AW35" s="4571">
        <v>0</v>
      </c>
      <c r="AX35" s="4571"/>
      <c r="AY35" s="4571">
        <v>73</v>
      </c>
      <c r="AZ35" s="4571"/>
      <c r="BA35" s="4571">
        <v>380</v>
      </c>
      <c r="BB35" s="4571"/>
      <c r="BC35" s="4571">
        <v>5</v>
      </c>
      <c r="BD35" s="4571">
        <f>+Z35+AB35</f>
        <v>13444</v>
      </c>
      <c r="BE35" s="4571">
        <f>+AA35+AC35</f>
        <v>8890</v>
      </c>
      <c r="BF35" s="4571">
        <v>64</v>
      </c>
      <c r="BG35" s="4571">
        <f>+SUM(V35:V57)</f>
        <v>1284983862</v>
      </c>
      <c r="BH35" s="4571">
        <f>+SUM(W35:W57)</f>
        <v>1284983862</v>
      </c>
      <c r="BI35" s="4582">
        <f>BH35/BG35</f>
        <v>1</v>
      </c>
      <c r="BJ35" s="1420" t="s">
        <v>1107</v>
      </c>
      <c r="BK35" s="3578" t="s">
        <v>1182</v>
      </c>
      <c r="BL35" s="3626">
        <v>43832</v>
      </c>
      <c r="BM35" s="3626">
        <v>43862</v>
      </c>
      <c r="BN35" s="3626">
        <v>44195</v>
      </c>
      <c r="BO35" s="3626">
        <v>44195</v>
      </c>
      <c r="BP35" s="4578" t="s">
        <v>1109</v>
      </c>
    </row>
    <row r="36" spans="1:70" s="1372" customFormat="1" ht="46.5" customHeight="1" x14ac:dyDescent="0.25">
      <c r="A36" s="1373"/>
      <c r="B36" s="1374"/>
      <c r="C36" s="1375"/>
      <c r="D36" s="552"/>
      <c r="E36" s="552"/>
      <c r="F36" s="552"/>
      <c r="G36" s="2722"/>
      <c r="H36" s="4562"/>
      <c r="I36" s="2779"/>
      <c r="J36" s="3257"/>
      <c r="K36" s="3706"/>
      <c r="L36" s="3706"/>
      <c r="M36" s="914" t="s">
        <v>1183</v>
      </c>
      <c r="N36" s="4563"/>
      <c r="O36" s="4565"/>
      <c r="P36" s="3056"/>
      <c r="Q36" s="4572"/>
      <c r="R36" s="2725"/>
      <c r="S36" s="4574"/>
      <c r="T36" s="2779"/>
      <c r="U36" s="1983">
        <v>53119520</v>
      </c>
      <c r="V36" s="1388">
        <v>0</v>
      </c>
      <c r="W36" s="1388">
        <v>0</v>
      </c>
      <c r="X36" s="1396">
        <v>3</v>
      </c>
      <c r="Y36" s="1419" t="s">
        <v>1118</v>
      </c>
      <c r="Z36" s="4571"/>
      <c r="AA36" s="4571"/>
      <c r="AB36" s="4571"/>
      <c r="AC36" s="4571"/>
      <c r="AD36" s="4571"/>
      <c r="AE36" s="4571"/>
      <c r="AF36" s="4571"/>
      <c r="AG36" s="4571"/>
      <c r="AH36" s="4571"/>
      <c r="AI36" s="4571"/>
      <c r="AJ36" s="4571"/>
      <c r="AK36" s="4571"/>
      <c r="AL36" s="4571"/>
      <c r="AM36" s="4571"/>
      <c r="AN36" s="4571"/>
      <c r="AO36" s="4571"/>
      <c r="AP36" s="4571"/>
      <c r="AQ36" s="4571"/>
      <c r="AR36" s="4571"/>
      <c r="AS36" s="4571"/>
      <c r="AT36" s="4571"/>
      <c r="AU36" s="4571"/>
      <c r="AV36" s="4571"/>
      <c r="AW36" s="4571"/>
      <c r="AX36" s="4571"/>
      <c r="AY36" s="4571"/>
      <c r="AZ36" s="4571"/>
      <c r="BA36" s="4571"/>
      <c r="BB36" s="4571"/>
      <c r="BC36" s="4571"/>
      <c r="BD36" s="4571"/>
      <c r="BE36" s="4571"/>
      <c r="BF36" s="4571"/>
      <c r="BG36" s="4571"/>
      <c r="BH36" s="4571"/>
      <c r="BI36" s="4582"/>
      <c r="BJ36" s="1420" t="s">
        <v>1118</v>
      </c>
      <c r="BK36" s="3578"/>
      <c r="BL36" s="3627"/>
      <c r="BM36" s="3627"/>
      <c r="BN36" s="3627"/>
      <c r="BO36" s="3627"/>
      <c r="BP36" s="4578"/>
    </row>
    <row r="37" spans="1:70" s="1372" customFormat="1" ht="46.5" customHeight="1" x14ac:dyDescent="0.25">
      <c r="A37" s="1373"/>
      <c r="B37" s="1374"/>
      <c r="C37" s="1375"/>
      <c r="D37" s="552"/>
      <c r="E37" s="552"/>
      <c r="F37" s="552"/>
      <c r="G37" s="2722"/>
      <c r="H37" s="4562"/>
      <c r="I37" s="2779"/>
      <c r="J37" s="3257"/>
      <c r="K37" s="3706"/>
      <c r="L37" s="3706"/>
      <c r="M37" s="914" t="s">
        <v>1184</v>
      </c>
      <c r="N37" s="4563"/>
      <c r="O37" s="4565"/>
      <c r="P37" s="3056"/>
      <c r="Q37" s="4572"/>
      <c r="R37" s="2725"/>
      <c r="S37" s="4574"/>
      <c r="T37" s="2779"/>
      <c r="U37" s="1983">
        <v>37040000</v>
      </c>
      <c r="V37" s="1388">
        <v>0</v>
      </c>
      <c r="W37" s="1388">
        <v>0</v>
      </c>
      <c r="X37" s="1396">
        <v>4</v>
      </c>
      <c r="Y37" s="1421" t="s">
        <v>1135</v>
      </c>
      <c r="Z37" s="4571"/>
      <c r="AA37" s="4571"/>
      <c r="AB37" s="4571"/>
      <c r="AC37" s="4571"/>
      <c r="AD37" s="4571"/>
      <c r="AE37" s="4571"/>
      <c r="AF37" s="4571"/>
      <c r="AG37" s="4571"/>
      <c r="AH37" s="4571"/>
      <c r="AI37" s="4571"/>
      <c r="AJ37" s="4571"/>
      <c r="AK37" s="4571"/>
      <c r="AL37" s="4571"/>
      <c r="AM37" s="4571"/>
      <c r="AN37" s="4571"/>
      <c r="AO37" s="4571"/>
      <c r="AP37" s="4571"/>
      <c r="AQ37" s="4571"/>
      <c r="AR37" s="4571"/>
      <c r="AS37" s="4571"/>
      <c r="AT37" s="4571"/>
      <c r="AU37" s="4571"/>
      <c r="AV37" s="4571"/>
      <c r="AW37" s="4571"/>
      <c r="AX37" s="4571"/>
      <c r="AY37" s="4571"/>
      <c r="AZ37" s="4571"/>
      <c r="BA37" s="4571"/>
      <c r="BB37" s="4571"/>
      <c r="BC37" s="4571"/>
      <c r="BD37" s="4571"/>
      <c r="BE37" s="4571"/>
      <c r="BF37" s="4571"/>
      <c r="BG37" s="4571"/>
      <c r="BH37" s="4571"/>
      <c r="BI37" s="4582"/>
      <c r="BJ37" s="1422" t="s">
        <v>1135</v>
      </c>
      <c r="BK37" s="3578"/>
      <c r="BL37" s="3627"/>
      <c r="BM37" s="3627"/>
      <c r="BN37" s="3627"/>
      <c r="BO37" s="3627"/>
      <c r="BP37" s="4578"/>
    </row>
    <row r="38" spans="1:70" s="1372" customFormat="1" ht="46.5" customHeight="1" x14ac:dyDescent="0.25">
      <c r="A38" s="1373"/>
      <c r="B38" s="1374"/>
      <c r="C38" s="1375"/>
      <c r="D38" s="552"/>
      <c r="E38" s="552"/>
      <c r="F38" s="552"/>
      <c r="G38" s="2722"/>
      <c r="H38" s="4562"/>
      <c r="I38" s="2779"/>
      <c r="J38" s="3257"/>
      <c r="K38" s="3706"/>
      <c r="L38" s="3706"/>
      <c r="M38" s="914" t="s">
        <v>1185</v>
      </c>
      <c r="N38" s="4563"/>
      <c r="O38" s="4565"/>
      <c r="P38" s="3056"/>
      <c r="Q38" s="4572"/>
      <c r="R38" s="2725"/>
      <c r="S38" s="4574"/>
      <c r="T38" s="2779"/>
      <c r="U38" s="1983">
        <v>383864742</v>
      </c>
      <c r="V38" s="1423">
        <v>297550394</v>
      </c>
      <c r="W38" s="1423">
        <v>297550394</v>
      </c>
      <c r="X38" s="1396">
        <v>7</v>
      </c>
      <c r="Y38" s="1419" t="s">
        <v>1186</v>
      </c>
      <c r="Z38" s="4571"/>
      <c r="AA38" s="4571"/>
      <c r="AB38" s="4571"/>
      <c r="AC38" s="4571"/>
      <c r="AD38" s="4571"/>
      <c r="AE38" s="4571"/>
      <c r="AF38" s="4571"/>
      <c r="AG38" s="4571"/>
      <c r="AH38" s="4571"/>
      <c r="AI38" s="4571"/>
      <c r="AJ38" s="4571"/>
      <c r="AK38" s="4571"/>
      <c r="AL38" s="4571"/>
      <c r="AM38" s="4571"/>
      <c r="AN38" s="4571"/>
      <c r="AO38" s="4571"/>
      <c r="AP38" s="4571"/>
      <c r="AQ38" s="4571"/>
      <c r="AR38" s="4571"/>
      <c r="AS38" s="4571"/>
      <c r="AT38" s="4571"/>
      <c r="AU38" s="4571"/>
      <c r="AV38" s="4571"/>
      <c r="AW38" s="4571"/>
      <c r="AX38" s="4571"/>
      <c r="AY38" s="4571"/>
      <c r="AZ38" s="4571"/>
      <c r="BA38" s="4571"/>
      <c r="BB38" s="4571"/>
      <c r="BC38" s="4571"/>
      <c r="BD38" s="4571"/>
      <c r="BE38" s="4571"/>
      <c r="BF38" s="4571"/>
      <c r="BG38" s="4571"/>
      <c r="BH38" s="4571"/>
      <c r="BI38" s="4582"/>
      <c r="BJ38" s="1420" t="s">
        <v>1186</v>
      </c>
      <c r="BK38" s="3578"/>
      <c r="BL38" s="3627"/>
      <c r="BM38" s="3627"/>
      <c r="BN38" s="3627"/>
      <c r="BO38" s="3627"/>
      <c r="BP38" s="4578"/>
    </row>
    <row r="39" spans="1:70" s="1372" customFormat="1" ht="46.5" customHeight="1" x14ac:dyDescent="0.25">
      <c r="A39" s="1373"/>
      <c r="B39" s="1374"/>
      <c r="C39" s="1375"/>
      <c r="D39" s="552"/>
      <c r="E39" s="552"/>
      <c r="F39" s="552"/>
      <c r="G39" s="2722"/>
      <c r="H39" s="4562"/>
      <c r="I39" s="2779"/>
      <c r="J39" s="3257"/>
      <c r="K39" s="3706"/>
      <c r="L39" s="3706"/>
      <c r="M39" s="924" t="s">
        <v>1187</v>
      </c>
      <c r="N39" s="4563"/>
      <c r="O39" s="4565"/>
      <c r="P39" s="3056"/>
      <c r="Q39" s="4572"/>
      <c r="R39" s="2725"/>
      <c r="S39" s="4574"/>
      <c r="T39" s="2779"/>
      <c r="U39" s="1983">
        <v>30000000</v>
      </c>
      <c r="V39" s="1388">
        <v>5150000</v>
      </c>
      <c r="W39" s="1388">
        <v>5150000</v>
      </c>
      <c r="X39" s="1396">
        <v>9</v>
      </c>
      <c r="Y39" s="1397" t="s">
        <v>1188</v>
      </c>
      <c r="Z39" s="4571"/>
      <c r="AA39" s="4571"/>
      <c r="AB39" s="4571"/>
      <c r="AC39" s="4571"/>
      <c r="AD39" s="4571"/>
      <c r="AE39" s="4571"/>
      <c r="AF39" s="4571"/>
      <c r="AG39" s="4571"/>
      <c r="AH39" s="4571"/>
      <c r="AI39" s="4571"/>
      <c r="AJ39" s="4571"/>
      <c r="AK39" s="4571"/>
      <c r="AL39" s="4571"/>
      <c r="AM39" s="4571"/>
      <c r="AN39" s="4571"/>
      <c r="AO39" s="4571"/>
      <c r="AP39" s="4571"/>
      <c r="AQ39" s="4571"/>
      <c r="AR39" s="4571"/>
      <c r="AS39" s="4571"/>
      <c r="AT39" s="4571"/>
      <c r="AU39" s="4571"/>
      <c r="AV39" s="4571"/>
      <c r="AW39" s="4571"/>
      <c r="AX39" s="4571"/>
      <c r="AY39" s="4571"/>
      <c r="AZ39" s="4571"/>
      <c r="BA39" s="4571"/>
      <c r="BB39" s="4571"/>
      <c r="BC39" s="4571"/>
      <c r="BD39" s="4571"/>
      <c r="BE39" s="4571"/>
      <c r="BF39" s="4571"/>
      <c r="BG39" s="4571"/>
      <c r="BH39" s="4571"/>
      <c r="BI39" s="4582"/>
      <c r="BJ39" s="1398" t="s">
        <v>1188</v>
      </c>
      <c r="BK39" s="3578"/>
      <c r="BL39" s="3627"/>
      <c r="BM39" s="3627"/>
      <c r="BN39" s="3627"/>
      <c r="BO39" s="3627"/>
      <c r="BP39" s="4578"/>
    </row>
    <row r="40" spans="1:70" s="1372" customFormat="1" ht="36.75" customHeight="1" x14ac:dyDescent="0.25">
      <c r="A40" s="1373"/>
      <c r="B40" s="1374"/>
      <c r="C40" s="1375"/>
      <c r="D40" s="552"/>
      <c r="E40" s="552"/>
      <c r="F40" s="552"/>
      <c r="G40" s="2722"/>
      <c r="H40" s="4562"/>
      <c r="I40" s="2779"/>
      <c r="J40" s="3257"/>
      <c r="K40" s="3706"/>
      <c r="L40" s="3706"/>
      <c r="M40" s="924" t="s">
        <v>1189</v>
      </c>
      <c r="N40" s="4563"/>
      <c r="O40" s="4565"/>
      <c r="P40" s="3056"/>
      <c r="Q40" s="4572"/>
      <c r="R40" s="2725"/>
      <c r="S40" s="4574"/>
      <c r="T40" s="2779"/>
      <c r="U40" s="1983">
        <v>58097994</v>
      </c>
      <c r="V40" s="1423">
        <v>30954112</v>
      </c>
      <c r="W40" s="1423">
        <v>30954112</v>
      </c>
      <c r="X40" s="1396">
        <v>12</v>
      </c>
      <c r="Y40" s="1397" t="s">
        <v>1107</v>
      </c>
      <c r="Z40" s="4571"/>
      <c r="AA40" s="4571"/>
      <c r="AB40" s="4571"/>
      <c r="AC40" s="4571"/>
      <c r="AD40" s="4571"/>
      <c r="AE40" s="4571"/>
      <c r="AF40" s="4571"/>
      <c r="AG40" s="4571"/>
      <c r="AH40" s="4571"/>
      <c r="AI40" s="4571"/>
      <c r="AJ40" s="4571"/>
      <c r="AK40" s="4571"/>
      <c r="AL40" s="4571"/>
      <c r="AM40" s="4571"/>
      <c r="AN40" s="4571"/>
      <c r="AO40" s="4571"/>
      <c r="AP40" s="4571"/>
      <c r="AQ40" s="4571"/>
      <c r="AR40" s="4571"/>
      <c r="AS40" s="4571"/>
      <c r="AT40" s="4571"/>
      <c r="AU40" s="4571"/>
      <c r="AV40" s="4571"/>
      <c r="AW40" s="4571"/>
      <c r="AX40" s="4571"/>
      <c r="AY40" s="4571"/>
      <c r="AZ40" s="4571"/>
      <c r="BA40" s="4571"/>
      <c r="BB40" s="4571"/>
      <c r="BC40" s="4571"/>
      <c r="BD40" s="4571"/>
      <c r="BE40" s="4571"/>
      <c r="BF40" s="4571"/>
      <c r="BG40" s="4571"/>
      <c r="BH40" s="4571"/>
      <c r="BI40" s="4582"/>
      <c r="BJ40" s="1398" t="s">
        <v>1107</v>
      </c>
      <c r="BK40" s="3578"/>
      <c r="BL40" s="3627"/>
      <c r="BM40" s="3627"/>
      <c r="BN40" s="3627"/>
      <c r="BO40" s="3627"/>
      <c r="BP40" s="4578"/>
    </row>
    <row r="41" spans="1:70" s="1372" customFormat="1" ht="46.5" customHeight="1" x14ac:dyDescent="0.25">
      <c r="A41" s="1373"/>
      <c r="B41" s="1374"/>
      <c r="C41" s="1375"/>
      <c r="D41" s="552"/>
      <c r="E41" s="552"/>
      <c r="F41" s="552"/>
      <c r="G41" s="2722"/>
      <c r="H41" s="4562"/>
      <c r="I41" s="2779"/>
      <c r="J41" s="3257"/>
      <c r="K41" s="3706"/>
      <c r="L41" s="3706"/>
      <c r="M41" s="924" t="s">
        <v>1190</v>
      </c>
      <c r="N41" s="4563"/>
      <c r="O41" s="4565"/>
      <c r="P41" s="3056"/>
      <c r="Q41" s="4572"/>
      <c r="R41" s="2725"/>
      <c r="S41" s="4574"/>
      <c r="T41" s="2779"/>
      <c r="U41" s="1983">
        <v>1440769.3</v>
      </c>
      <c r="V41" s="1388">
        <v>0</v>
      </c>
      <c r="W41" s="1388">
        <v>0</v>
      </c>
      <c r="X41" s="1396">
        <v>16</v>
      </c>
      <c r="Y41" s="1397" t="s">
        <v>1191</v>
      </c>
      <c r="Z41" s="4571"/>
      <c r="AA41" s="4571"/>
      <c r="AB41" s="4571"/>
      <c r="AC41" s="4571"/>
      <c r="AD41" s="4571"/>
      <c r="AE41" s="4571"/>
      <c r="AF41" s="4571"/>
      <c r="AG41" s="4571"/>
      <c r="AH41" s="4571"/>
      <c r="AI41" s="4571"/>
      <c r="AJ41" s="4571"/>
      <c r="AK41" s="4571"/>
      <c r="AL41" s="4571"/>
      <c r="AM41" s="4571"/>
      <c r="AN41" s="4571"/>
      <c r="AO41" s="4571"/>
      <c r="AP41" s="4571"/>
      <c r="AQ41" s="4571"/>
      <c r="AR41" s="4571"/>
      <c r="AS41" s="4571"/>
      <c r="AT41" s="4571"/>
      <c r="AU41" s="4571"/>
      <c r="AV41" s="4571"/>
      <c r="AW41" s="4571"/>
      <c r="AX41" s="4571"/>
      <c r="AY41" s="4571"/>
      <c r="AZ41" s="4571"/>
      <c r="BA41" s="4571"/>
      <c r="BB41" s="4571"/>
      <c r="BC41" s="4571"/>
      <c r="BD41" s="4571"/>
      <c r="BE41" s="4571"/>
      <c r="BF41" s="4571"/>
      <c r="BG41" s="4571"/>
      <c r="BH41" s="4571"/>
      <c r="BI41" s="4582"/>
      <c r="BJ41" s="1398" t="s">
        <v>1191</v>
      </c>
      <c r="BK41" s="3578"/>
      <c r="BL41" s="3627"/>
      <c r="BM41" s="3627"/>
      <c r="BN41" s="3627"/>
      <c r="BO41" s="3627"/>
      <c r="BP41" s="4578"/>
    </row>
    <row r="42" spans="1:70" s="1372" customFormat="1" ht="42" customHeight="1" x14ac:dyDescent="0.25">
      <c r="A42" s="1373"/>
      <c r="B42" s="1374"/>
      <c r="C42" s="1375"/>
      <c r="D42" s="552"/>
      <c r="E42" s="552"/>
      <c r="F42" s="552"/>
      <c r="G42" s="2722"/>
      <c r="H42" s="4562"/>
      <c r="I42" s="2779"/>
      <c r="J42" s="3257"/>
      <c r="K42" s="3706"/>
      <c r="L42" s="3706"/>
      <c r="M42" s="924" t="s">
        <v>1192</v>
      </c>
      <c r="N42" s="4563"/>
      <c r="O42" s="4565"/>
      <c r="P42" s="3056"/>
      <c r="Q42" s="4572"/>
      <c r="R42" s="2725"/>
      <c r="S42" s="4574"/>
      <c r="T42" s="2779"/>
      <c r="U42" s="1983">
        <v>4974259.8600000003</v>
      </c>
      <c r="V42" s="1388">
        <v>663023</v>
      </c>
      <c r="W42" s="1388">
        <v>663023</v>
      </c>
      <c r="X42" s="1396">
        <v>17</v>
      </c>
      <c r="Y42" s="1397" t="s">
        <v>1193</v>
      </c>
      <c r="Z42" s="4571"/>
      <c r="AA42" s="4571"/>
      <c r="AB42" s="4571"/>
      <c r="AC42" s="4571"/>
      <c r="AD42" s="4571"/>
      <c r="AE42" s="4571"/>
      <c r="AF42" s="4571"/>
      <c r="AG42" s="4571"/>
      <c r="AH42" s="4571"/>
      <c r="AI42" s="4571"/>
      <c r="AJ42" s="4571"/>
      <c r="AK42" s="4571"/>
      <c r="AL42" s="4571"/>
      <c r="AM42" s="4571"/>
      <c r="AN42" s="4571"/>
      <c r="AO42" s="4571"/>
      <c r="AP42" s="4571"/>
      <c r="AQ42" s="4571"/>
      <c r="AR42" s="4571"/>
      <c r="AS42" s="4571"/>
      <c r="AT42" s="4571"/>
      <c r="AU42" s="4571"/>
      <c r="AV42" s="4571"/>
      <c r="AW42" s="4571"/>
      <c r="AX42" s="4571"/>
      <c r="AY42" s="4571"/>
      <c r="AZ42" s="4571"/>
      <c r="BA42" s="4571"/>
      <c r="BB42" s="4571"/>
      <c r="BC42" s="4571"/>
      <c r="BD42" s="4571"/>
      <c r="BE42" s="4571"/>
      <c r="BF42" s="4571"/>
      <c r="BG42" s="4571"/>
      <c r="BH42" s="4571"/>
      <c r="BI42" s="4582"/>
      <c r="BJ42" s="1398" t="s">
        <v>1193</v>
      </c>
      <c r="BK42" s="3578"/>
      <c r="BL42" s="3627"/>
      <c r="BM42" s="3627"/>
      <c r="BN42" s="3627"/>
      <c r="BO42" s="3627"/>
      <c r="BP42" s="4578"/>
    </row>
    <row r="43" spans="1:70" s="1372" customFormat="1" ht="74.25" customHeight="1" x14ac:dyDescent="0.25">
      <c r="A43" s="1373"/>
      <c r="B43" s="1374"/>
      <c r="C43" s="1375"/>
      <c r="D43" s="552"/>
      <c r="E43" s="552"/>
      <c r="F43" s="552"/>
      <c r="G43" s="2722"/>
      <c r="H43" s="4562"/>
      <c r="I43" s="2779"/>
      <c r="J43" s="3257"/>
      <c r="K43" s="3706"/>
      <c r="L43" s="3706"/>
      <c r="M43" s="924" t="s">
        <v>1194</v>
      </c>
      <c r="N43" s="4563"/>
      <c r="O43" s="4565"/>
      <c r="P43" s="3056"/>
      <c r="Q43" s="4572"/>
      <c r="R43" s="2725"/>
      <c r="S43" s="4574"/>
      <c r="T43" s="2779"/>
      <c r="U43" s="1983">
        <v>10427870</v>
      </c>
      <c r="V43" s="1388">
        <v>187870</v>
      </c>
      <c r="W43" s="1388">
        <v>187870</v>
      </c>
      <c r="X43" s="1396">
        <v>18</v>
      </c>
      <c r="Y43" s="1397" t="s">
        <v>1193</v>
      </c>
      <c r="Z43" s="4571"/>
      <c r="AA43" s="4571"/>
      <c r="AB43" s="4571"/>
      <c r="AC43" s="4571"/>
      <c r="AD43" s="4571"/>
      <c r="AE43" s="4571"/>
      <c r="AF43" s="4571"/>
      <c r="AG43" s="4571"/>
      <c r="AH43" s="4571"/>
      <c r="AI43" s="4571"/>
      <c r="AJ43" s="4571"/>
      <c r="AK43" s="4571"/>
      <c r="AL43" s="4571"/>
      <c r="AM43" s="4571"/>
      <c r="AN43" s="4571"/>
      <c r="AO43" s="4571"/>
      <c r="AP43" s="4571"/>
      <c r="AQ43" s="4571"/>
      <c r="AR43" s="4571"/>
      <c r="AS43" s="4571"/>
      <c r="AT43" s="4571"/>
      <c r="AU43" s="4571"/>
      <c r="AV43" s="4571"/>
      <c r="AW43" s="4571"/>
      <c r="AX43" s="4571"/>
      <c r="AY43" s="4571"/>
      <c r="AZ43" s="4571"/>
      <c r="BA43" s="4571"/>
      <c r="BB43" s="4571"/>
      <c r="BC43" s="4571"/>
      <c r="BD43" s="4571"/>
      <c r="BE43" s="4571"/>
      <c r="BF43" s="4571"/>
      <c r="BG43" s="4571"/>
      <c r="BH43" s="4571"/>
      <c r="BI43" s="4582"/>
      <c r="BJ43" s="1398" t="s">
        <v>1193</v>
      </c>
      <c r="BK43" s="3578"/>
      <c r="BL43" s="3627"/>
      <c r="BM43" s="3627"/>
      <c r="BN43" s="3627"/>
      <c r="BO43" s="3627"/>
      <c r="BP43" s="4578"/>
    </row>
    <row r="44" spans="1:70" s="1372" customFormat="1" ht="44.25" customHeight="1" x14ac:dyDescent="0.25">
      <c r="A44" s="1373"/>
      <c r="B44" s="1374"/>
      <c r="C44" s="1375"/>
      <c r="D44" s="552"/>
      <c r="E44" s="552"/>
      <c r="F44" s="552"/>
      <c r="G44" s="2722"/>
      <c r="H44" s="4562"/>
      <c r="I44" s="2779"/>
      <c r="J44" s="3257"/>
      <c r="K44" s="3706"/>
      <c r="L44" s="3706"/>
      <c r="M44" s="924" t="s">
        <v>1195</v>
      </c>
      <c r="N44" s="4563"/>
      <c r="O44" s="4565"/>
      <c r="P44" s="3056"/>
      <c r="Q44" s="4572"/>
      <c r="R44" s="2725"/>
      <c r="S44" s="4574"/>
      <c r="T44" s="2779"/>
      <c r="U44" s="1983">
        <v>7527628.4199999999</v>
      </c>
      <c r="V44" s="1388">
        <v>7527628</v>
      </c>
      <c r="W44" s="1388">
        <v>7527628</v>
      </c>
      <c r="X44" s="1396">
        <v>19</v>
      </c>
      <c r="Y44" s="1397" t="s">
        <v>1196</v>
      </c>
      <c r="Z44" s="4571"/>
      <c r="AA44" s="4571"/>
      <c r="AB44" s="4571"/>
      <c r="AC44" s="4571"/>
      <c r="AD44" s="4571"/>
      <c r="AE44" s="4571"/>
      <c r="AF44" s="4571"/>
      <c r="AG44" s="4571"/>
      <c r="AH44" s="4571"/>
      <c r="AI44" s="4571"/>
      <c r="AJ44" s="4571"/>
      <c r="AK44" s="4571"/>
      <c r="AL44" s="4571"/>
      <c r="AM44" s="4571"/>
      <c r="AN44" s="4571"/>
      <c r="AO44" s="4571"/>
      <c r="AP44" s="4571"/>
      <c r="AQ44" s="4571"/>
      <c r="AR44" s="4571"/>
      <c r="AS44" s="4571"/>
      <c r="AT44" s="4571"/>
      <c r="AU44" s="4571"/>
      <c r="AV44" s="4571"/>
      <c r="AW44" s="4571"/>
      <c r="AX44" s="4571"/>
      <c r="AY44" s="4571"/>
      <c r="AZ44" s="4571"/>
      <c r="BA44" s="4571"/>
      <c r="BB44" s="4571"/>
      <c r="BC44" s="4571"/>
      <c r="BD44" s="4571"/>
      <c r="BE44" s="4571"/>
      <c r="BF44" s="4571"/>
      <c r="BG44" s="4571"/>
      <c r="BH44" s="4571"/>
      <c r="BI44" s="4582"/>
      <c r="BJ44" s="1398" t="s">
        <v>1196</v>
      </c>
      <c r="BK44" s="3578"/>
      <c r="BL44" s="3627"/>
      <c r="BM44" s="3627"/>
      <c r="BN44" s="3627"/>
      <c r="BO44" s="3627"/>
      <c r="BP44" s="4578"/>
    </row>
    <row r="45" spans="1:70" s="1372" customFormat="1" ht="46.5" customHeight="1" x14ac:dyDescent="0.25">
      <c r="A45" s="1373"/>
      <c r="B45" s="1374"/>
      <c r="C45" s="1375"/>
      <c r="D45" s="552"/>
      <c r="E45" s="552"/>
      <c r="F45" s="552"/>
      <c r="G45" s="2722"/>
      <c r="H45" s="4562"/>
      <c r="I45" s="2779"/>
      <c r="J45" s="3257"/>
      <c r="K45" s="3706"/>
      <c r="L45" s="3706"/>
      <c r="M45" s="924" t="s">
        <v>1197</v>
      </c>
      <c r="N45" s="4563"/>
      <c r="O45" s="4565"/>
      <c r="P45" s="3056"/>
      <c r="Q45" s="4572"/>
      <c r="R45" s="2725"/>
      <c r="S45" s="4574"/>
      <c r="T45" s="2779"/>
      <c r="U45" s="1983">
        <v>2525593.2000000002</v>
      </c>
      <c r="V45" s="1388">
        <v>2525593</v>
      </c>
      <c r="W45" s="1388">
        <v>2525593</v>
      </c>
      <c r="X45" s="1396">
        <v>20</v>
      </c>
      <c r="Y45" s="1397" t="s">
        <v>1198</v>
      </c>
      <c r="Z45" s="4571"/>
      <c r="AA45" s="4571"/>
      <c r="AB45" s="4571"/>
      <c r="AC45" s="4571"/>
      <c r="AD45" s="4571"/>
      <c r="AE45" s="4571"/>
      <c r="AF45" s="4571"/>
      <c r="AG45" s="4571"/>
      <c r="AH45" s="4571"/>
      <c r="AI45" s="4571"/>
      <c r="AJ45" s="4571"/>
      <c r="AK45" s="4571"/>
      <c r="AL45" s="4571"/>
      <c r="AM45" s="4571"/>
      <c r="AN45" s="4571"/>
      <c r="AO45" s="4571"/>
      <c r="AP45" s="4571"/>
      <c r="AQ45" s="4571"/>
      <c r="AR45" s="4571"/>
      <c r="AS45" s="4571"/>
      <c r="AT45" s="4571"/>
      <c r="AU45" s="4571"/>
      <c r="AV45" s="4571"/>
      <c r="AW45" s="4571"/>
      <c r="AX45" s="4571"/>
      <c r="AY45" s="4571"/>
      <c r="AZ45" s="4571"/>
      <c r="BA45" s="4571"/>
      <c r="BB45" s="4571"/>
      <c r="BC45" s="4571"/>
      <c r="BD45" s="4571"/>
      <c r="BE45" s="4571"/>
      <c r="BF45" s="4571"/>
      <c r="BG45" s="4571"/>
      <c r="BH45" s="4571"/>
      <c r="BI45" s="4582"/>
      <c r="BJ45" s="1398" t="s">
        <v>1198</v>
      </c>
      <c r="BK45" s="3578"/>
      <c r="BL45" s="3627"/>
      <c r="BM45" s="3627"/>
      <c r="BN45" s="3627"/>
      <c r="BO45" s="3627"/>
      <c r="BP45" s="4578"/>
    </row>
    <row r="46" spans="1:70" s="1372" customFormat="1" ht="46.5" customHeight="1" x14ac:dyDescent="0.25">
      <c r="A46" s="1373"/>
      <c r="B46" s="1374"/>
      <c r="C46" s="1375"/>
      <c r="D46" s="552"/>
      <c r="E46" s="552"/>
      <c r="F46" s="552"/>
      <c r="G46" s="2722"/>
      <c r="H46" s="4562"/>
      <c r="I46" s="2779"/>
      <c r="J46" s="3257"/>
      <c r="K46" s="3706"/>
      <c r="L46" s="3706"/>
      <c r="M46" s="924" t="s">
        <v>1199</v>
      </c>
      <c r="N46" s="4563"/>
      <c r="O46" s="4565"/>
      <c r="P46" s="3056"/>
      <c r="Q46" s="4572"/>
      <c r="R46" s="2725"/>
      <c r="S46" s="4574"/>
      <c r="T46" s="2779"/>
      <c r="U46" s="1983">
        <v>23454045</v>
      </c>
      <c r="V46" s="1388">
        <v>0</v>
      </c>
      <c r="W46" s="1388">
        <v>0</v>
      </c>
      <c r="X46" s="1396">
        <v>3</v>
      </c>
      <c r="Y46" s="1397" t="s">
        <v>1200</v>
      </c>
      <c r="Z46" s="4571"/>
      <c r="AA46" s="4571"/>
      <c r="AB46" s="4571"/>
      <c r="AC46" s="4571"/>
      <c r="AD46" s="4571"/>
      <c r="AE46" s="4571"/>
      <c r="AF46" s="4571"/>
      <c r="AG46" s="4571"/>
      <c r="AH46" s="4571"/>
      <c r="AI46" s="4571"/>
      <c r="AJ46" s="4571"/>
      <c r="AK46" s="4571"/>
      <c r="AL46" s="4571"/>
      <c r="AM46" s="4571"/>
      <c r="AN46" s="4571"/>
      <c r="AO46" s="4571"/>
      <c r="AP46" s="4571"/>
      <c r="AQ46" s="4571"/>
      <c r="AR46" s="4571"/>
      <c r="AS46" s="4571"/>
      <c r="AT46" s="4571"/>
      <c r="AU46" s="4571"/>
      <c r="AV46" s="4571"/>
      <c r="AW46" s="4571"/>
      <c r="AX46" s="4571"/>
      <c r="AY46" s="4571"/>
      <c r="AZ46" s="4571"/>
      <c r="BA46" s="4571"/>
      <c r="BB46" s="4571"/>
      <c r="BC46" s="4571"/>
      <c r="BD46" s="4571"/>
      <c r="BE46" s="4571"/>
      <c r="BF46" s="4571"/>
      <c r="BG46" s="4571"/>
      <c r="BH46" s="4571"/>
      <c r="BI46" s="4582"/>
      <c r="BJ46" s="1398" t="s">
        <v>1200</v>
      </c>
      <c r="BK46" s="3578"/>
      <c r="BL46" s="3627"/>
      <c r="BM46" s="3627"/>
      <c r="BN46" s="3627"/>
      <c r="BO46" s="3627"/>
      <c r="BP46" s="4578"/>
    </row>
    <row r="47" spans="1:70" s="1372" customFormat="1" ht="46.5" customHeight="1" x14ac:dyDescent="0.25">
      <c r="A47" s="1373"/>
      <c r="B47" s="1374"/>
      <c r="C47" s="1375"/>
      <c r="D47" s="552"/>
      <c r="E47" s="552"/>
      <c r="F47" s="552"/>
      <c r="G47" s="2722"/>
      <c r="H47" s="4562"/>
      <c r="I47" s="2779"/>
      <c r="J47" s="3257"/>
      <c r="K47" s="3706"/>
      <c r="L47" s="3706"/>
      <c r="M47" s="924" t="s">
        <v>1201</v>
      </c>
      <c r="N47" s="4563"/>
      <c r="O47" s="4565"/>
      <c r="P47" s="3056"/>
      <c r="Q47" s="4572"/>
      <c r="R47" s="2725"/>
      <c r="S47" s="4574"/>
      <c r="T47" s="2779"/>
      <c r="U47" s="1983">
        <v>38600090</v>
      </c>
      <c r="V47" s="1388">
        <v>1269107</v>
      </c>
      <c r="W47" s="1388">
        <v>1269107</v>
      </c>
      <c r="X47" s="1396">
        <v>4</v>
      </c>
      <c r="Y47" s="1397" t="s">
        <v>1135</v>
      </c>
      <c r="Z47" s="4571"/>
      <c r="AA47" s="4571"/>
      <c r="AB47" s="4571"/>
      <c r="AC47" s="4571"/>
      <c r="AD47" s="4571"/>
      <c r="AE47" s="4571"/>
      <c r="AF47" s="4571"/>
      <c r="AG47" s="4571"/>
      <c r="AH47" s="4571"/>
      <c r="AI47" s="4571"/>
      <c r="AJ47" s="4571"/>
      <c r="AK47" s="4571"/>
      <c r="AL47" s="4571"/>
      <c r="AM47" s="4571"/>
      <c r="AN47" s="4571"/>
      <c r="AO47" s="4571"/>
      <c r="AP47" s="4571"/>
      <c r="AQ47" s="4571"/>
      <c r="AR47" s="4571"/>
      <c r="AS47" s="4571"/>
      <c r="AT47" s="4571"/>
      <c r="AU47" s="4571"/>
      <c r="AV47" s="4571"/>
      <c r="AW47" s="4571"/>
      <c r="AX47" s="4571"/>
      <c r="AY47" s="4571"/>
      <c r="AZ47" s="4571"/>
      <c r="BA47" s="4571"/>
      <c r="BB47" s="4571"/>
      <c r="BC47" s="4571"/>
      <c r="BD47" s="4571"/>
      <c r="BE47" s="4571"/>
      <c r="BF47" s="4571"/>
      <c r="BG47" s="4571"/>
      <c r="BH47" s="4571"/>
      <c r="BI47" s="4582"/>
      <c r="BJ47" s="1398" t="s">
        <v>1135</v>
      </c>
      <c r="BK47" s="3578"/>
      <c r="BL47" s="3627"/>
      <c r="BM47" s="3627"/>
      <c r="BN47" s="3627"/>
      <c r="BO47" s="3627"/>
      <c r="BP47" s="4578"/>
    </row>
    <row r="48" spans="1:70" s="1372" customFormat="1" ht="46.5" customHeight="1" x14ac:dyDescent="0.25">
      <c r="A48" s="1373"/>
      <c r="B48" s="1374"/>
      <c r="C48" s="1375"/>
      <c r="D48" s="552"/>
      <c r="E48" s="552"/>
      <c r="F48" s="552"/>
      <c r="G48" s="2722"/>
      <c r="H48" s="4562"/>
      <c r="I48" s="2779"/>
      <c r="J48" s="3257"/>
      <c r="K48" s="3706"/>
      <c r="L48" s="3706"/>
      <c r="M48" s="924" t="s">
        <v>1202</v>
      </c>
      <c r="N48" s="4563"/>
      <c r="O48" s="4565"/>
      <c r="P48" s="3056"/>
      <c r="Q48" s="4572"/>
      <c r="R48" s="2725"/>
      <c r="S48" s="4574"/>
      <c r="T48" s="2779"/>
      <c r="U48" s="1983">
        <v>216000000</v>
      </c>
      <c r="V48" s="1388">
        <v>4000000</v>
      </c>
      <c r="W48" s="1388">
        <v>4000000</v>
      </c>
      <c r="X48" s="1396">
        <v>6</v>
      </c>
      <c r="Y48" s="1397" t="s">
        <v>1176</v>
      </c>
      <c r="Z48" s="4571"/>
      <c r="AA48" s="4571"/>
      <c r="AB48" s="4571"/>
      <c r="AC48" s="4571"/>
      <c r="AD48" s="4571"/>
      <c r="AE48" s="4571"/>
      <c r="AF48" s="4571"/>
      <c r="AG48" s="4571"/>
      <c r="AH48" s="4571"/>
      <c r="AI48" s="4571"/>
      <c r="AJ48" s="4571"/>
      <c r="AK48" s="4571"/>
      <c r="AL48" s="4571"/>
      <c r="AM48" s="4571"/>
      <c r="AN48" s="4571"/>
      <c r="AO48" s="4571"/>
      <c r="AP48" s="4571"/>
      <c r="AQ48" s="4571"/>
      <c r="AR48" s="4571"/>
      <c r="AS48" s="4571"/>
      <c r="AT48" s="4571"/>
      <c r="AU48" s="4571"/>
      <c r="AV48" s="4571"/>
      <c r="AW48" s="4571"/>
      <c r="AX48" s="4571"/>
      <c r="AY48" s="4571"/>
      <c r="AZ48" s="4571"/>
      <c r="BA48" s="4571"/>
      <c r="BB48" s="4571"/>
      <c r="BC48" s="4571"/>
      <c r="BD48" s="4571"/>
      <c r="BE48" s="4571"/>
      <c r="BF48" s="4571"/>
      <c r="BG48" s="4571"/>
      <c r="BH48" s="4571"/>
      <c r="BI48" s="4582"/>
      <c r="BJ48" s="1398" t="s">
        <v>1176</v>
      </c>
      <c r="BK48" s="3578"/>
      <c r="BL48" s="3627"/>
      <c r="BM48" s="3627"/>
      <c r="BN48" s="3627"/>
      <c r="BO48" s="3627"/>
      <c r="BP48" s="4578"/>
    </row>
    <row r="49" spans="1:68" s="1372" customFormat="1" ht="43.5" customHeight="1" x14ac:dyDescent="0.25">
      <c r="A49" s="1373"/>
      <c r="B49" s="1374"/>
      <c r="C49" s="1375"/>
      <c r="D49" s="552"/>
      <c r="E49" s="552"/>
      <c r="F49" s="552"/>
      <c r="G49" s="2722"/>
      <c r="H49" s="4562"/>
      <c r="I49" s="2779"/>
      <c r="J49" s="3257" t="s">
        <v>1126</v>
      </c>
      <c r="K49" s="3706">
        <v>12</v>
      </c>
      <c r="L49" s="3706">
        <v>11</v>
      </c>
      <c r="M49" s="924" t="s">
        <v>1203</v>
      </c>
      <c r="N49" s="4563"/>
      <c r="O49" s="4565"/>
      <c r="P49" s="3056">
        <f>+(U49+U50+U51)/1488175680.78</f>
        <v>0.22277656077959443</v>
      </c>
      <c r="Q49" s="4572"/>
      <c r="R49" s="2725"/>
      <c r="S49" s="4574"/>
      <c r="T49" s="2779"/>
      <c r="U49" s="1394">
        <v>113000000</v>
      </c>
      <c r="V49" s="1388">
        <v>0</v>
      </c>
      <c r="W49" s="1388">
        <v>0</v>
      </c>
      <c r="X49" s="1396">
        <v>12</v>
      </c>
      <c r="Y49" s="1397" t="s">
        <v>1107</v>
      </c>
      <c r="Z49" s="4571"/>
      <c r="AA49" s="4571"/>
      <c r="AB49" s="4571"/>
      <c r="AC49" s="4571"/>
      <c r="AD49" s="4571"/>
      <c r="AE49" s="4571"/>
      <c r="AF49" s="4571"/>
      <c r="AG49" s="4571"/>
      <c r="AH49" s="4571"/>
      <c r="AI49" s="4571"/>
      <c r="AJ49" s="4571"/>
      <c r="AK49" s="4571"/>
      <c r="AL49" s="4571"/>
      <c r="AM49" s="4571"/>
      <c r="AN49" s="4571"/>
      <c r="AO49" s="4571"/>
      <c r="AP49" s="4571"/>
      <c r="AQ49" s="4571"/>
      <c r="AR49" s="4571"/>
      <c r="AS49" s="4571"/>
      <c r="AT49" s="4571"/>
      <c r="AU49" s="4571"/>
      <c r="AV49" s="4571"/>
      <c r="AW49" s="4571"/>
      <c r="AX49" s="4571"/>
      <c r="AY49" s="4571"/>
      <c r="AZ49" s="4571"/>
      <c r="BA49" s="4571"/>
      <c r="BB49" s="4571"/>
      <c r="BC49" s="4571"/>
      <c r="BD49" s="4571"/>
      <c r="BE49" s="4571"/>
      <c r="BF49" s="4571"/>
      <c r="BG49" s="4571"/>
      <c r="BH49" s="4571"/>
      <c r="BI49" s="4582"/>
      <c r="BJ49" s="1398" t="s">
        <v>1107</v>
      </c>
      <c r="BK49" s="3578"/>
      <c r="BL49" s="3627"/>
      <c r="BM49" s="3627"/>
      <c r="BN49" s="3627"/>
      <c r="BO49" s="3627"/>
      <c r="BP49" s="4578"/>
    </row>
    <row r="50" spans="1:68" s="1372" customFormat="1" ht="43.5" customHeight="1" x14ac:dyDescent="0.25">
      <c r="A50" s="1373"/>
      <c r="B50" s="1374"/>
      <c r="C50" s="1375"/>
      <c r="D50" s="552"/>
      <c r="E50" s="552"/>
      <c r="F50" s="552"/>
      <c r="G50" s="2722"/>
      <c r="H50" s="4562"/>
      <c r="I50" s="2779"/>
      <c r="J50" s="3257"/>
      <c r="K50" s="3706"/>
      <c r="L50" s="3706"/>
      <c r="M50" s="924" t="s">
        <v>1204</v>
      </c>
      <c r="N50" s="4563"/>
      <c r="O50" s="4565"/>
      <c r="P50" s="3056"/>
      <c r="Q50" s="4572"/>
      <c r="R50" s="2725"/>
      <c r="S50" s="4574"/>
      <c r="T50" s="2779"/>
      <c r="U50" s="1394">
        <v>77772574</v>
      </c>
      <c r="V50" s="1388">
        <v>0</v>
      </c>
      <c r="W50" s="1388">
        <v>0</v>
      </c>
      <c r="X50" s="1396">
        <v>4</v>
      </c>
      <c r="Y50" s="1397" t="s">
        <v>1135</v>
      </c>
      <c r="Z50" s="4571"/>
      <c r="AA50" s="4571"/>
      <c r="AB50" s="4571"/>
      <c r="AC50" s="4571"/>
      <c r="AD50" s="4571"/>
      <c r="AE50" s="4571"/>
      <c r="AF50" s="4571"/>
      <c r="AG50" s="4571"/>
      <c r="AH50" s="4571"/>
      <c r="AI50" s="4571"/>
      <c r="AJ50" s="4571"/>
      <c r="AK50" s="4571"/>
      <c r="AL50" s="4571"/>
      <c r="AM50" s="4571"/>
      <c r="AN50" s="4571"/>
      <c r="AO50" s="4571"/>
      <c r="AP50" s="4571"/>
      <c r="AQ50" s="4571"/>
      <c r="AR50" s="4571"/>
      <c r="AS50" s="4571"/>
      <c r="AT50" s="4571"/>
      <c r="AU50" s="4571"/>
      <c r="AV50" s="4571"/>
      <c r="AW50" s="4571"/>
      <c r="AX50" s="4571"/>
      <c r="AY50" s="4571"/>
      <c r="AZ50" s="4571"/>
      <c r="BA50" s="4571"/>
      <c r="BB50" s="4571"/>
      <c r="BC50" s="4571"/>
      <c r="BD50" s="4571"/>
      <c r="BE50" s="4571"/>
      <c r="BF50" s="4571"/>
      <c r="BG50" s="4571"/>
      <c r="BH50" s="4571"/>
      <c r="BI50" s="4582"/>
      <c r="BJ50" s="1398" t="s">
        <v>1135</v>
      </c>
      <c r="BK50" s="3578"/>
      <c r="BL50" s="3627"/>
      <c r="BM50" s="3627"/>
      <c r="BN50" s="3627"/>
      <c r="BO50" s="3627"/>
      <c r="BP50" s="4578"/>
    </row>
    <row r="51" spans="1:68" s="1372" customFormat="1" ht="36" customHeight="1" x14ac:dyDescent="0.25">
      <c r="A51" s="1373"/>
      <c r="B51" s="1374"/>
      <c r="C51" s="1375"/>
      <c r="D51" s="552"/>
      <c r="E51" s="552"/>
      <c r="F51" s="552"/>
      <c r="G51" s="2723"/>
      <c r="H51" s="4562"/>
      <c r="I51" s="3273"/>
      <c r="J51" s="4501"/>
      <c r="K51" s="3706"/>
      <c r="L51" s="3706"/>
      <c r="M51" s="924" t="s">
        <v>1205</v>
      </c>
      <c r="N51" s="4563"/>
      <c r="O51" s="4565"/>
      <c r="P51" s="3056"/>
      <c r="Q51" s="4572"/>
      <c r="R51" s="2725"/>
      <c r="S51" s="3682"/>
      <c r="T51" s="2779"/>
      <c r="U51" s="1394">
        <v>140758086</v>
      </c>
      <c r="V51" s="1424">
        <v>27320003</v>
      </c>
      <c r="W51" s="1424">
        <v>27320003</v>
      </c>
      <c r="X51" s="1396">
        <v>7</v>
      </c>
      <c r="Y51" s="1397" t="s">
        <v>1186</v>
      </c>
      <c r="Z51" s="4571"/>
      <c r="AA51" s="4571"/>
      <c r="AB51" s="4571"/>
      <c r="AC51" s="4571"/>
      <c r="AD51" s="4571"/>
      <c r="AE51" s="4571"/>
      <c r="AF51" s="4571"/>
      <c r="AG51" s="4571"/>
      <c r="AH51" s="4571"/>
      <c r="AI51" s="4571"/>
      <c r="AJ51" s="4571"/>
      <c r="AK51" s="4571"/>
      <c r="AL51" s="4571"/>
      <c r="AM51" s="4571"/>
      <c r="AN51" s="4571"/>
      <c r="AO51" s="4571"/>
      <c r="AP51" s="4571"/>
      <c r="AQ51" s="4571"/>
      <c r="AR51" s="4571"/>
      <c r="AS51" s="4571"/>
      <c r="AT51" s="4571"/>
      <c r="AU51" s="4571"/>
      <c r="AV51" s="4571"/>
      <c r="AW51" s="4571"/>
      <c r="AX51" s="4571"/>
      <c r="AY51" s="4571"/>
      <c r="AZ51" s="4571"/>
      <c r="BA51" s="4571"/>
      <c r="BB51" s="4571"/>
      <c r="BC51" s="4571"/>
      <c r="BD51" s="4571"/>
      <c r="BE51" s="4571"/>
      <c r="BF51" s="4571"/>
      <c r="BG51" s="4571"/>
      <c r="BH51" s="4571"/>
      <c r="BI51" s="4582"/>
      <c r="BJ51" s="1398" t="s">
        <v>1186</v>
      </c>
      <c r="BK51" s="3578"/>
      <c r="BL51" s="3627"/>
      <c r="BM51" s="3627"/>
      <c r="BN51" s="3627"/>
      <c r="BO51" s="3627"/>
      <c r="BP51" s="4578"/>
    </row>
    <row r="52" spans="1:68" s="1372" customFormat="1" ht="64.5" customHeight="1" x14ac:dyDescent="0.25">
      <c r="A52" s="1373"/>
      <c r="B52" s="1374"/>
      <c r="C52" s="1375"/>
      <c r="D52" s="552"/>
      <c r="E52" s="552"/>
      <c r="F52" s="552"/>
      <c r="G52" s="2721"/>
      <c r="H52" s="2592" t="s">
        <v>1098</v>
      </c>
      <c r="I52" s="3260" t="s">
        <v>1099</v>
      </c>
      <c r="J52" s="3260" t="s">
        <v>1100</v>
      </c>
      <c r="K52" s="2601">
        <v>12</v>
      </c>
      <c r="L52" s="2601">
        <v>12</v>
      </c>
      <c r="M52" s="924" t="s">
        <v>1206</v>
      </c>
      <c r="N52" s="4563"/>
      <c r="O52" s="4565"/>
      <c r="P52" s="3056">
        <f>+(U52+U53+U54+U55)/(U12+U13+U14+U29+U52+U53+U54+U55)</f>
        <v>0.65982409639813189</v>
      </c>
      <c r="Q52" s="4572"/>
      <c r="R52" s="2725"/>
      <c r="S52" s="4579" t="s">
        <v>1207</v>
      </c>
      <c r="T52" s="4575" t="s">
        <v>1099</v>
      </c>
      <c r="U52" s="1394">
        <v>7260000</v>
      </c>
      <c r="V52" s="1388">
        <v>0</v>
      </c>
      <c r="W52" s="1388">
        <v>0</v>
      </c>
      <c r="X52" s="1396">
        <v>12</v>
      </c>
      <c r="Y52" s="1397" t="s">
        <v>1107</v>
      </c>
      <c r="Z52" s="4571"/>
      <c r="AA52" s="4571"/>
      <c r="AB52" s="4571"/>
      <c r="AC52" s="4571"/>
      <c r="AD52" s="4571"/>
      <c r="AE52" s="4571"/>
      <c r="AF52" s="4571"/>
      <c r="AG52" s="4571"/>
      <c r="AH52" s="4571"/>
      <c r="AI52" s="4571"/>
      <c r="AJ52" s="4571"/>
      <c r="AK52" s="4571"/>
      <c r="AL52" s="4571"/>
      <c r="AM52" s="4571"/>
      <c r="AN52" s="4571"/>
      <c r="AO52" s="4571"/>
      <c r="AP52" s="4571"/>
      <c r="AQ52" s="4571"/>
      <c r="AR52" s="4571"/>
      <c r="AS52" s="4571"/>
      <c r="AT52" s="4571"/>
      <c r="AU52" s="4571"/>
      <c r="AV52" s="4571"/>
      <c r="AW52" s="4571"/>
      <c r="AX52" s="4571"/>
      <c r="AY52" s="4571"/>
      <c r="AZ52" s="4571"/>
      <c r="BA52" s="4571"/>
      <c r="BB52" s="4571"/>
      <c r="BC52" s="4571"/>
      <c r="BD52" s="4571"/>
      <c r="BE52" s="4571"/>
      <c r="BF52" s="4571"/>
      <c r="BG52" s="4571"/>
      <c r="BH52" s="4571"/>
      <c r="BI52" s="4582"/>
      <c r="BJ52" s="1398" t="s">
        <v>1107</v>
      </c>
      <c r="BK52" s="3578"/>
      <c r="BL52" s="3627"/>
      <c r="BM52" s="3627"/>
      <c r="BN52" s="3627"/>
      <c r="BO52" s="3627"/>
      <c r="BP52" s="4578"/>
    </row>
    <row r="53" spans="1:68" s="1372" customFormat="1" ht="64.5" customHeight="1" x14ac:dyDescent="0.25">
      <c r="A53" s="1373"/>
      <c r="B53" s="1374"/>
      <c r="C53" s="1375"/>
      <c r="D53" s="552"/>
      <c r="E53" s="552"/>
      <c r="F53" s="552"/>
      <c r="G53" s="2722"/>
      <c r="H53" s="2592"/>
      <c r="I53" s="3260"/>
      <c r="J53" s="3260"/>
      <c r="K53" s="2598"/>
      <c r="L53" s="2598"/>
      <c r="M53" s="924" t="s">
        <v>1208</v>
      </c>
      <c r="N53" s="4563"/>
      <c r="O53" s="4565"/>
      <c r="P53" s="3056"/>
      <c r="Q53" s="4572"/>
      <c r="R53" s="2725"/>
      <c r="S53" s="4580"/>
      <c r="T53" s="4576"/>
      <c r="U53" s="1394">
        <v>224301000</v>
      </c>
      <c r="V53" s="1424">
        <v>153500734</v>
      </c>
      <c r="W53" s="1424">
        <v>153500734</v>
      </c>
      <c r="X53" s="1396">
        <v>7</v>
      </c>
      <c r="Y53" s="1397" t="s">
        <v>1186</v>
      </c>
      <c r="Z53" s="4571"/>
      <c r="AA53" s="4571"/>
      <c r="AB53" s="4571"/>
      <c r="AC53" s="4571"/>
      <c r="AD53" s="4571"/>
      <c r="AE53" s="4571"/>
      <c r="AF53" s="4571"/>
      <c r="AG53" s="4571"/>
      <c r="AH53" s="4571"/>
      <c r="AI53" s="4571"/>
      <c r="AJ53" s="4571"/>
      <c r="AK53" s="4571"/>
      <c r="AL53" s="4571"/>
      <c r="AM53" s="4571"/>
      <c r="AN53" s="4571"/>
      <c r="AO53" s="4571"/>
      <c r="AP53" s="4571"/>
      <c r="AQ53" s="4571"/>
      <c r="AR53" s="4571"/>
      <c r="AS53" s="4571"/>
      <c r="AT53" s="4571"/>
      <c r="AU53" s="4571"/>
      <c r="AV53" s="4571"/>
      <c r="AW53" s="4571"/>
      <c r="AX53" s="4571"/>
      <c r="AY53" s="4571"/>
      <c r="AZ53" s="4571"/>
      <c r="BA53" s="4571"/>
      <c r="BB53" s="4571"/>
      <c r="BC53" s="4571"/>
      <c r="BD53" s="4571"/>
      <c r="BE53" s="4571"/>
      <c r="BF53" s="4571"/>
      <c r="BG53" s="4571"/>
      <c r="BH53" s="4571"/>
      <c r="BI53" s="4582"/>
      <c r="BJ53" s="1398" t="s">
        <v>1186</v>
      </c>
      <c r="BK53" s="3578"/>
      <c r="BL53" s="3627"/>
      <c r="BM53" s="3627"/>
      <c r="BN53" s="3627"/>
      <c r="BO53" s="3627"/>
      <c r="BP53" s="4578"/>
    </row>
    <row r="54" spans="1:68" s="1372" customFormat="1" ht="64.5" customHeight="1" x14ac:dyDescent="0.25">
      <c r="A54" s="1373"/>
      <c r="B54" s="1374"/>
      <c r="C54" s="1375"/>
      <c r="D54" s="552"/>
      <c r="E54" s="552"/>
      <c r="F54" s="552"/>
      <c r="G54" s="2722"/>
      <c r="H54" s="2592"/>
      <c r="I54" s="3260"/>
      <c r="J54" s="3260"/>
      <c r="K54" s="2598"/>
      <c r="L54" s="2598"/>
      <c r="M54" s="924" t="s">
        <v>1209</v>
      </c>
      <c r="N54" s="4563"/>
      <c r="O54" s="4565"/>
      <c r="P54" s="3056"/>
      <c r="Q54" s="4572"/>
      <c r="R54" s="2725"/>
      <c r="S54" s="4580"/>
      <c r="T54" s="4576"/>
      <c r="U54" s="1394">
        <v>723418430</v>
      </c>
      <c r="V54" s="1424">
        <v>723418430</v>
      </c>
      <c r="W54" s="1424">
        <v>723418430</v>
      </c>
      <c r="X54" s="1396">
        <v>5</v>
      </c>
      <c r="Y54" s="1397" t="s">
        <v>1210</v>
      </c>
      <c r="Z54" s="4571"/>
      <c r="AA54" s="4571"/>
      <c r="AB54" s="4571"/>
      <c r="AC54" s="4571"/>
      <c r="AD54" s="4571"/>
      <c r="AE54" s="4571"/>
      <c r="AF54" s="4571"/>
      <c r="AG54" s="4571"/>
      <c r="AH54" s="4571"/>
      <c r="AI54" s="4571"/>
      <c r="AJ54" s="4571"/>
      <c r="AK54" s="4571"/>
      <c r="AL54" s="4571"/>
      <c r="AM54" s="4571"/>
      <c r="AN54" s="4571"/>
      <c r="AO54" s="4571"/>
      <c r="AP54" s="4571"/>
      <c r="AQ54" s="4571"/>
      <c r="AR54" s="4571"/>
      <c r="AS54" s="4571"/>
      <c r="AT54" s="4571"/>
      <c r="AU54" s="4571"/>
      <c r="AV54" s="4571"/>
      <c r="AW54" s="4571"/>
      <c r="AX54" s="4571"/>
      <c r="AY54" s="4571"/>
      <c r="AZ54" s="4571"/>
      <c r="BA54" s="4571"/>
      <c r="BB54" s="4571"/>
      <c r="BC54" s="4571"/>
      <c r="BD54" s="4571"/>
      <c r="BE54" s="4571"/>
      <c r="BF54" s="4571"/>
      <c r="BG54" s="4571"/>
      <c r="BH54" s="4571"/>
      <c r="BI54" s="4582"/>
      <c r="BJ54" s="1398" t="s">
        <v>1210</v>
      </c>
      <c r="BK54" s="3578"/>
      <c r="BL54" s="3627"/>
      <c r="BM54" s="3627"/>
      <c r="BN54" s="3627"/>
      <c r="BO54" s="3627"/>
      <c r="BP54" s="4578"/>
    </row>
    <row r="55" spans="1:68" s="1372" customFormat="1" ht="64.5" customHeight="1" x14ac:dyDescent="0.25">
      <c r="A55" s="1373"/>
      <c r="B55" s="1374"/>
      <c r="C55" s="1375"/>
      <c r="D55" s="552"/>
      <c r="E55" s="552"/>
      <c r="F55" s="552"/>
      <c r="G55" s="2723"/>
      <c r="H55" s="2592"/>
      <c r="I55" s="3260"/>
      <c r="J55" s="3260"/>
      <c r="K55" s="4583"/>
      <c r="L55" s="4583"/>
      <c r="M55" s="924" t="s">
        <v>1211</v>
      </c>
      <c r="N55" s="4563"/>
      <c r="O55" s="4565"/>
      <c r="P55" s="3056"/>
      <c r="Q55" s="4572"/>
      <c r="R55" s="2725"/>
      <c r="S55" s="4581"/>
      <c r="T55" s="4577"/>
      <c r="U55" s="1394">
        <v>35631000</v>
      </c>
      <c r="V55" s="1388">
        <v>23916968</v>
      </c>
      <c r="W55" s="1388">
        <v>23916968</v>
      </c>
      <c r="X55" s="1396">
        <v>6</v>
      </c>
      <c r="Y55" s="1397" t="s">
        <v>1212</v>
      </c>
      <c r="Z55" s="4571"/>
      <c r="AA55" s="4571"/>
      <c r="AB55" s="4571"/>
      <c r="AC55" s="4571"/>
      <c r="AD55" s="4571"/>
      <c r="AE55" s="4571"/>
      <c r="AF55" s="4571"/>
      <c r="AG55" s="4571"/>
      <c r="AH55" s="4571"/>
      <c r="AI55" s="4571"/>
      <c r="AJ55" s="4571"/>
      <c r="AK55" s="4571"/>
      <c r="AL55" s="4571"/>
      <c r="AM55" s="4571"/>
      <c r="AN55" s="4571"/>
      <c r="AO55" s="4571"/>
      <c r="AP55" s="4571"/>
      <c r="AQ55" s="4571"/>
      <c r="AR55" s="4571"/>
      <c r="AS55" s="4571"/>
      <c r="AT55" s="4571"/>
      <c r="AU55" s="4571"/>
      <c r="AV55" s="4571"/>
      <c r="AW55" s="4571"/>
      <c r="AX55" s="4571"/>
      <c r="AY55" s="4571"/>
      <c r="AZ55" s="4571"/>
      <c r="BA55" s="4571"/>
      <c r="BB55" s="4571"/>
      <c r="BC55" s="4571"/>
      <c r="BD55" s="4571"/>
      <c r="BE55" s="4571"/>
      <c r="BF55" s="4571"/>
      <c r="BG55" s="4571"/>
      <c r="BH55" s="4571"/>
      <c r="BI55" s="4582"/>
      <c r="BJ55" s="1398" t="s">
        <v>1212</v>
      </c>
      <c r="BK55" s="3578"/>
      <c r="BL55" s="3627"/>
      <c r="BM55" s="3627"/>
      <c r="BN55" s="3627"/>
      <c r="BO55" s="3627"/>
      <c r="BP55" s="4578"/>
    </row>
    <row r="56" spans="1:68" s="1372" customFormat="1" ht="83.25" customHeight="1" x14ac:dyDescent="0.25">
      <c r="A56" s="1373"/>
      <c r="B56" s="1374"/>
      <c r="C56" s="1375"/>
      <c r="D56" s="552"/>
      <c r="E56" s="552"/>
      <c r="F56" s="552"/>
      <c r="G56" s="2721"/>
      <c r="H56" s="3150" t="s">
        <v>1148</v>
      </c>
      <c r="I56" s="4588" t="s">
        <v>1149</v>
      </c>
      <c r="J56" s="4496" t="s">
        <v>1150</v>
      </c>
      <c r="K56" s="4590">
        <v>1</v>
      </c>
      <c r="L56" s="4592">
        <v>0.3</v>
      </c>
      <c r="M56" s="924" t="s">
        <v>1213</v>
      </c>
      <c r="N56" s="4563"/>
      <c r="O56" s="4565"/>
      <c r="P56" s="3023">
        <f>+(U56+U57)/(U25+U26+U27+U56+U57)</f>
        <v>0.63793103448275867</v>
      </c>
      <c r="Q56" s="4572"/>
      <c r="R56" s="2725"/>
      <c r="S56" s="4579" t="s">
        <v>1214</v>
      </c>
      <c r="T56" s="4584" t="s">
        <v>1149</v>
      </c>
      <c r="U56" s="1394">
        <v>34500000</v>
      </c>
      <c r="V56" s="1388">
        <v>0</v>
      </c>
      <c r="W56" s="1388">
        <v>0</v>
      </c>
      <c r="X56" s="1396">
        <v>12</v>
      </c>
      <c r="Y56" s="1397" t="s">
        <v>1107</v>
      </c>
      <c r="Z56" s="4571"/>
      <c r="AA56" s="4571"/>
      <c r="AB56" s="4571"/>
      <c r="AC56" s="4571"/>
      <c r="AD56" s="4571"/>
      <c r="AE56" s="4571"/>
      <c r="AF56" s="4571"/>
      <c r="AG56" s="4571"/>
      <c r="AH56" s="4571"/>
      <c r="AI56" s="4571"/>
      <c r="AJ56" s="4571"/>
      <c r="AK56" s="4571"/>
      <c r="AL56" s="4571"/>
      <c r="AM56" s="4571"/>
      <c r="AN56" s="4571"/>
      <c r="AO56" s="4571"/>
      <c r="AP56" s="4571"/>
      <c r="AQ56" s="4571"/>
      <c r="AR56" s="4571"/>
      <c r="AS56" s="4571"/>
      <c r="AT56" s="4571"/>
      <c r="AU56" s="4571"/>
      <c r="AV56" s="4571"/>
      <c r="AW56" s="4571"/>
      <c r="AX56" s="4571"/>
      <c r="AY56" s="4571"/>
      <c r="AZ56" s="4571"/>
      <c r="BA56" s="4571"/>
      <c r="BB56" s="4571"/>
      <c r="BC56" s="4571"/>
      <c r="BD56" s="4571"/>
      <c r="BE56" s="4571"/>
      <c r="BF56" s="4571"/>
      <c r="BG56" s="4571"/>
      <c r="BH56" s="4571"/>
      <c r="BI56" s="4582"/>
      <c r="BJ56" s="1398" t="s">
        <v>1107</v>
      </c>
      <c r="BK56" s="3578"/>
      <c r="BL56" s="3627"/>
      <c r="BM56" s="3627"/>
      <c r="BN56" s="3627"/>
      <c r="BO56" s="3627"/>
      <c r="BP56" s="4578"/>
    </row>
    <row r="57" spans="1:68" s="1372" customFormat="1" ht="77.25" customHeight="1" x14ac:dyDescent="0.25">
      <c r="A57" s="1373"/>
      <c r="B57" s="1374"/>
      <c r="C57" s="1375"/>
      <c r="D57" s="552"/>
      <c r="E57" s="552"/>
      <c r="F57" s="552"/>
      <c r="G57" s="2723"/>
      <c r="H57" s="3151"/>
      <c r="I57" s="4588"/>
      <c r="J57" s="4589"/>
      <c r="K57" s="4591"/>
      <c r="L57" s="4593"/>
      <c r="M57" s="924" t="s">
        <v>1215</v>
      </c>
      <c r="N57" s="4564"/>
      <c r="O57" s="4566"/>
      <c r="P57" s="3684"/>
      <c r="Q57" s="4573"/>
      <c r="R57" s="2725"/>
      <c r="S57" s="4581"/>
      <c r="T57" s="4585"/>
      <c r="U57" s="1394">
        <v>21000000</v>
      </c>
      <c r="V57" s="1388">
        <v>7000000</v>
      </c>
      <c r="W57" s="1388">
        <v>7000000</v>
      </c>
      <c r="X57" s="1396">
        <v>3</v>
      </c>
      <c r="Y57" s="1397" t="s">
        <v>1118</v>
      </c>
      <c r="Z57" s="4571"/>
      <c r="AA57" s="4571"/>
      <c r="AB57" s="4571"/>
      <c r="AC57" s="4571"/>
      <c r="AD57" s="4571"/>
      <c r="AE57" s="4571"/>
      <c r="AF57" s="4571"/>
      <c r="AG57" s="4571"/>
      <c r="AH57" s="4571"/>
      <c r="AI57" s="4571"/>
      <c r="AJ57" s="4571"/>
      <c r="AK57" s="4571"/>
      <c r="AL57" s="4571"/>
      <c r="AM57" s="4571"/>
      <c r="AN57" s="4571"/>
      <c r="AO57" s="4571"/>
      <c r="AP57" s="4571"/>
      <c r="AQ57" s="4571"/>
      <c r="AR57" s="4571"/>
      <c r="AS57" s="4571"/>
      <c r="AT57" s="4571"/>
      <c r="AU57" s="4571"/>
      <c r="AV57" s="4571"/>
      <c r="AW57" s="4571"/>
      <c r="AX57" s="4571"/>
      <c r="AY57" s="4571"/>
      <c r="AZ57" s="4571"/>
      <c r="BA57" s="4571"/>
      <c r="BB57" s="4571"/>
      <c r="BC57" s="4571"/>
      <c r="BD57" s="4571"/>
      <c r="BE57" s="4571"/>
      <c r="BF57" s="4571"/>
      <c r="BG57" s="4571"/>
      <c r="BH57" s="4571"/>
      <c r="BI57" s="4582"/>
      <c r="BJ57" s="1398" t="s">
        <v>1118</v>
      </c>
      <c r="BK57" s="3578"/>
      <c r="BL57" s="3628"/>
      <c r="BM57" s="3628"/>
      <c r="BN57" s="3628"/>
      <c r="BO57" s="3628"/>
      <c r="BP57" s="4578"/>
    </row>
    <row r="58" spans="1:68" ht="15.75" x14ac:dyDescent="0.25">
      <c r="A58" s="783"/>
      <c r="B58" s="783"/>
      <c r="C58" s="785"/>
      <c r="D58" s="1425">
        <v>40</v>
      </c>
      <c r="E58" s="1426" t="s">
        <v>1216</v>
      </c>
      <c r="F58" s="1427"/>
      <c r="G58" s="1428"/>
      <c r="H58" s="1428"/>
      <c r="I58" s="1427"/>
      <c r="J58" s="1427"/>
      <c r="K58" s="224"/>
      <c r="L58" s="224"/>
      <c r="M58" s="1429"/>
      <c r="N58" s="1428"/>
      <c r="O58" s="1430"/>
      <c r="P58" s="1431"/>
      <c r="Q58" s="1432"/>
      <c r="R58" s="1362"/>
      <c r="S58" s="1362"/>
      <c r="T58" s="220"/>
      <c r="U58" s="1433"/>
      <c r="V58" s="1433"/>
      <c r="W58" s="1433"/>
      <c r="X58" s="1434"/>
      <c r="Y58" s="1435"/>
      <c r="Z58" s="1361"/>
      <c r="AA58" s="1361"/>
      <c r="AB58" s="1361"/>
      <c r="AC58" s="1361"/>
      <c r="AD58" s="1361"/>
      <c r="AE58" s="1361"/>
      <c r="AF58" s="1361"/>
      <c r="AG58" s="1361"/>
      <c r="AH58" s="1361"/>
      <c r="AI58" s="1361"/>
      <c r="AJ58" s="1361"/>
      <c r="AK58" s="1361"/>
      <c r="AL58" s="1361"/>
      <c r="AM58" s="1361"/>
      <c r="AN58" s="1361"/>
      <c r="AO58" s="1361"/>
      <c r="AP58" s="1361"/>
      <c r="AQ58" s="1361"/>
      <c r="AR58" s="1361"/>
      <c r="AS58" s="1361"/>
      <c r="AT58" s="1361"/>
      <c r="AU58" s="1361"/>
      <c r="AV58" s="1361"/>
      <c r="AW58" s="1361"/>
      <c r="AX58" s="1361"/>
      <c r="AY58" s="1361"/>
      <c r="AZ58" s="1361"/>
      <c r="BA58" s="1361"/>
      <c r="BB58" s="1361"/>
      <c r="BC58" s="1361"/>
      <c r="BD58" s="1361"/>
      <c r="BE58" s="1361"/>
      <c r="BF58" s="1361"/>
      <c r="BG58" s="1361"/>
      <c r="BH58" s="1361"/>
      <c r="BI58" s="1436"/>
      <c r="BJ58" s="1361"/>
      <c r="BK58" s="1361"/>
      <c r="BL58" s="1361"/>
      <c r="BM58" s="1361"/>
      <c r="BN58" s="1361"/>
      <c r="BO58" s="1361"/>
      <c r="BP58" s="1360"/>
    </row>
    <row r="59" spans="1:68" s="1372" customFormat="1" ht="77.25" customHeight="1" x14ac:dyDescent="0.25">
      <c r="A59" s="1364"/>
      <c r="B59" s="1364"/>
      <c r="C59" s="1365"/>
      <c r="D59" s="4483"/>
      <c r="E59" s="4485"/>
      <c r="F59" s="1366"/>
      <c r="G59" s="2592">
        <v>4302075</v>
      </c>
      <c r="H59" s="3621" t="s">
        <v>1217</v>
      </c>
      <c r="I59" s="2779" t="s">
        <v>1218</v>
      </c>
      <c r="J59" s="2779" t="s">
        <v>1219</v>
      </c>
      <c r="K59" s="3315">
        <v>25</v>
      </c>
      <c r="L59" s="3312">
        <v>26</v>
      </c>
      <c r="M59" s="924" t="s">
        <v>1220</v>
      </c>
      <c r="N59" s="3315" t="s">
        <v>1221</v>
      </c>
      <c r="O59" s="3240" t="s">
        <v>1222</v>
      </c>
      <c r="P59" s="2854">
        <f>(U59+U60+U61+U62+U63+U64)/(U59+U60+U61+U62+U63+U64+U65+U66+U67+U68+U69)</f>
        <v>0.1686171437930474</v>
      </c>
      <c r="Q59" s="4595">
        <f>+U59+U60+U61+U62+U63+U64</f>
        <v>213298765</v>
      </c>
      <c r="R59" s="3273" t="s">
        <v>1223</v>
      </c>
      <c r="S59" s="3273" t="s">
        <v>1224</v>
      </c>
      <c r="T59" s="891" t="s">
        <v>1225</v>
      </c>
      <c r="U59" s="1394">
        <v>38415591</v>
      </c>
      <c r="V59" s="1437">
        <v>36673924</v>
      </c>
      <c r="W59" s="1437">
        <v>36673924</v>
      </c>
      <c r="X59" s="1396">
        <v>12</v>
      </c>
      <c r="Y59" s="1438" t="s">
        <v>1107</v>
      </c>
      <c r="Z59" s="3315">
        <v>300</v>
      </c>
      <c r="AA59" s="3312">
        <v>350</v>
      </c>
      <c r="AB59" s="3312">
        <v>710</v>
      </c>
      <c r="AC59" s="3312">
        <v>400</v>
      </c>
      <c r="AD59" s="3312">
        <v>317</v>
      </c>
      <c r="AE59" s="3312">
        <v>100</v>
      </c>
      <c r="AF59" s="3312">
        <v>633</v>
      </c>
      <c r="AG59" s="3312">
        <v>343</v>
      </c>
      <c r="AH59" s="3312">
        <v>0</v>
      </c>
      <c r="AI59" s="3312">
        <v>230</v>
      </c>
      <c r="AJ59" s="3312">
        <v>0</v>
      </c>
      <c r="AK59" s="3312">
        <v>2</v>
      </c>
      <c r="AL59" s="3312">
        <v>0</v>
      </c>
      <c r="AM59" s="3312">
        <v>0</v>
      </c>
      <c r="AN59" s="3312">
        <v>0</v>
      </c>
      <c r="AO59" s="3312">
        <v>0</v>
      </c>
      <c r="AP59" s="3315">
        <v>0</v>
      </c>
      <c r="AQ59" s="3315">
        <v>0</v>
      </c>
      <c r="AR59" s="3315">
        <v>0</v>
      </c>
      <c r="AS59" s="3315">
        <v>0</v>
      </c>
      <c r="AT59" s="3315">
        <v>0</v>
      </c>
      <c r="AU59" s="3315">
        <v>0</v>
      </c>
      <c r="AV59" s="3315">
        <v>0</v>
      </c>
      <c r="AW59" s="3315">
        <v>0</v>
      </c>
      <c r="AX59" s="3315">
        <v>0</v>
      </c>
      <c r="AY59" s="3315">
        <v>0</v>
      </c>
      <c r="AZ59" s="3315">
        <v>60</v>
      </c>
      <c r="BA59" s="3315">
        <v>66</v>
      </c>
      <c r="BB59" s="3315">
        <v>0</v>
      </c>
      <c r="BC59" s="3315">
        <v>0</v>
      </c>
      <c r="BD59" s="3315">
        <f>+Z59+AB59+AD59+AF59+AH59+AJ59+AL59</f>
        <v>1960</v>
      </c>
      <c r="BE59" s="3315">
        <v>750</v>
      </c>
      <c r="BF59" s="3315">
        <v>32</v>
      </c>
      <c r="BG59" s="4598">
        <f>+V59+V60+V61+V62+V63+V64</f>
        <v>206557098</v>
      </c>
      <c r="BH59" s="4598">
        <f>+W59+W60+W61+W62+W63+W64</f>
        <v>206557098</v>
      </c>
      <c r="BI59" s="4597">
        <f>BH59/BG59</f>
        <v>1</v>
      </c>
      <c r="BJ59" s="1439" t="s">
        <v>1107</v>
      </c>
      <c r="BK59" s="2620" t="s">
        <v>1226</v>
      </c>
      <c r="BL59" s="3686">
        <v>43832</v>
      </c>
      <c r="BM59" s="3686">
        <v>43862</v>
      </c>
      <c r="BN59" s="3818" t="s">
        <v>1227</v>
      </c>
      <c r="BO59" s="3686" t="s">
        <v>1227</v>
      </c>
      <c r="BP59" s="4596" t="s">
        <v>1228</v>
      </c>
    </row>
    <row r="60" spans="1:68" s="1372" customFormat="1" ht="34.5" customHeight="1" x14ac:dyDescent="0.25">
      <c r="A60" s="1364"/>
      <c r="B60" s="1364"/>
      <c r="C60" s="1365"/>
      <c r="D60" s="4483"/>
      <c r="E60" s="4485"/>
      <c r="F60" s="1366"/>
      <c r="G60" s="2592"/>
      <c r="H60" s="3621"/>
      <c r="I60" s="2779"/>
      <c r="J60" s="2779"/>
      <c r="K60" s="3315"/>
      <c r="L60" s="3313"/>
      <c r="M60" s="924" t="s">
        <v>1229</v>
      </c>
      <c r="N60" s="3315"/>
      <c r="O60" s="3240"/>
      <c r="P60" s="2855"/>
      <c r="Q60" s="4595"/>
      <c r="R60" s="4594"/>
      <c r="S60" s="4594"/>
      <c r="T60" s="2779" t="s">
        <v>1230</v>
      </c>
      <c r="U60" s="1394">
        <v>66650000</v>
      </c>
      <c r="V60" s="1437">
        <v>61650000</v>
      </c>
      <c r="W60" s="1437">
        <v>61650000</v>
      </c>
      <c r="X60" s="1396">
        <v>4</v>
      </c>
      <c r="Y60" s="1440" t="s">
        <v>1135</v>
      </c>
      <c r="Z60" s="3315"/>
      <c r="AA60" s="3313"/>
      <c r="AB60" s="3313"/>
      <c r="AC60" s="3313"/>
      <c r="AD60" s="3313"/>
      <c r="AE60" s="3313"/>
      <c r="AF60" s="3313"/>
      <c r="AG60" s="3313"/>
      <c r="AH60" s="3313"/>
      <c r="AI60" s="3313"/>
      <c r="AJ60" s="3313"/>
      <c r="AK60" s="3313"/>
      <c r="AL60" s="3313"/>
      <c r="AM60" s="3313"/>
      <c r="AN60" s="3313"/>
      <c r="AO60" s="3313"/>
      <c r="AP60" s="3315"/>
      <c r="AQ60" s="3315"/>
      <c r="AR60" s="3315"/>
      <c r="AS60" s="3315"/>
      <c r="AT60" s="3315"/>
      <c r="AU60" s="3315"/>
      <c r="AV60" s="3315"/>
      <c r="AW60" s="3315"/>
      <c r="AX60" s="3315"/>
      <c r="AY60" s="3315"/>
      <c r="AZ60" s="3315"/>
      <c r="BA60" s="3315"/>
      <c r="BB60" s="3315"/>
      <c r="BC60" s="3315"/>
      <c r="BD60" s="3315"/>
      <c r="BE60" s="3315"/>
      <c r="BF60" s="3315"/>
      <c r="BG60" s="3315"/>
      <c r="BH60" s="3315"/>
      <c r="BI60" s="4597"/>
      <c r="BJ60" s="1441" t="s">
        <v>1135</v>
      </c>
      <c r="BK60" s="2620"/>
      <c r="BL60" s="3772"/>
      <c r="BM60" s="3772"/>
      <c r="BN60" s="3818"/>
      <c r="BO60" s="3772"/>
      <c r="BP60" s="4596"/>
    </row>
    <row r="61" spans="1:68" s="1372" customFormat="1" ht="45" customHeight="1" x14ac:dyDescent="0.25">
      <c r="A61" s="1364"/>
      <c r="B61" s="1364"/>
      <c r="C61" s="1365"/>
      <c r="D61" s="4483"/>
      <c r="E61" s="4485"/>
      <c r="F61" s="1366"/>
      <c r="G61" s="2592"/>
      <c r="H61" s="3621"/>
      <c r="I61" s="2779"/>
      <c r="J61" s="2779"/>
      <c r="K61" s="3315"/>
      <c r="L61" s="3313"/>
      <c r="M61" s="924" t="s">
        <v>1231</v>
      </c>
      <c r="N61" s="3315"/>
      <c r="O61" s="3240"/>
      <c r="P61" s="2855"/>
      <c r="Q61" s="4595"/>
      <c r="R61" s="4594"/>
      <c r="S61" s="4594"/>
      <c r="T61" s="2779"/>
      <c r="U61" s="1394">
        <v>60000000</v>
      </c>
      <c r="V61" s="1442">
        <v>60000000</v>
      </c>
      <c r="W61" s="1442">
        <v>60000000</v>
      </c>
      <c r="X61" s="1396">
        <v>6</v>
      </c>
      <c r="Y61" s="1419" t="s">
        <v>1232</v>
      </c>
      <c r="Z61" s="3315"/>
      <c r="AA61" s="3313"/>
      <c r="AB61" s="3313"/>
      <c r="AC61" s="3313"/>
      <c r="AD61" s="3313"/>
      <c r="AE61" s="3313"/>
      <c r="AF61" s="3313"/>
      <c r="AG61" s="3313"/>
      <c r="AH61" s="3313"/>
      <c r="AI61" s="3313"/>
      <c r="AJ61" s="3313"/>
      <c r="AK61" s="3313"/>
      <c r="AL61" s="3313"/>
      <c r="AM61" s="3313"/>
      <c r="AN61" s="3313"/>
      <c r="AO61" s="3313"/>
      <c r="AP61" s="3315"/>
      <c r="AQ61" s="3315"/>
      <c r="AR61" s="3315"/>
      <c r="AS61" s="3315"/>
      <c r="AT61" s="3315"/>
      <c r="AU61" s="3315"/>
      <c r="AV61" s="3315"/>
      <c r="AW61" s="3315"/>
      <c r="AX61" s="3315"/>
      <c r="AY61" s="3315"/>
      <c r="AZ61" s="3315"/>
      <c r="BA61" s="3315"/>
      <c r="BB61" s="3315"/>
      <c r="BC61" s="3315"/>
      <c r="BD61" s="3315"/>
      <c r="BE61" s="3315"/>
      <c r="BF61" s="3315"/>
      <c r="BG61" s="3315"/>
      <c r="BH61" s="3315"/>
      <c r="BI61" s="4597"/>
      <c r="BJ61" s="1420" t="s">
        <v>1232</v>
      </c>
      <c r="BK61" s="2620"/>
      <c r="BL61" s="3772"/>
      <c r="BM61" s="3772"/>
      <c r="BN61" s="3818"/>
      <c r="BO61" s="3772"/>
      <c r="BP61" s="4596"/>
    </row>
    <row r="62" spans="1:68" s="1372" customFormat="1" ht="54.75" customHeight="1" x14ac:dyDescent="0.25">
      <c r="A62" s="1364"/>
      <c r="B62" s="1364"/>
      <c r="C62" s="1365"/>
      <c r="D62" s="4483"/>
      <c r="E62" s="4485"/>
      <c r="F62" s="1366"/>
      <c r="G62" s="2592"/>
      <c r="H62" s="3621"/>
      <c r="I62" s="2779"/>
      <c r="J62" s="2779"/>
      <c r="K62" s="3315"/>
      <c r="L62" s="3313"/>
      <c r="M62" s="924" t="s">
        <v>1233</v>
      </c>
      <c r="N62" s="3315"/>
      <c r="O62" s="3240"/>
      <c r="P62" s="2855"/>
      <c r="Q62" s="4595"/>
      <c r="R62" s="4594"/>
      <c r="S62" s="4594"/>
      <c r="T62" s="891" t="s">
        <v>1234</v>
      </c>
      <c r="U62" s="1394">
        <v>39253174</v>
      </c>
      <c r="V62" s="1437">
        <v>39253174</v>
      </c>
      <c r="W62" s="1437">
        <v>39253174</v>
      </c>
      <c r="X62" s="1396">
        <v>4</v>
      </c>
      <c r="Y62" s="1419" t="s">
        <v>1135</v>
      </c>
      <c r="Z62" s="3315"/>
      <c r="AA62" s="3313"/>
      <c r="AB62" s="3313"/>
      <c r="AC62" s="3313"/>
      <c r="AD62" s="3313"/>
      <c r="AE62" s="3313"/>
      <c r="AF62" s="3313"/>
      <c r="AG62" s="3313"/>
      <c r="AH62" s="3313"/>
      <c r="AI62" s="3313"/>
      <c r="AJ62" s="3313"/>
      <c r="AK62" s="3313"/>
      <c r="AL62" s="3313"/>
      <c r="AM62" s="3313"/>
      <c r="AN62" s="3313"/>
      <c r="AO62" s="3313"/>
      <c r="AP62" s="3315"/>
      <c r="AQ62" s="3315"/>
      <c r="AR62" s="3315"/>
      <c r="AS62" s="3315"/>
      <c r="AT62" s="3315"/>
      <c r="AU62" s="3315"/>
      <c r="AV62" s="3315"/>
      <c r="AW62" s="3315"/>
      <c r="AX62" s="3315"/>
      <c r="AY62" s="3315"/>
      <c r="AZ62" s="3315"/>
      <c r="BA62" s="3315"/>
      <c r="BB62" s="3315"/>
      <c r="BC62" s="3315"/>
      <c r="BD62" s="3315"/>
      <c r="BE62" s="3315"/>
      <c r="BF62" s="3315"/>
      <c r="BG62" s="3315"/>
      <c r="BH62" s="3315"/>
      <c r="BI62" s="4597"/>
      <c r="BJ62" s="1420" t="s">
        <v>1135</v>
      </c>
      <c r="BK62" s="2620"/>
      <c r="BL62" s="3772"/>
      <c r="BM62" s="3772"/>
      <c r="BN62" s="3818"/>
      <c r="BO62" s="3772"/>
      <c r="BP62" s="4596"/>
    </row>
    <row r="63" spans="1:68" s="1372" customFormat="1" ht="57.75" customHeight="1" x14ac:dyDescent="0.25">
      <c r="A63" s="862"/>
      <c r="B63" s="887"/>
      <c r="C63" s="888"/>
      <c r="D63" s="4483"/>
      <c r="E63" s="4485"/>
      <c r="F63" s="2802"/>
      <c r="G63" s="2592"/>
      <c r="H63" s="3621"/>
      <c r="I63" s="2779"/>
      <c r="J63" s="2779"/>
      <c r="K63" s="3315"/>
      <c r="L63" s="3313"/>
      <c r="M63" s="924" t="s">
        <v>1235</v>
      </c>
      <c r="N63" s="3315"/>
      <c r="O63" s="3240"/>
      <c r="P63" s="2855"/>
      <c r="Q63" s="4595"/>
      <c r="R63" s="4594"/>
      <c r="S63" s="4594"/>
      <c r="T63" s="2779" t="s">
        <v>1236</v>
      </c>
      <c r="U63" s="1423">
        <v>4980000</v>
      </c>
      <c r="V63" s="1437">
        <v>4980000</v>
      </c>
      <c r="W63" s="1437">
        <v>4980000</v>
      </c>
      <c r="X63" s="1396">
        <v>4</v>
      </c>
      <c r="Y63" s="1443" t="s">
        <v>1135</v>
      </c>
      <c r="Z63" s="3315"/>
      <c r="AA63" s="3313"/>
      <c r="AB63" s="3313"/>
      <c r="AC63" s="3313"/>
      <c r="AD63" s="3313"/>
      <c r="AE63" s="3313"/>
      <c r="AF63" s="3313"/>
      <c r="AG63" s="3313"/>
      <c r="AH63" s="3313"/>
      <c r="AI63" s="3313"/>
      <c r="AJ63" s="3313"/>
      <c r="AK63" s="3313"/>
      <c r="AL63" s="3313"/>
      <c r="AM63" s="3313"/>
      <c r="AN63" s="3313"/>
      <c r="AO63" s="3313"/>
      <c r="AP63" s="3315"/>
      <c r="AQ63" s="3315"/>
      <c r="AR63" s="3315"/>
      <c r="AS63" s="3315"/>
      <c r="AT63" s="3315"/>
      <c r="AU63" s="3315"/>
      <c r="AV63" s="3315"/>
      <c r="AW63" s="3315"/>
      <c r="AX63" s="3315"/>
      <c r="AY63" s="3315"/>
      <c r="AZ63" s="3315"/>
      <c r="BA63" s="3315"/>
      <c r="BB63" s="3315"/>
      <c r="BC63" s="3315"/>
      <c r="BD63" s="3315"/>
      <c r="BE63" s="3315"/>
      <c r="BF63" s="3315"/>
      <c r="BG63" s="3315"/>
      <c r="BH63" s="3315"/>
      <c r="BI63" s="4597"/>
      <c r="BJ63" s="1444" t="s">
        <v>1135</v>
      </c>
      <c r="BK63" s="2620"/>
      <c r="BL63" s="3772"/>
      <c r="BM63" s="3772"/>
      <c r="BN63" s="3818"/>
      <c r="BO63" s="3772"/>
      <c r="BP63" s="4596"/>
    </row>
    <row r="64" spans="1:68" s="1372" customFormat="1" ht="61.5" customHeight="1" x14ac:dyDescent="0.25">
      <c r="A64" s="1373"/>
      <c r="B64" s="1374"/>
      <c r="C64" s="1375"/>
      <c r="D64" s="4483"/>
      <c r="E64" s="4485"/>
      <c r="F64" s="2802"/>
      <c r="G64" s="2592"/>
      <c r="H64" s="3621"/>
      <c r="I64" s="2779"/>
      <c r="J64" s="2779"/>
      <c r="K64" s="3315"/>
      <c r="L64" s="3314"/>
      <c r="M64" s="924" t="s">
        <v>1237</v>
      </c>
      <c r="N64" s="3315"/>
      <c r="O64" s="3240"/>
      <c r="P64" s="2856"/>
      <c r="Q64" s="4595"/>
      <c r="R64" s="2778"/>
      <c r="S64" s="2778"/>
      <c r="T64" s="2779"/>
      <c r="U64" s="1394">
        <v>4000000</v>
      </c>
      <c r="V64" s="1442">
        <v>4000000</v>
      </c>
      <c r="W64" s="1442">
        <v>4000000</v>
      </c>
      <c r="X64" s="1396">
        <v>12</v>
      </c>
      <c r="Y64" s="1438" t="s">
        <v>1107</v>
      </c>
      <c r="Z64" s="3315"/>
      <c r="AA64" s="3314"/>
      <c r="AB64" s="3314"/>
      <c r="AC64" s="3314"/>
      <c r="AD64" s="3314"/>
      <c r="AE64" s="3314"/>
      <c r="AF64" s="3314"/>
      <c r="AG64" s="3314"/>
      <c r="AH64" s="3314"/>
      <c r="AI64" s="3314"/>
      <c r="AJ64" s="3314"/>
      <c r="AK64" s="3314"/>
      <c r="AL64" s="3314"/>
      <c r="AM64" s="3314"/>
      <c r="AN64" s="3314"/>
      <c r="AO64" s="3314"/>
      <c r="AP64" s="3315"/>
      <c r="AQ64" s="3315"/>
      <c r="AR64" s="3315"/>
      <c r="AS64" s="3315"/>
      <c r="AT64" s="3315"/>
      <c r="AU64" s="3315"/>
      <c r="AV64" s="3315"/>
      <c r="AW64" s="3315"/>
      <c r="AX64" s="3315"/>
      <c r="AY64" s="3315"/>
      <c r="AZ64" s="3315"/>
      <c r="BA64" s="3315"/>
      <c r="BB64" s="3315"/>
      <c r="BC64" s="3315"/>
      <c r="BD64" s="3315"/>
      <c r="BE64" s="3315"/>
      <c r="BF64" s="3315"/>
      <c r="BG64" s="3315"/>
      <c r="BH64" s="3315"/>
      <c r="BI64" s="4597"/>
      <c r="BJ64" s="1439" t="s">
        <v>1107</v>
      </c>
      <c r="BK64" s="2620"/>
      <c r="BL64" s="3687"/>
      <c r="BM64" s="3687"/>
      <c r="BN64" s="3818"/>
      <c r="BO64" s="3687"/>
      <c r="BP64" s="4596"/>
    </row>
    <row r="65" spans="1:68" s="1372" customFormat="1" ht="47.25" customHeight="1" x14ac:dyDescent="0.25">
      <c r="A65" s="1445"/>
      <c r="B65" s="1446"/>
      <c r="C65" s="1447"/>
      <c r="D65" s="4483"/>
      <c r="E65" s="4485"/>
      <c r="F65" s="3080"/>
      <c r="G65" s="2619">
        <v>4302075</v>
      </c>
      <c r="H65" s="3315" t="s">
        <v>1217</v>
      </c>
      <c r="I65" s="2779" t="s">
        <v>1218</v>
      </c>
      <c r="J65" s="2779" t="s">
        <v>1219</v>
      </c>
      <c r="K65" s="3312">
        <v>25</v>
      </c>
      <c r="L65" s="3312">
        <v>26</v>
      </c>
      <c r="M65" s="924" t="s">
        <v>1238</v>
      </c>
      <c r="N65" s="4602" t="s">
        <v>1239</v>
      </c>
      <c r="O65" s="4603" t="s">
        <v>1240</v>
      </c>
      <c r="P65" s="2854">
        <f>(U65+U66+U67+U68)/(U59+U60+U61+U62+U63+U64+U65+U66+U67+U68+U69)</f>
        <v>0.8076672275028135</v>
      </c>
      <c r="Q65" s="4604">
        <f>+U65+U66+U67+U68</f>
        <v>1021689837</v>
      </c>
      <c r="R65" s="3273" t="s">
        <v>1241</v>
      </c>
      <c r="S65" s="3273" t="s">
        <v>1242</v>
      </c>
      <c r="T65" s="2779" t="s">
        <v>1218</v>
      </c>
      <c r="U65" s="1394">
        <v>148924918</v>
      </c>
      <c r="V65" s="1376">
        <v>0</v>
      </c>
      <c r="W65" s="1376">
        <v>0</v>
      </c>
      <c r="X65" s="1396">
        <v>12</v>
      </c>
      <c r="Y65" s="1438" t="s">
        <v>1107</v>
      </c>
      <c r="Z65" s="4599">
        <v>230</v>
      </c>
      <c r="AA65" s="4599">
        <v>113</v>
      </c>
      <c r="AB65" s="4599">
        <v>270</v>
      </c>
      <c r="AC65" s="4599">
        <v>151</v>
      </c>
      <c r="AD65" s="4599">
        <v>110</v>
      </c>
      <c r="AE65" s="4599">
        <v>146</v>
      </c>
      <c r="AF65" s="4599">
        <v>270</v>
      </c>
      <c r="AG65" s="4599">
        <v>95</v>
      </c>
      <c r="AH65" s="4599">
        <v>120</v>
      </c>
      <c r="AI65" s="4599">
        <v>21</v>
      </c>
      <c r="AJ65" s="4599"/>
      <c r="AK65" s="4599">
        <v>2</v>
      </c>
      <c r="AL65" s="4599"/>
      <c r="AM65" s="4599"/>
      <c r="AN65" s="4599"/>
      <c r="AO65" s="4599"/>
      <c r="AP65" s="4599"/>
      <c r="AQ65" s="4599"/>
      <c r="AR65" s="4599"/>
      <c r="AS65" s="4599"/>
      <c r="AT65" s="4599"/>
      <c r="AU65" s="4599"/>
      <c r="AV65" s="4599"/>
      <c r="AW65" s="4599"/>
      <c r="AX65" s="4599"/>
      <c r="AY65" s="4599"/>
      <c r="AZ65" s="4599">
        <v>110</v>
      </c>
      <c r="BA65" s="4599">
        <v>66</v>
      </c>
      <c r="BB65" s="4599"/>
      <c r="BC65" s="4599"/>
      <c r="BD65" s="4599">
        <v>500</v>
      </c>
      <c r="BE65" s="4599">
        <f>+BA65+AK65+AI65+AG65+AE65</f>
        <v>330</v>
      </c>
      <c r="BF65" s="4599">
        <v>25</v>
      </c>
      <c r="BG65" s="4614">
        <f>+V65+V66+V67+V68</f>
        <v>572330609</v>
      </c>
      <c r="BH65" s="4614">
        <f>+W65+W66+W67+W68</f>
        <v>572330609</v>
      </c>
      <c r="BI65" s="4610">
        <f>BH65/BG65</f>
        <v>1</v>
      </c>
      <c r="BJ65" s="1439" t="s">
        <v>1107</v>
      </c>
      <c r="BK65" s="4561" t="s">
        <v>1243</v>
      </c>
      <c r="BL65" s="3686">
        <v>44045</v>
      </c>
      <c r="BM65" s="3686">
        <v>44180</v>
      </c>
      <c r="BN65" s="3686">
        <v>44195</v>
      </c>
      <c r="BO65" s="3686">
        <v>44195</v>
      </c>
      <c r="BP65" s="4607" t="s">
        <v>1228</v>
      </c>
    </row>
    <row r="66" spans="1:68" s="1372" customFormat="1" ht="47.25" customHeight="1" x14ac:dyDescent="0.25">
      <c r="A66" s="1445"/>
      <c r="B66" s="1446"/>
      <c r="C66" s="1447"/>
      <c r="D66" s="4483"/>
      <c r="E66" s="4485"/>
      <c r="F66" s="3080"/>
      <c r="G66" s="2620"/>
      <c r="H66" s="3315"/>
      <c r="I66" s="2779"/>
      <c r="J66" s="2779"/>
      <c r="K66" s="3313"/>
      <c r="L66" s="3313"/>
      <c r="M66" s="924" t="s">
        <v>1244</v>
      </c>
      <c r="N66" s="4602"/>
      <c r="O66" s="4603"/>
      <c r="P66" s="2855"/>
      <c r="Q66" s="4605"/>
      <c r="R66" s="4594"/>
      <c r="S66" s="4594"/>
      <c r="T66" s="2779"/>
      <c r="U66" s="1394">
        <v>58059026</v>
      </c>
      <c r="V66" s="1448">
        <v>5000000</v>
      </c>
      <c r="W66" s="1448">
        <v>5000000</v>
      </c>
      <c r="X66" s="1396">
        <v>3</v>
      </c>
      <c r="Y66" s="1438" t="s">
        <v>1118</v>
      </c>
      <c r="Z66" s="4600"/>
      <c r="AA66" s="4600"/>
      <c r="AB66" s="4600"/>
      <c r="AC66" s="4600"/>
      <c r="AD66" s="4600"/>
      <c r="AE66" s="4600"/>
      <c r="AF66" s="4600"/>
      <c r="AG66" s="4600"/>
      <c r="AH66" s="4600"/>
      <c r="AI66" s="4600"/>
      <c r="AJ66" s="4600"/>
      <c r="AK66" s="4600"/>
      <c r="AL66" s="4600"/>
      <c r="AM66" s="4600"/>
      <c r="AN66" s="4600"/>
      <c r="AO66" s="4600"/>
      <c r="AP66" s="4600"/>
      <c r="AQ66" s="4600"/>
      <c r="AR66" s="4600"/>
      <c r="AS66" s="4600"/>
      <c r="AT66" s="4600"/>
      <c r="AU66" s="4600"/>
      <c r="AV66" s="4600"/>
      <c r="AW66" s="4600"/>
      <c r="AX66" s="4600"/>
      <c r="AY66" s="4600"/>
      <c r="AZ66" s="4600"/>
      <c r="BA66" s="4600"/>
      <c r="BB66" s="4600"/>
      <c r="BC66" s="4600"/>
      <c r="BD66" s="4600"/>
      <c r="BE66" s="4600"/>
      <c r="BF66" s="4600"/>
      <c r="BG66" s="4600"/>
      <c r="BH66" s="4600"/>
      <c r="BI66" s="4611"/>
      <c r="BJ66" s="1439" t="s">
        <v>1118</v>
      </c>
      <c r="BK66" s="4562"/>
      <c r="BL66" s="3772"/>
      <c r="BM66" s="3772"/>
      <c r="BN66" s="3772"/>
      <c r="BO66" s="3772"/>
      <c r="BP66" s="4608"/>
    </row>
    <row r="67" spans="1:68" s="1372" customFormat="1" ht="47.25" customHeight="1" x14ac:dyDescent="0.25">
      <c r="A67" s="1445"/>
      <c r="B67" s="1446"/>
      <c r="C67" s="1447"/>
      <c r="D67" s="4483"/>
      <c r="E67" s="4485"/>
      <c r="F67" s="3080"/>
      <c r="G67" s="2620"/>
      <c r="H67" s="3315"/>
      <c r="I67" s="2779"/>
      <c r="J67" s="2779"/>
      <c r="K67" s="3313"/>
      <c r="L67" s="3313"/>
      <c r="M67" s="924" t="s">
        <v>1245</v>
      </c>
      <c r="N67" s="4602"/>
      <c r="O67" s="4603"/>
      <c r="P67" s="2855"/>
      <c r="Q67" s="4605"/>
      <c r="R67" s="4594"/>
      <c r="S67" s="4594"/>
      <c r="T67" s="2779"/>
      <c r="U67" s="1394">
        <v>432942553</v>
      </c>
      <c r="V67" s="1423">
        <v>294273743</v>
      </c>
      <c r="W67" s="1423">
        <v>294273743</v>
      </c>
      <c r="X67" s="1396">
        <v>4</v>
      </c>
      <c r="Y67" s="1443" t="s">
        <v>1135</v>
      </c>
      <c r="Z67" s="4600"/>
      <c r="AA67" s="4600"/>
      <c r="AB67" s="4600"/>
      <c r="AC67" s="4600"/>
      <c r="AD67" s="4600"/>
      <c r="AE67" s="4600"/>
      <c r="AF67" s="4600"/>
      <c r="AG67" s="4600"/>
      <c r="AH67" s="4600"/>
      <c r="AI67" s="4600"/>
      <c r="AJ67" s="4600"/>
      <c r="AK67" s="4600"/>
      <c r="AL67" s="4600"/>
      <c r="AM67" s="4600"/>
      <c r="AN67" s="4600"/>
      <c r="AO67" s="4600"/>
      <c r="AP67" s="4600"/>
      <c r="AQ67" s="4600"/>
      <c r="AR67" s="4600"/>
      <c r="AS67" s="4600"/>
      <c r="AT67" s="4600"/>
      <c r="AU67" s="4600"/>
      <c r="AV67" s="4600"/>
      <c r="AW67" s="4600"/>
      <c r="AX67" s="4600"/>
      <c r="AY67" s="4600"/>
      <c r="AZ67" s="4600"/>
      <c r="BA67" s="4600"/>
      <c r="BB67" s="4600"/>
      <c r="BC67" s="4600"/>
      <c r="BD67" s="4600"/>
      <c r="BE67" s="4600"/>
      <c r="BF67" s="4600"/>
      <c r="BG67" s="4600"/>
      <c r="BH67" s="4600"/>
      <c r="BI67" s="4611"/>
      <c r="BJ67" s="1444" t="s">
        <v>1135</v>
      </c>
      <c r="BK67" s="4562"/>
      <c r="BL67" s="3772"/>
      <c r="BM67" s="3772"/>
      <c r="BN67" s="3772"/>
      <c r="BO67" s="3772"/>
      <c r="BP67" s="4608"/>
    </row>
    <row r="68" spans="1:68" s="1372" customFormat="1" ht="117" customHeight="1" x14ac:dyDescent="0.25">
      <c r="A68" s="1445"/>
      <c r="B68" s="1446"/>
      <c r="C68" s="1447"/>
      <c r="D68" s="4483"/>
      <c r="E68" s="4485"/>
      <c r="F68" s="3080"/>
      <c r="G68" s="2620"/>
      <c r="H68" s="3315"/>
      <c r="I68" s="2779"/>
      <c r="J68" s="2779"/>
      <c r="K68" s="3314"/>
      <c r="L68" s="3314"/>
      <c r="M68" s="924" t="s">
        <v>1246</v>
      </c>
      <c r="N68" s="4602"/>
      <c r="O68" s="4603"/>
      <c r="P68" s="2856"/>
      <c r="Q68" s="4606"/>
      <c r="R68" s="2778"/>
      <c r="S68" s="2778"/>
      <c r="T68" s="2779"/>
      <c r="U68" s="1394">
        <v>381763340</v>
      </c>
      <c r="V68" s="1423">
        <v>273056866</v>
      </c>
      <c r="W68" s="1423">
        <v>273056866</v>
      </c>
      <c r="X68" s="1396">
        <v>6</v>
      </c>
      <c r="Y68" s="1443" t="s">
        <v>1176</v>
      </c>
      <c r="Z68" s="4601"/>
      <c r="AA68" s="4601"/>
      <c r="AB68" s="4601"/>
      <c r="AC68" s="4601"/>
      <c r="AD68" s="4601"/>
      <c r="AE68" s="4601"/>
      <c r="AF68" s="4601"/>
      <c r="AG68" s="4601"/>
      <c r="AH68" s="4601"/>
      <c r="AI68" s="4601"/>
      <c r="AJ68" s="4601"/>
      <c r="AK68" s="4601"/>
      <c r="AL68" s="4601"/>
      <c r="AM68" s="4601"/>
      <c r="AN68" s="4601"/>
      <c r="AO68" s="4601"/>
      <c r="AP68" s="4601"/>
      <c r="AQ68" s="4601"/>
      <c r="AR68" s="4601"/>
      <c r="AS68" s="4601"/>
      <c r="AT68" s="4601"/>
      <c r="AU68" s="4601"/>
      <c r="AV68" s="4601"/>
      <c r="AW68" s="4601"/>
      <c r="AX68" s="4601"/>
      <c r="AY68" s="4601"/>
      <c r="AZ68" s="4601"/>
      <c r="BA68" s="4601"/>
      <c r="BB68" s="4601"/>
      <c r="BC68" s="4601"/>
      <c r="BD68" s="4601"/>
      <c r="BE68" s="4601"/>
      <c r="BF68" s="4601"/>
      <c r="BG68" s="4601"/>
      <c r="BH68" s="4601"/>
      <c r="BI68" s="4612"/>
      <c r="BJ68" s="1444" t="s">
        <v>1176</v>
      </c>
      <c r="BK68" s="4613"/>
      <c r="BL68" s="3687"/>
      <c r="BM68" s="3687"/>
      <c r="BN68" s="3687"/>
      <c r="BO68" s="3687"/>
      <c r="BP68" s="4609"/>
    </row>
    <row r="69" spans="1:68" s="1372" customFormat="1" ht="60" x14ac:dyDescent="0.25">
      <c r="A69" s="1373"/>
      <c r="B69" s="1374"/>
      <c r="C69" s="1375"/>
      <c r="D69" s="4586"/>
      <c r="E69" s="4587"/>
      <c r="F69" s="3081"/>
      <c r="G69" s="902">
        <v>4302075</v>
      </c>
      <c r="H69" s="1868" t="s">
        <v>1217</v>
      </c>
      <c r="I69" s="891" t="s">
        <v>1218</v>
      </c>
      <c r="J69" s="891" t="s">
        <v>1247</v>
      </c>
      <c r="K69" s="904">
        <v>1</v>
      </c>
      <c r="L69" s="904">
        <v>1</v>
      </c>
      <c r="M69" s="917" t="s">
        <v>1248</v>
      </c>
      <c r="N69" s="1449" t="s">
        <v>1178</v>
      </c>
      <c r="O69" s="891" t="s">
        <v>1249</v>
      </c>
      <c r="P69" s="921">
        <f>U69/(U59+U60+U61+U62+U63+U64+U65+U66+U67+U68+U69)</f>
        <v>2.3715628704139107E-2</v>
      </c>
      <c r="Q69" s="1450">
        <v>30000000</v>
      </c>
      <c r="R69" s="897" t="s">
        <v>1250</v>
      </c>
      <c r="S69" s="897" t="s">
        <v>1251</v>
      </c>
      <c r="T69" s="891" t="s">
        <v>1218</v>
      </c>
      <c r="U69" s="1394">
        <v>30000000</v>
      </c>
      <c r="V69" s="1395">
        <v>12250000</v>
      </c>
      <c r="W69" s="1395">
        <v>12250000</v>
      </c>
      <c r="X69" s="1451" t="s">
        <v>1252</v>
      </c>
      <c r="Y69" s="1452" t="s">
        <v>1135</v>
      </c>
      <c r="Z69" s="904">
        <v>82</v>
      </c>
      <c r="AA69" s="904"/>
      <c r="AB69" s="904">
        <v>98</v>
      </c>
      <c r="AC69" s="904"/>
      <c r="AD69" s="904">
        <v>60</v>
      </c>
      <c r="AE69" s="904"/>
      <c r="AF69" s="904">
        <v>75</v>
      </c>
      <c r="AG69" s="904"/>
      <c r="AH69" s="904">
        <v>45</v>
      </c>
      <c r="AI69" s="1453"/>
      <c r="AJ69" s="1453"/>
      <c r="AK69" s="1453"/>
      <c r="AL69" s="1453"/>
      <c r="AM69" s="1453"/>
      <c r="AN69" s="1453"/>
      <c r="AO69" s="1453"/>
      <c r="AP69" s="1453"/>
      <c r="AQ69" s="1453"/>
      <c r="AR69" s="1453"/>
      <c r="AS69" s="1453"/>
      <c r="AT69" s="1453"/>
      <c r="AU69" s="1453"/>
      <c r="AV69" s="1453"/>
      <c r="AW69" s="1453"/>
      <c r="AX69" s="1453"/>
      <c r="AY69" s="1453"/>
      <c r="AZ69" s="904">
        <v>50</v>
      </c>
      <c r="BA69" s="1453"/>
      <c r="BB69" s="1453"/>
      <c r="BC69" s="1453"/>
      <c r="BD69" s="904">
        <f>+Z69+AB69</f>
        <v>180</v>
      </c>
      <c r="BE69" s="1453"/>
      <c r="BF69" s="904">
        <v>1</v>
      </c>
      <c r="BG69" s="923">
        <f>+V69</f>
        <v>12250000</v>
      </c>
      <c r="BH69" s="923">
        <f>+W69</f>
        <v>12250000</v>
      </c>
      <c r="BI69" s="1454">
        <f>BH69/BG69</f>
        <v>1</v>
      </c>
      <c r="BJ69" s="1455" t="s">
        <v>1135</v>
      </c>
      <c r="BK69" s="868" t="s">
        <v>1253</v>
      </c>
      <c r="BL69" s="905">
        <v>44045</v>
      </c>
      <c r="BM69" s="905">
        <v>44045</v>
      </c>
      <c r="BN69" s="905">
        <v>44196</v>
      </c>
      <c r="BO69" s="905">
        <v>44196</v>
      </c>
      <c r="BP69" s="1456" t="s">
        <v>1228</v>
      </c>
    </row>
    <row r="70" spans="1:68" ht="32.25" customHeight="1" x14ac:dyDescent="0.25">
      <c r="A70" s="349"/>
      <c r="B70" s="264"/>
      <c r="C70" s="265"/>
      <c r="D70" s="292"/>
      <c r="E70" s="292"/>
      <c r="F70" s="292"/>
      <c r="G70" s="1457"/>
      <c r="H70" s="1457"/>
      <c r="I70" s="1458"/>
      <c r="J70" s="1459"/>
      <c r="K70" s="1460"/>
      <c r="L70" s="1460"/>
      <c r="M70" s="917"/>
      <c r="N70" s="904"/>
      <c r="O70" s="1458"/>
      <c r="P70" s="903"/>
      <c r="Q70" s="1461">
        <f>SUM(Q12:Q69)</f>
        <v>4341489310.7799997</v>
      </c>
      <c r="R70" s="897"/>
      <c r="S70" s="897"/>
      <c r="T70" s="897"/>
      <c r="U70" s="1461">
        <f>SUM(U12:U69)</f>
        <v>4341489310.7799997</v>
      </c>
      <c r="V70" s="1461">
        <f>SUM(V12:V69)</f>
        <v>2728118219</v>
      </c>
      <c r="W70" s="1461">
        <f>SUM(W12:W69)</f>
        <v>2728118219</v>
      </c>
      <c r="X70" s="917"/>
      <c r="Y70" s="1458"/>
      <c r="Z70" s="1462"/>
      <c r="AA70" s="1462"/>
      <c r="AB70" s="1462"/>
      <c r="AC70" s="1462"/>
      <c r="AD70" s="1462"/>
      <c r="AE70" s="1462"/>
      <c r="AF70" s="1462"/>
      <c r="AG70" s="1462"/>
      <c r="AH70" s="1462"/>
      <c r="AI70" s="1462"/>
      <c r="AJ70" s="1462"/>
      <c r="AK70" s="1462"/>
      <c r="AL70" s="1462"/>
      <c r="AM70" s="1462"/>
      <c r="AN70" s="1462"/>
      <c r="AO70" s="1462"/>
      <c r="AP70" s="1462"/>
      <c r="AQ70" s="1462"/>
      <c r="AR70" s="1462"/>
      <c r="AS70" s="1462"/>
      <c r="AT70" s="1462"/>
      <c r="AU70" s="1462"/>
      <c r="AV70" s="1462"/>
      <c r="AW70" s="1462"/>
      <c r="AX70" s="1462"/>
      <c r="AY70" s="1462"/>
      <c r="AZ70" s="1462"/>
      <c r="BA70" s="1462"/>
      <c r="BB70" s="1462"/>
      <c r="BC70" s="1462"/>
      <c r="BD70" s="1462"/>
      <c r="BE70" s="1462"/>
      <c r="BF70" s="1462"/>
      <c r="BG70" s="1463">
        <f>SUM(BG12:BG69)</f>
        <v>2728118219</v>
      </c>
      <c r="BH70" s="1463">
        <f>SUM(BH12:BH69)</f>
        <v>2728118219</v>
      </c>
      <c r="BI70" s="896">
        <f>BH70/BG70</f>
        <v>1</v>
      </c>
      <c r="BJ70" s="1462"/>
      <c r="BK70" s="1462"/>
      <c r="BL70" s="895"/>
      <c r="BM70" s="895"/>
      <c r="BN70" s="1464"/>
      <c r="BO70" s="1464"/>
      <c r="BP70" s="1465"/>
    </row>
    <row r="71" spans="1:68" ht="15.75" x14ac:dyDescent="0.25">
      <c r="A71" s="121"/>
      <c r="B71" s="4"/>
      <c r="C71" s="4"/>
      <c r="D71" s="4"/>
      <c r="E71" s="4"/>
      <c r="F71" s="4"/>
      <c r="G71" s="4"/>
      <c r="H71" s="4"/>
      <c r="I71" s="854"/>
      <c r="J71" s="855"/>
      <c r="K71" s="3"/>
      <c r="L71" s="3"/>
      <c r="M71" s="177"/>
      <c r="N71" s="184"/>
      <c r="O71" s="170"/>
      <c r="P71" s="856"/>
      <c r="Q71" s="174"/>
      <c r="R71" s="171"/>
      <c r="S71" s="171"/>
      <c r="T71" s="1466"/>
      <c r="U71" s="1467"/>
      <c r="V71" s="1467"/>
      <c r="W71" s="1467"/>
      <c r="X71" s="177"/>
      <c r="Y71" s="184"/>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468"/>
      <c r="BM71" s="1468"/>
      <c r="BN71" s="181"/>
      <c r="BO71" s="181"/>
      <c r="BP71" s="182"/>
    </row>
    <row r="72" spans="1:68" ht="15.75" x14ac:dyDescent="0.25">
      <c r="A72" s="121"/>
      <c r="B72" s="4"/>
      <c r="C72" s="4"/>
      <c r="D72" s="4"/>
      <c r="E72" s="4"/>
      <c r="F72" s="4"/>
      <c r="G72" s="4"/>
      <c r="H72" s="4"/>
      <c r="I72" s="854"/>
      <c r="J72" s="855"/>
      <c r="K72" s="3"/>
      <c r="L72" s="3"/>
      <c r="M72" s="177"/>
      <c r="N72" s="184"/>
      <c r="O72" s="170"/>
      <c r="P72" s="856"/>
      <c r="Q72" s="174"/>
      <c r="R72" s="171"/>
      <c r="S72" s="171"/>
      <c r="T72" s="1466"/>
      <c r="U72" s="1467"/>
      <c r="V72" s="1467"/>
      <c r="W72" s="1467"/>
      <c r="X72" s="177"/>
      <c r="Y72" s="184"/>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468"/>
      <c r="BM72" s="1468"/>
      <c r="BN72" s="181"/>
      <c r="BO72" s="181"/>
      <c r="BP72" s="182"/>
    </row>
    <row r="73" spans="1:68" ht="15.75" x14ac:dyDescent="0.25">
      <c r="A73" s="121"/>
      <c r="B73" s="263"/>
      <c r="C73" s="263"/>
      <c r="D73" s="263"/>
      <c r="E73" s="263"/>
      <c r="F73" s="990"/>
      <c r="G73" s="263"/>
      <c r="H73" s="125"/>
      <c r="I73" s="4"/>
      <c r="J73" s="855"/>
      <c r="K73" s="3"/>
      <c r="L73" s="3"/>
      <c r="M73" s="177"/>
      <c r="N73" s="184"/>
      <c r="O73" s="170"/>
      <c r="P73" s="856"/>
      <c r="Q73" s="174"/>
      <c r="R73" s="171"/>
      <c r="S73" s="171"/>
      <c r="T73" s="1466"/>
      <c r="U73" s="1467"/>
      <c r="V73" s="1467"/>
      <c r="W73" s="1467"/>
      <c r="X73" s="177"/>
      <c r="Y73" s="184"/>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468"/>
      <c r="BM73" s="1468"/>
      <c r="BN73" s="181"/>
      <c r="BO73" s="181"/>
      <c r="BP73" s="182"/>
    </row>
    <row r="74" spans="1:68" ht="15.75" x14ac:dyDescent="0.25">
      <c r="A74" s="4"/>
      <c r="B74" s="1469"/>
      <c r="C74" s="169"/>
      <c r="D74" s="864" t="s">
        <v>1254</v>
      </c>
      <c r="E74" s="864"/>
      <c r="F74" s="864"/>
      <c r="G74" s="4"/>
      <c r="H74" s="4"/>
      <c r="I74" s="4"/>
      <c r="J74" s="4"/>
      <c r="K74" s="172"/>
      <c r="L74" s="172"/>
      <c r="M74" s="172"/>
      <c r="N74" s="172"/>
      <c r="O74" s="4"/>
      <c r="P74" s="4"/>
      <c r="Q74" s="4"/>
      <c r="R74" s="182"/>
      <c r="S74" s="4"/>
      <c r="T74" s="182"/>
      <c r="U74" s="4"/>
      <c r="V74" s="4"/>
      <c r="W74" s="4"/>
      <c r="X74" s="177"/>
      <c r="Y74" s="184"/>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468"/>
      <c r="BM74" s="1468"/>
      <c r="BN74" s="181"/>
      <c r="BO74" s="181"/>
      <c r="BP74" s="182"/>
    </row>
    <row r="75" spans="1:68" ht="15.75" x14ac:dyDescent="0.25">
      <c r="C75" s="172"/>
      <c r="D75" s="864"/>
      <c r="E75" s="864"/>
      <c r="F75" s="864"/>
      <c r="G75" s="864"/>
      <c r="H75" s="864"/>
      <c r="I75" s="864"/>
      <c r="J75" s="172"/>
      <c r="K75" s="172"/>
      <c r="L75" s="172"/>
      <c r="M75" s="172"/>
      <c r="N75" s="172"/>
    </row>
    <row r="76" spans="1:68" x14ac:dyDescent="0.25">
      <c r="C76" s="191"/>
      <c r="D76" s="177"/>
      <c r="E76" s="485"/>
      <c r="F76" s="478"/>
      <c r="G76" s="1471"/>
      <c r="H76" s="1471"/>
      <c r="I76" s="482"/>
      <c r="J76" s="480"/>
      <c r="K76" s="480"/>
      <c r="L76" s="480"/>
      <c r="M76" s="480"/>
      <c r="N76" s="493"/>
    </row>
    <row r="80" spans="1:68" x14ac:dyDescent="0.25">
      <c r="V80" s="1472"/>
    </row>
  </sheetData>
  <sheetProtection password="A60F" sheet="1" objects="1" scenarios="1"/>
  <mergeCells count="532">
    <mergeCell ref="BP65:BP68"/>
    <mergeCell ref="BI65:BI68"/>
    <mergeCell ref="BK65:BK68"/>
    <mergeCell ref="BL65:BL68"/>
    <mergeCell ref="BM65:BM68"/>
    <mergeCell ref="BN65:BN68"/>
    <mergeCell ref="BO65:BO68"/>
    <mergeCell ref="BC65:BC68"/>
    <mergeCell ref="BD65:BD68"/>
    <mergeCell ref="BE65:BE68"/>
    <mergeCell ref="BF65:BF68"/>
    <mergeCell ref="BG65:BG68"/>
    <mergeCell ref="BH65:BH68"/>
    <mergeCell ref="AW65:AW68"/>
    <mergeCell ref="AX65:AX68"/>
    <mergeCell ref="AY65:AY68"/>
    <mergeCell ref="AZ65:AZ68"/>
    <mergeCell ref="BA65:BA68"/>
    <mergeCell ref="BB65:BB68"/>
    <mergeCell ref="AQ65:AQ68"/>
    <mergeCell ref="AR65:AR68"/>
    <mergeCell ref="AS65:AS68"/>
    <mergeCell ref="AT65:AT68"/>
    <mergeCell ref="AU65:AU68"/>
    <mergeCell ref="AV65:AV68"/>
    <mergeCell ref="AK65:AK68"/>
    <mergeCell ref="AL65:AL68"/>
    <mergeCell ref="AM65:AM68"/>
    <mergeCell ref="AN65:AN68"/>
    <mergeCell ref="AO65:AO68"/>
    <mergeCell ref="AP65:AP68"/>
    <mergeCell ref="AE65:AE68"/>
    <mergeCell ref="AF65:AF68"/>
    <mergeCell ref="AG65:AG68"/>
    <mergeCell ref="AH65:AH68"/>
    <mergeCell ref="AI65:AI68"/>
    <mergeCell ref="AJ65:AJ68"/>
    <mergeCell ref="Z65:Z68"/>
    <mergeCell ref="AA65:AA68"/>
    <mergeCell ref="AB65:AB68"/>
    <mergeCell ref="AC65:AC68"/>
    <mergeCell ref="AD65:AD68"/>
    <mergeCell ref="N65:N68"/>
    <mergeCell ref="O65:O68"/>
    <mergeCell ref="P65:P68"/>
    <mergeCell ref="Q65:Q68"/>
    <mergeCell ref="R65:R68"/>
    <mergeCell ref="S65:S68"/>
    <mergeCell ref="BP59:BP64"/>
    <mergeCell ref="T60:T61"/>
    <mergeCell ref="F63:F69"/>
    <mergeCell ref="T63:T64"/>
    <mergeCell ref="G65:G68"/>
    <mergeCell ref="H65:H68"/>
    <mergeCell ref="I65:I68"/>
    <mergeCell ref="J65:J68"/>
    <mergeCell ref="K65:K68"/>
    <mergeCell ref="L65:L68"/>
    <mergeCell ref="BI59:BI64"/>
    <mergeCell ref="BK59:BK64"/>
    <mergeCell ref="BL59:BL64"/>
    <mergeCell ref="BM59:BM64"/>
    <mergeCell ref="BN59:BN64"/>
    <mergeCell ref="BO59:BO64"/>
    <mergeCell ref="BC59:BC64"/>
    <mergeCell ref="BD59:BD64"/>
    <mergeCell ref="BE59:BE64"/>
    <mergeCell ref="BF59:BF64"/>
    <mergeCell ref="BG59:BG64"/>
    <mergeCell ref="BH59:BH64"/>
    <mergeCell ref="AW59:AW64"/>
    <mergeCell ref="AX59:AX64"/>
    <mergeCell ref="AY59:AY64"/>
    <mergeCell ref="AZ59:AZ64"/>
    <mergeCell ref="BA59:BA64"/>
    <mergeCell ref="BB59:BB64"/>
    <mergeCell ref="AQ59:AQ64"/>
    <mergeCell ref="AR59:AR64"/>
    <mergeCell ref="AS59:AS64"/>
    <mergeCell ref="AT59:AT64"/>
    <mergeCell ref="AU59:AU64"/>
    <mergeCell ref="AV59:AV64"/>
    <mergeCell ref="AK59:AK64"/>
    <mergeCell ref="AL59:AL64"/>
    <mergeCell ref="AM59:AM64"/>
    <mergeCell ref="AN59:AN64"/>
    <mergeCell ref="AO59:AO64"/>
    <mergeCell ref="AP59:AP64"/>
    <mergeCell ref="AE59:AE64"/>
    <mergeCell ref="AF59:AF64"/>
    <mergeCell ref="AG59:AG64"/>
    <mergeCell ref="AH59:AH64"/>
    <mergeCell ref="AI59:AI64"/>
    <mergeCell ref="AJ59:AJ64"/>
    <mergeCell ref="Z59:Z64"/>
    <mergeCell ref="AA59:AA64"/>
    <mergeCell ref="AB59:AB64"/>
    <mergeCell ref="AC59:AC64"/>
    <mergeCell ref="AD59:AD64"/>
    <mergeCell ref="L59:L64"/>
    <mergeCell ref="N59:N64"/>
    <mergeCell ref="O59:O64"/>
    <mergeCell ref="P59:P64"/>
    <mergeCell ref="Q59:Q64"/>
    <mergeCell ref="R59:R64"/>
    <mergeCell ref="P56:P57"/>
    <mergeCell ref="S56:S57"/>
    <mergeCell ref="T56:T57"/>
    <mergeCell ref="D59:D69"/>
    <mergeCell ref="E59:E69"/>
    <mergeCell ref="G59:G64"/>
    <mergeCell ref="H59:H64"/>
    <mergeCell ref="I59:I64"/>
    <mergeCell ref="J59:J64"/>
    <mergeCell ref="K59:K64"/>
    <mergeCell ref="G56:G57"/>
    <mergeCell ref="H56:H57"/>
    <mergeCell ref="I56:I57"/>
    <mergeCell ref="J56:J57"/>
    <mergeCell ref="K56:K57"/>
    <mergeCell ref="L56:L57"/>
    <mergeCell ref="S59:S64"/>
    <mergeCell ref="T65:T68"/>
    <mergeCell ref="G52:G55"/>
    <mergeCell ref="H52:H55"/>
    <mergeCell ref="I52:I55"/>
    <mergeCell ref="J52:J55"/>
    <mergeCell ref="K52:K55"/>
    <mergeCell ref="L52:L55"/>
    <mergeCell ref="BM35:BM57"/>
    <mergeCell ref="BN35:BN57"/>
    <mergeCell ref="BO35:BO57"/>
    <mergeCell ref="AY35:AY57"/>
    <mergeCell ref="AN35:AN57"/>
    <mergeCell ref="AO35:AO57"/>
    <mergeCell ref="AP35:AP57"/>
    <mergeCell ref="AQ35:AQ57"/>
    <mergeCell ref="AR35:AR57"/>
    <mergeCell ref="AS35:AS57"/>
    <mergeCell ref="AH35:AH57"/>
    <mergeCell ref="AI35:AI57"/>
    <mergeCell ref="AJ35:AJ57"/>
    <mergeCell ref="AK35:AK57"/>
    <mergeCell ref="AL35:AL57"/>
    <mergeCell ref="AM35:AM57"/>
    <mergeCell ref="AB35:AB57"/>
    <mergeCell ref="AC35:AC57"/>
    <mergeCell ref="BP35:BP57"/>
    <mergeCell ref="J49:J51"/>
    <mergeCell ref="K49:K51"/>
    <mergeCell ref="L49:L51"/>
    <mergeCell ref="P49:P51"/>
    <mergeCell ref="P52:P55"/>
    <mergeCell ref="S52:S55"/>
    <mergeCell ref="BF35:BF57"/>
    <mergeCell ref="BG35:BG57"/>
    <mergeCell ref="BH35:BH57"/>
    <mergeCell ref="BI35:BI57"/>
    <mergeCell ref="BK35:BK57"/>
    <mergeCell ref="BL35:BL57"/>
    <mergeCell ref="AZ35:AZ57"/>
    <mergeCell ref="BA35:BA57"/>
    <mergeCell ref="BB35:BB57"/>
    <mergeCell ref="BC35:BC57"/>
    <mergeCell ref="BD35:BD57"/>
    <mergeCell ref="BE35:BE57"/>
    <mergeCell ref="AT35:AT57"/>
    <mergeCell ref="AU35:AU57"/>
    <mergeCell ref="AV35:AV57"/>
    <mergeCell ref="AW35:AW57"/>
    <mergeCell ref="AX35:AX57"/>
    <mergeCell ref="AD35:AD57"/>
    <mergeCell ref="AE35:AE57"/>
    <mergeCell ref="AF35:AF57"/>
    <mergeCell ref="AG35:AG57"/>
    <mergeCell ref="Q35:Q57"/>
    <mergeCell ref="R35:R57"/>
    <mergeCell ref="S35:S51"/>
    <mergeCell ref="T35:T51"/>
    <mergeCell ref="Z35:Z57"/>
    <mergeCell ref="AA35:AA57"/>
    <mergeCell ref="T52:T55"/>
    <mergeCell ref="BP30:BP34"/>
    <mergeCell ref="G35:G51"/>
    <mergeCell ref="H35:H51"/>
    <mergeCell ref="I35:I51"/>
    <mergeCell ref="J35:J48"/>
    <mergeCell ref="K35:K48"/>
    <mergeCell ref="L35:L48"/>
    <mergeCell ref="N35:N57"/>
    <mergeCell ref="O35:O57"/>
    <mergeCell ref="P35:P48"/>
    <mergeCell ref="BI30:BI34"/>
    <mergeCell ref="BK30:BK34"/>
    <mergeCell ref="BL30:BL34"/>
    <mergeCell ref="BM30:BM34"/>
    <mergeCell ref="BN30:BN34"/>
    <mergeCell ref="BO30:BO34"/>
    <mergeCell ref="BC30:BC34"/>
    <mergeCell ref="BD30:BD34"/>
    <mergeCell ref="BE30:BE34"/>
    <mergeCell ref="BF30:BF34"/>
    <mergeCell ref="BG30:BG34"/>
    <mergeCell ref="BH30:BH34"/>
    <mergeCell ref="AW30:AW34"/>
    <mergeCell ref="AX30:AX34"/>
    <mergeCell ref="AY30:AY34"/>
    <mergeCell ref="AZ30:AZ34"/>
    <mergeCell ref="BA30:BA34"/>
    <mergeCell ref="BB30:BB34"/>
    <mergeCell ref="AQ30:AQ34"/>
    <mergeCell ref="AR30:AR34"/>
    <mergeCell ref="AS30:AS34"/>
    <mergeCell ref="AT30:AT34"/>
    <mergeCell ref="AU30:AU34"/>
    <mergeCell ref="AV30:AV34"/>
    <mergeCell ref="AK30:AK34"/>
    <mergeCell ref="AL30:AL34"/>
    <mergeCell ref="AM30:AM34"/>
    <mergeCell ref="AN30:AN34"/>
    <mergeCell ref="AO30:AO34"/>
    <mergeCell ref="AP30:AP34"/>
    <mergeCell ref="AE30:AE34"/>
    <mergeCell ref="AF30:AF34"/>
    <mergeCell ref="AG30:AG34"/>
    <mergeCell ref="AH30:AH34"/>
    <mergeCell ref="AI30:AI34"/>
    <mergeCell ref="AJ30:AJ34"/>
    <mergeCell ref="T30:T34"/>
    <mergeCell ref="Z30:Z34"/>
    <mergeCell ref="AA30:AA34"/>
    <mergeCell ref="AB30:AB34"/>
    <mergeCell ref="AC30:AC34"/>
    <mergeCell ref="AD30:AD34"/>
    <mergeCell ref="N30:N34"/>
    <mergeCell ref="O30:O34"/>
    <mergeCell ref="P30:P34"/>
    <mergeCell ref="Q30:Q34"/>
    <mergeCell ref="R30:R34"/>
    <mergeCell ref="S30:S34"/>
    <mergeCell ref="G30:G34"/>
    <mergeCell ref="H30:H34"/>
    <mergeCell ref="I30:I34"/>
    <mergeCell ref="J30:J34"/>
    <mergeCell ref="K30:K34"/>
    <mergeCell ref="L30:L34"/>
    <mergeCell ref="BK28:BK29"/>
    <mergeCell ref="BL28:BL29"/>
    <mergeCell ref="BM28:BM29"/>
    <mergeCell ref="AX28:AX29"/>
    <mergeCell ref="AY28:AY29"/>
    <mergeCell ref="AZ28:AZ29"/>
    <mergeCell ref="BA28:BA29"/>
    <mergeCell ref="BB28:BB29"/>
    <mergeCell ref="BC28:BC29"/>
    <mergeCell ref="AR28:AR29"/>
    <mergeCell ref="AS28:AS29"/>
    <mergeCell ref="AT28:AT29"/>
    <mergeCell ref="AU28:AU29"/>
    <mergeCell ref="AV28:AV29"/>
    <mergeCell ref="AW28:AW29"/>
    <mergeCell ref="AL28:AL29"/>
    <mergeCell ref="AM28:AM29"/>
    <mergeCell ref="AN28:AN29"/>
    <mergeCell ref="BN28:BN29"/>
    <mergeCell ref="BO28:BO29"/>
    <mergeCell ref="BP28:BP29"/>
    <mergeCell ref="BD28:BD29"/>
    <mergeCell ref="BE28:BE29"/>
    <mergeCell ref="BF28:BF29"/>
    <mergeCell ref="BG28:BG29"/>
    <mergeCell ref="BH28:BH29"/>
    <mergeCell ref="BI28:BI29"/>
    <mergeCell ref="AO28:AO29"/>
    <mergeCell ref="AP28:AP29"/>
    <mergeCell ref="AQ28:AQ29"/>
    <mergeCell ref="AF28:AF29"/>
    <mergeCell ref="AG28:AG29"/>
    <mergeCell ref="AH28:AH29"/>
    <mergeCell ref="AI28:AI29"/>
    <mergeCell ref="AJ28:AJ29"/>
    <mergeCell ref="AK28:AK29"/>
    <mergeCell ref="Z28:Z29"/>
    <mergeCell ref="AA28:AA29"/>
    <mergeCell ref="AB28:AB29"/>
    <mergeCell ref="AC28:AC29"/>
    <mergeCell ref="AD28:AD29"/>
    <mergeCell ref="AE28:AE29"/>
    <mergeCell ref="L25:L27"/>
    <mergeCell ref="P25:P27"/>
    <mergeCell ref="T25:T27"/>
    <mergeCell ref="N28:N29"/>
    <mergeCell ref="O28:O29"/>
    <mergeCell ref="Q28:Q29"/>
    <mergeCell ref="R28:R29"/>
    <mergeCell ref="S28:S29"/>
    <mergeCell ref="T28:T29"/>
    <mergeCell ref="Q21:Q27"/>
    <mergeCell ref="R21:R27"/>
    <mergeCell ref="S21:S27"/>
    <mergeCell ref="T21:T22"/>
    <mergeCell ref="Z21:Z27"/>
    <mergeCell ref="AA21:AA27"/>
    <mergeCell ref="BM21:BM27"/>
    <mergeCell ref="BN21:BN27"/>
    <mergeCell ref="BO21:BO27"/>
    <mergeCell ref="BP21:BP27"/>
    <mergeCell ref="T23:T24"/>
    <mergeCell ref="G25:G27"/>
    <mergeCell ref="H25:H27"/>
    <mergeCell ref="I25:I27"/>
    <mergeCell ref="J25:J27"/>
    <mergeCell ref="K25:K27"/>
    <mergeCell ref="BF21:BF27"/>
    <mergeCell ref="BG21:BG27"/>
    <mergeCell ref="BH21:BH27"/>
    <mergeCell ref="BI21:BI27"/>
    <mergeCell ref="BK21:BK27"/>
    <mergeCell ref="BL21:BL27"/>
    <mergeCell ref="AZ21:AZ27"/>
    <mergeCell ref="BA21:BA27"/>
    <mergeCell ref="BB21:BB27"/>
    <mergeCell ref="BC21:BC27"/>
    <mergeCell ref="BD21:BD27"/>
    <mergeCell ref="BE21:BE27"/>
    <mergeCell ref="AT21:AT27"/>
    <mergeCell ref="AU21:AU27"/>
    <mergeCell ref="AV21:AV27"/>
    <mergeCell ref="AW21:AW27"/>
    <mergeCell ref="AX21:AX27"/>
    <mergeCell ref="AY21:AY27"/>
    <mergeCell ref="AN21:AN27"/>
    <mergeCell ref="AO21:AO27"/>
    <mergeCell ref="AP21:AP27"/>
    <mergeCell ref="AQ21:AQ27"/>
    <mergeCell ref="AR21:AR27"/>
    <mergeCell ref="AS21:AS27"/>
    <mergeCell ref="AH21:AH27"/>
    <mergeCell ref="AI21:AI27"/>
    <mergeCell ref="AJ21:AJ27"/>
    <mergeCell ref="AK21:AK27"/>
    <mergeCell ref="AL21:AL27"/>
    <mergeCell ref="AM21:AM27"/>
    <mergeCell ref="AB21:AB27"/>
    <mergeCell ref="AC21:AC27"/>
    <mergeCell ref="AD21:AD27"/>
    <mergeCell ref="AE21:AE27"/>
    <mergeCell ref="AF21:AF27"/>
    <mergeCell ref="AG21:AG27"/>
    <mergeCell ref="BP18:BP20"/>
    <mergeCell ref="G21:G24"/>
    <mergeCell ref="H21:H24"/>
    <mergeCell ref="I21:I24"/>
    <mergeCell ref="J21:J24"/>
    <mergeCell ref="K21:K24"/>
    <mergeCell ref="L21:L24"/>
    <mergeCell ref="N21:N27"/>
    <mergeCell ref="O21:O27"/>
    <mergeCell ref="P21:P24"/>
    <mergeCell ref="BI18:BI20"/>
    <mergeCell ref="BK18:BK20"/>
    <mergeCell ref="BL18:BL20"/>
    <mergeCell ref="BM18:BM20"/>
    <mergeCell ref="BN18:BN20"/>
    <mergeCell ref="BO18:BO20"/>
    <mergeCell ref="BC18:BC20"/>
    <mergeCell ref="BD18:BD20"/>
    <mergeCell ref="BE18:BE20"/>
    <mergeCell ref="BF18:BF20"/>
    <mergeCell ref="BG18:BG20"/>
    <mergeCell ref="BH18:BH20"/>
    <mergeCell ref="AW18:AW20"/>
    <mergeCell ref="AX18:AX20"/>
    <mergeCell ref="AY18:AY20"/>
    <mergeCell ref="AZ18:AZ20"/>
    <mergeCell ref="BA18:BA20"/>
    <mergeCell ref="BB18:BB20"/>
    <mergeCell ref="AQ18:AQ20"/>
    <mergeCell ref="AR18:AR20"/>
    <mergeCell ref="AS18:AS20"/>
    <mergeCell ref="AT18:AT20"/>
    <mergeCell ref="AU18:AU20"/>
    <mergeCell ref="AV18:AV20"/>
    <mergeCell ref="AK18:AK20"/>
    <mergeCell ref="AL18:AL20"/>
    <mergeCell ref="AM18:AM20"/>
    <mergeCell ref="AN18:AN20"/>
    <mergeCell ref="AO18:AO20"/>
    <mergeCell ref="AP18:AP20"/>
    <mergeCell ref="AE18:AE20"/>
    <mergeCell ref="AF18:AF20"/>
    <mergeCell ref="AG18:AG20"/>
    <mergeCell ref="AH18:AH20"/>
    <mergeCell ref="AI18:AI20"/>
    <mergeCell ref="AJ18:AJ20"/>
    <mergeCell ref="T18:T20"/>
    <mergeCell ref="Z18:Z20"/>
    <mergeCell ref="AA18:AA20"/>
    <mergeCell ref="AB18:AB20"/>
    <mergeCell ref="AC18:AC20"/>
    <mergeCell ref="AD18:AD20"/>
    <mergeCell ref="N18:N20"/>
    <mergeCell ref="O18:O20"/>
    <mergeCell ref="P18:P20"/>
    <mergeCell ref="Q18:Q20"/>
    <mergeCell ref="R18:R20"/>
    <mergeCell ref="S18:S20"/>
    <mergeCell ref="G18:G20"/>
    <mergeCell ref="H18:H20"/>
    <mergeCell ref="I18:I20"/>
    <mergeCell ref="J18:J20"/>
    <mergeCell ref="K18:K20"/>
    <mergeCell ref="L18:L20"/>
    <mergeCell ref="BN12:BN17"/>
    <mergeCell ref="BO12:BO17"/>
    <mergeCell ref="BP12:BP17"/>
    <mergeCell ref="G15:G17"/>
    <mergeCell ref="H15:H17"/>
    <mergeCell ref="I15:I17"/>
    <mergeCell ref="J15:J17"/>
    <mergeCell ref="K15:K17"/>
    <mergeCell ref="L15:L17"/>
    <mergeCell ref="P15:P17"/>
    <mergeCell ref="BG12:BG17"/>
    <mergeCell ref="BH12:BH17"/>
    <mergeCell ref="BI12:BI17"/>
    <mergeCell ref="BK12:BK17"/>
    <mergeCell ref="BL12:BL17"/>
    <mergeCell ref="BM12:BM17"/>
    <mergeCell ref="BA12:BA17"/>
    <mergeCell ref="BB12:BB17"/>
    <mergeCell ref="AL12:AL17"/>
    <mergeCell ref="AM12:AM17"/>
    <mergeCell ref="AN12:AN17"/>
    <mergeCell ref="BC12:BC17"/>
    <mergeCell ref="BD12:BD17"/>
    <mergeCell ref="BE12:BE17"/>
    <mergeCell ref="BF12:BF17"/>
    <mergeCell ref="AU12:AU17"/>
    <mergeCell ref="AV12:AV17"/>
    <mergeCell ref="AW12:AW17"/>
    <mergeCell ref="AX12:AX17"/>
    <mergeCell ref="AY12:AY17"/>
    <mergeCell ref="AZ12:AZ17"/>
    <mergeCell ref="D12:D13"/>
    <mergeCell ref="E12:E13"/>
    <mergeCell ref="G12:G14"/>
    <mergeCell ref="H12:H14"/>
    <mergeCell ref="I12:I14"/>
    <mergeCell ref="J12:J14"/>
    <mergeCell ref="AC12:AC17"/>
    <mergeCell ref="AD12:AD17"/>
    <mergeCell ref="AE12:AE17"/>
    <mergeCell ref="R12:R17"/>
    <mergeCell ref="S12:S17"/>
    <mergeCell ref="T12:T14"/>
    <mergeCell ref="Z12:Z17"/>
    <mergeCell ref="AA12:AA17"/>
    <mergeCell ref="AB12:AB17"/>
    <mergeCell ref="T16:T17"/>
    <mergeCell ref="AV8:AW8"/>
    <mergeCell ref="AX8:AY8"/>
    <mergeCell ref="AZ8:BA8"/>
    <mergeCell ref="BB8:BC8"/>
    <mergeCell ref="BD7:BE8"/>
    <mergeCell ref="BF7:BK7"/>
    <mergeCell ref="K12:K14"/>
    <mergeCell ref="L12:L14"/>
    <mergeCell ref="N12:N17"/>
    <mergeCell ref="O12:O17"/>
    <mergeCell ref="P12:P14"/>
    <mergeCell ref="Q12:Q17"/>
    <mergeCell ref="AF12:AF17"/>
    <mergeCell ref="AG12:AG17"/>
    <mergeCell ref="AH12:AH17"/>
    <mergeCell ref="AO12:AO17"/>
    <mergeCell ref="AP12:AP17"/>
    <mergeCell ref="AQ12:AQ17"/>
    <mergeCell ref="AR12:AR17"/>
    <mergeCell ref="AS12:AS17"/>
    <mergeCell ref="AT12:AT17"/>
    <mergeCell ref="AI12:AI17"/>
    <mergeCell ref="AJ12:AJ17"/>
    <mergeCell ref="AK12:AK17"/>
    <mergeCell ref="BP7:BP8"/>
    <mergeCell ref="Z8:AA8"/>
    <mergeCell ref="AB8:AC8"/>
    <mergeCell ref="AD8:AE8"/>
    <mergeCell ref="AF8:AG8"/>
    <mergeCell ref="AH8:AI8"/>
    <mergeCell ref="X7:X8"/>
    <mergeCell ref="Y7:Y8"/>
    <mergeCell ref="Z7:AC7"/>
    <mergeCell ref="AD7:AK7"/>
    <mergeCell ref="AL7:AW7"/>
    <mergeCell ref="AX7:BC7"/>
    <mergeCell ref="AJ8:AK8"/>
    <mergeCell ref="AL8:AM8"/>
    <mergeCell ref="AN8:AO8"/>
    <mergeCell ref="AP8:AQ8"/>
    <mergeCell ref="BF8:BF9"/>
    <mergeCell ref="BG8:BG9"/>
    <mergeCell ref="BH8:BH9"/>
    <mergeCell ref="BI8:BI9"/>
    <mergeCell ref="BJ8:BJ9"/>
    <mergeCell ref="BK8:BK9"/>
    <mergeCell ref="AR8:AS8"/>
    <mergeCell ref="AT8:AU8"/>
    <mergeCell ref="A1:BL4"/>
    <mergeCell ref="A5:K6"/>
    <mergeCell ref="M5:BP5"/>
    <mergeCell ref="Z6:BB6"/>
    <mergeCell ref="A7:A8"/>
    <mergeCell ref="B7:C8"/>
    <mergeCell ref="D7:D8"/>
    <mergeCell ref="E7:F8"/>
    <mergeCell ref="G7:G8"/>
    <mergeCell ref="H7:H8"/>
    <mergeCell ref="P7:P8"/>
    <mergeCell ref="Q7:Q8"/>
    <mergeCell ref="R7:R8"/>
    <mergeCell ref="S7:S8"/>
    <mergeCell ref="T7:T8"/>
    <mergeCell ref="U7:W7"/>
    <mergeCell ref="I7:I8"/>
    <mergeCell ref="J7:J8"/>
    <mergeCell ref="K7:L7"/>
    <mergeCell ref="M7:M8"/>
    <mergeCell ref="N7:N8"/>
    <mergeCell ref="O7:O8"/>
    <mergeCell ref="BL7:BM8"/>
    <mergeCell ref="BN7:BO8"/>
  </mergeCells>
  <pageMargins left="0.7" right="0.7" top="0.75" bottom="0.75" header="0.3" footer="0.3"/>
  <pageSetup scale="10" orientation="portrait" r:id="rId1"/>
  <colBreaks count="1" manualBreakCount="1">
    <brk id="68" max="1048575"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X34"/>
  <sheetViews>
    <sheetView showGridLines="0" zoomScale="55" zoomScaleNormal="55" workbookViewId="0">
      <selection activeCell="M14" sqref="M14:M15"/>
    </sheetView>
  </sheetViews>
  <sheetFormatPr baseColWidth="10" defaultRowHeight="15" x14ac:dyDescent="0.25"/>
  <cols>
    <col min="1" max="1" width="14" customWidth="1"/>
    <col min="4" max="4" width="12.85546875" customWidth="1"/>
    <col min="7" max="7" width="20.42578125" bestFit="1" customWidth="1"/>
    <col min="8" max="8" width="14.5703125" customWidth="1"/>
    <col min="9" max="9" width="33.5703125" customWidth="1"/>
    <col min="10" max="10" width="36.85546875" customWidth="1"/>
    <col min="11" max="12" width="15.7109375" customWidth="1"/>
    <col min="13" max="13" width="24" customWidth="1"/>
    <col min="14" max="14" width="30.5703125" style="372" customWidth="1"/>
    <col min="15" max="15" width="49" customWidth="1"/>
    <col min="16" max="16" width="20.28515625" customWidth="1"/>
    <col min="17" max="17" width="26.5703125" bestFit="1" customWidth="1"/>
    <col min="18" max="18" width="39.7109375" customWidth="1"/>
    <col min="19" max="19" width="60.85546875" customWidth="1"/>
    <col min="20" max="20" width="47.5703125" customWidth="1"/>
    <col min="21" max="21" width="25.85546875" customWidth="1"/>
    <col min="22" max="22" width="31.140625" customWidth="1"/>
    <col min="23" max="23" width="31.28515625" customWidth="1"/>
    <col min="24" max="24" width="15.140625" customWidth="1"/>
    <col min="25" max="25" width="18.85546875" customWidth="1"/>
    <col min="26" max="37" width="11.7109375" customWidth="1"/>
    <col min="38" max="55" width="9.42578125" customWidth="1"/>
    <col min="56" max="56" width="13" bestFit="1" customWidth="1"/>
    <col min="58" max="58" width="23.7109375" customWidth="1"/>
    <col min="59" max="59" width="26.28515625" customWidth="1"/>
    <col min="60" max="60" width="26.7109375" customWidth="1"/>
    <col min="61" max="61" width="18.85546875" customWidth="1"/>
    <col min="62" max="62" width="19.140625" customWidth="1"/>
    <col min="63" max="63" width="23.140625" customWidth="1"/>
    <col min="64" max="64" width="14.42578125" bestFit="1" customWidth="1"/>
    <col min="65" max="66" width="13.85546875" bestFit="1" customWidth="1"/>
    <col min="67" max="67" width="15" bestFit="1" customWidth="1"/>
    <col min="68" max="68" width="22" customWidth="1"/>
  </cols>
  <sheetData>
    <row r="1" spans="1:76" ht="18" customHeight="1" x14ac:dyDescent="0.25">
      <c r="A1" s="2518" t="s">
        <v>1255</v>
      </c>
      <c r="B1" s="2519"/>
      <c r="C1" s="2519"/>
      <c r="D1" s="2519"/>
      <c r="E1" s="2519"/>
      <c r="F1" s="2519"/>
      <c r="G1" s="2519"/>
      <c r="H1" s="2519"/>
      <c r="I1" s="2519"/>
      <c r="J1" s="2519"/>
      <c r="K1" s="2519"/>
      <c r="L1" s="2519"/>
      <c r="M1" s="2519"/>
      <c r="N1" s="2519"/>
      <c r="O1" s="2519"/>
      <c r="P1" s="2519"/>
      <c r="Q1" s="2519"/>
      <c r="R1" s="2519"/>
      <c r="S1" s="2519"/>
      <c r="T1" s="2519"/>
      <c r="U1" s="2519"/>
      <c r="V1" s="2519"/>
      <c r="W1" s="2519"/>
      <c r="X1" s="2519"/>
      <c r="Y1" s="2519"/>
      <c r="Z1" s="2519"/>
      <c r="AA1" s="2519"/>
      <c r="AB1" s="2519"/>
      <c r="AC1" s="2519"/>
      <c r="AD1" s="2519"/>
      <c r="AE1" s="2519"/>
      <c r="AF1" s="2519"/>
      <c r="AG1" s="2519"/>
      <c r="AH1" s="2519"/>
      <c r="AI1" s="2519"/>
      <c r="AJ1" s="2519"/>
      <c r="AK1" s="2519"/>
      <c r="AL1" s="2519"/>
      <c r="AM1" s="2519"/>
      <c r="AN1" s="2519"/>
      <c r="AO1" s="2519"/>
      <c r="AP1" s="2519"/>
      <c r="AQ1" s="2519"/>
      <c r="AR1" s="2519"/>
      <c r="AS1" s="2519"/>
      <c r="AT1" s="2519"/>
      <c r="AU1" s="2519"/>
      <c r="AV1" s="2519"/>
      <c r="AW1" s="2519"/>
      <c r="AX1" s="2519"/>
      <c r="AY1" s="2519"/>
      <c r="AZ1" s="2519"/>
      <c r="BA1" s="2519"/>
      <c r="BB1" s="2519"/>
      <c r="BC1" s="2519"/>
      <c r="BD1" s="2519"/>
      <c r="BE1" s="2519"/>
      <c r="BF1" s="2519"/>
      <c r="BG1" s="2519"/>
      <c r="BH1" s="2519"/>
      <c r="BI1" s="2519"/>
      <c r="BJ1" s="2519"/>
      <c r="BK1" s="2519"/>
      <c r="BL1" s="2519"/>
      <c r="BM1" s="876"/>
      <c r="BO1" s="386" t="s">
        <v>1</v>
      </c>
      <c r="BP1" s="735" t="s">
        <v>2</v>
      </c>
      <c r="BQ1" s="191"/>
      <c r="BR1" s="191"/>
      <c r="BS1" s="191"/>
      <c r="BT1" s="191"/>
      <c r="BU1" s="191"/>
      <c r="BV1" s="191"/>
      <c r="BW1" s="191"/>
      <c r="BX1" s="191"/>
    </row>
    <row r="2" spans="1:76" x14ac:dyDescent="0.25">
      <c r="A2" s="2521"/>
      <c r="B2" s="3531"/>
      <c r="C2" s="3531"/>
      <c r="D2" s="3531"/>
      <c r="E2" s="3531"/>
      <c r="F2" s="3531"/>
      <c r="G2" s="3531"/>
      <c r="H2" s="3531"/>
      <c r="I2" s="3531"/>
      <c r="J2" s="3531"/>
      <c r="K2" s="3531"/>
      <c r="L2" s="3531"/>
      <c r="M2" s="3531"/>
      <c r="N2" s="3531"/>
      <c r="O2" s="3531"/>
      <c r="P2" s="3531"/>
      <c r="Q2" s="3531"/>
      <c r="R2" s="3531"/>
      <c r="S2" s="3531"/>
      <c r="T2" s="3531"/>
      <c r="U2" s="3531"/>
      <c r="V2" s="3531"/>
      <c r="W2" s="3531"/>
      <c r="X2" s="3531"/>
      <c r="Y2" s="3531"/>
      <c r="Z2" s="3531"/>
      <c r="AA2" s="3531"/>
      <c r="AB2" s="3531"/>
      <c r="AC2" s="3531"/>
      <c r="AD2" s="3531"/>
      <c r="AE2" s="3531"/>
      <c r="AF2" s="3531"/>
      <c r="AG2" s="3531"/>
      <c r="AH2" s="3531"/>
      <c r="AI2" s="3531"/>
      <c r="AJ2" s="3531"/>
      <c r="AK2" s="3531"/>
      <c r="AL2" s="3531"/>
      <c r="AM2" s="3531"/>
      <c r="AN2" s="3531"/>
      <c r="AO2" s="3531"/>
      <c r="AP2" s="3531"/>
      <c r="AQ2" s="3531"/>
      <c r="AR2" s="3531"/>
      <c r="AS2" s="3531"/>
      <c r="AT2" s="3531"/>
      <c r="AU2" s="3531"/>
      <c r="AV2" s="3531"/>
      <c r="AW2" s="3531"/>
      <c r="AX2" s="3531"/>
      <c r="AY2" s="3531"/>
      <c r="AZ2" s="3531"/>
      <c r="BA2" s="3531"/>
      <c r="BB2" s="3531"/>
      <c r="BC2" s="3531"/>
      <c r="BD2" s="3531"/>
      <c r="BE2" s="3531"/>
      <c r="BF2" s="3531"/>
      <c r="BG2" s="3531"/>
      <c r="BH2" s="3531"/>
      <c r="BI2" s="3531"/>
      <c r="BJ2" s="3531"/>
      <c r="BK2" s="3531"/>
      <c r="BL2" s="3531"/>
      <c r="BM2" s="942"/>
      <c r="BO2" s="389" t="s">
        <v>3</v>
      </c>
      <c r="BP2" s="737">
        <v>6</v>
      </c>
      <c r="BQ2" s="191"/>
      <c r="BR2" s="191"/>
      <c r="BS2" s="191"/>
      <c r="BT2" s="191"/>
      <c r="BU2" s="191"/>
      <c r="BV2" s="191"/>
      <c r="BW2" s="191"/>
      <c r="BX2" s="191"/>
    </row>
    <row r="3" spans="1:76" x14ac:dyDescent="0.25">
      <c r="A3" s="2521"/>
      <c r="B3" s="3531"/>
      <c r="C3" s="3531"/>
      <c r="D3" s="3531"/>
      <c r="E3" s="3531"/>
      <c r="F3" s="3531"/>
      <c r="G3" s="3531"/>
      <c r="H3" s="3531"/>
      <c r="I3" s="3531"/>
      <c r="J3" s="3531"/>
      <c r="K3" s="3531"/>
      <c r="L3" s="3531"/>
      <c r="M3" s="3531"/>
      <c r="N3" s="3531"/>
      <c r="O3" s="3531"/>
      <c r="P3" s="3531"/>
      <c r="Q3" s="3531"/>
      <c r="R3" s="3531"/>
      <c r="S3" s="3531"/>
      <c r="T3" s="3531"/>
      <c r="U3" s="3531"/>
      <c r="V3" s="3531"/>
      <c r="W3" s="3531"/>
      <c r="X3" s="3531"/>
      <c r="Y3" s="3531"/>
      <c r="Z3" s="3531"/>
      <c r="AA3" s="3531"/>
      <c r="AB3" s="3531"/>
      <c r="AC3" s="3531"/>
      <c r="AD3" s="3531"/>
      <c r="AE3" s="3531"/>
      <c r="AF3" s="3531"/>
      <c r="AG3" s="3531"/>
      <c r="AH3" s="3531"/>
      <c r="AI3" s="3531"/>
      <c r="AJ3" s="3531"/>
      <c r="AK3" s="3531"/>
      <c r="AL3" s="3531"/>
      <c r="AM3" s="3531"/>
      <c r="AN3" s="3531"/>
      <c r="AO3" s="3531"/>
      <c r="AP3" s="3531"/>
      <c r="AQ3" s="3531"/>
      <c r="AR3" s="3531"/>
      <c r="AS3" s="3531"/>
      <c r="AT3" s="3531"/>
      <c r="AU3" s="3531"/>
      <c r="AV3" s="3531"/>
      <c r="AW3" s="3531"/>
      <c r="AX3" s="3531"/>
      <c r="AY3" s="3531"/>
      <c r="AZ3" s="3531"/>
      <c r="BA3" s="3531"/>
      <c r="BB3" s="3531"/>
      <c r="BC3" s="3531"/>
      <c r="BD3" s="3531"/>
      <c r="BE3" s="3531"/>
      <c r="BF3" s="3531"/>
      <c r="BG3" s="3531"/>
      <c r="BH3" s="3531"/>
      <c r="BI3" s="3531"/>
      <c r="BJ3" s="3531"/>
      <c r="BK3" s="3531"/>
      <c r="BL3" s="3531"/>
      <c r="BM3" s="942"/>
      <c r="BO3" s="389" t="s">
        <v>5</v>
      </c>
      <c r="BP3" s="738" t="s">
        <v>6</v>
      </c>
      <c r="BQ3" s="191"/>
      <c r="BR3" s="191"/>
      <c r="BS3" s="191"/>
      <c r="BT3" s="191"/>
      <c r="BU3" s="191"/>
      <c r="BV3" s="191"/>
      <c r="BW3" s="191"/>
      <c r="BX3" s="191"/>
    </row>
    <row r="4" spans="1:76" x14ac:dyDescent="0.25">
      <c r="A4" s="2524"/>
      <c r="B4" s="2525"/>
      <c r="C4" s="2525"/>
      <c r="D4" s="2525"/>
      <c r="E4" s="2525"/>
      <c r="F4" s="2525"/>
      <c r="G4" s="2525"/>
      <c r="H4" s="2525"/>
      <c r="I4" s="2525"/>
      <c r="J4" s="2525"/>
      <c r="K4" s="2525"/>
      <c r="L4" s="2525"/>
      <c r="M4" s="2525"/>
      <c r="N4" s="2525"/>
      <c r="O4" s="2525"/>
      <c r="P4" s="2525"/>
      <c r="Q4" s="2525"/>
      <c r="R4" s="2525"/>
      <c r="S4" s="2525"/>
      <c r="T4" s="2525"/>
      <c r="U4" s="2525"/>
      <c r="V4" s="2525"/>
      <c r="W4" s="2525"/>
      <c r="X4" s="2525"/>
      <c r="Y4" s="2525"/>
      <c r="Z4" s="2525"/>
      <c r="AA4" s="2525"/>
      <c r="AB4" s="2525"/>
      <c r="AC4" s="2525"/>
      <c r="AD4" s="2525"/>
      <c r="AE4" s="2525"/>
      <c r="AF4" s="2525"/>
      <c r="AG4" s="2525"/>
      <c r="AH4" s="2525"/>
      <c r="AI4" s="2525"/>
      <c r="AJ4" s="2525"/>
      <c r="AK4" s="2525"/>
      <c r="AL4" s="2525"/>
      <c r="AM4" s="2525"/>
      <c r="AN4" s="2525"/>
      <c r="AO4" s="2525"/>
      <c r="AP4" s="2525"/>
      <c r="AQ4" s="2525"/>
      <c r="AR4" s="2525"/>
      <c r="AS4" s="2525"/>
      <c r="AT4" s="2525"/>
      <c r="AU4" s="2525"/>
      <c r="AV4" s="2525"/>
      <c r="AW4" s="2525"/>
      <c r="AX4" s="2525"/>
      <c r="AY4" s="2525"/>
      <c r="AZ4" s="2525"/>
      <c r="BA4" s="2525"/>
      <c r="BB4" s="2525"/>
      <c r="BC4" s="2525"/>
      <c r="BD4" s="2525"/>
      <c r="BE4" s="2525"/>
      <c r="BF4" s="2525"/>
      <c r="BG4" s="2525"/>
      <c r="BH4" s="2525"/>
      <c r="BI4" s="2525"/>
      <c r="BJ4" s="2525"/>
      <c r="BK4" s="2525"/>
      <c r="BL4" s="2525"/>
      <c r="BM4" s="878"/>
      <c r="BN4" s="739"/>
      <c r="BO4" s="389" t="s">
        <v>7</v>
      </c>
      <c r="BP4" s="740" t="s">
        <v>311</v>
      </c>
      <c r="BQ4" s="191"/>
      <c r="BR4" s="191"/>
      <c r="BS4" s="191"/>
      <c r="BT4" s="191"/>
      <c r="BU4" s="191"/>
      <c r="BV4" s="191"/>
      <c r="BW4" s="191"/>
      <c r="BX4" s="191"/>
    </row>
    <row r="5" spans="1:76" ht="15.75" x14ac:dyDescent="0.25">
      <c r="A5" s="2527" t="s">
        <v>312</v>
      </c>
      <c r="B5" s="2528"/>
      <c r="C5" s="2528"/>
      <c r="D5" s="2528"/>
      <c r="E5" s="2528"/>
      <c r="F5" s="2528"/>
      <c r="G5" s="2528"/>
      <c r="H5" s="2528"/>
      <c r="I5" s="2528"/>
      <c r="J5" s="2528"/>
      <c r="K5" s="2528"/>
      <c r="L5" s="879"/>
      <c r="M5" s="3124" t="s">
        <v>10</v>
      </c>
      <c r="N5" s="3124"/>
      <c r="O5" s="3124"/>
      <c r="P5" s="3124"/>
      <c r="Q5" s="3124"/>
      <c r="R5" s="3124"/>
      <c r="S5" s="3124"/>
      <c r="T5" s="3124"/>
      <c r="U5" s="3124"/>
      <c r="V5" s="3124"/>
      <c r="W5" s="3124"/>
      <c r="X5" s="3124"/>
      <c r="Y5" s="3124"/>
      <c r="Z5" s="3124"/>
      <c r="AA5" s="3124"/>
      <c r="AB5" s="3124"/>
      <c r="AC5" s="3124"/>
      <c r="AD5" s="3124"/>
      <c r="AE5" s="3124"/>
      <c r="AF5" s="3124"/>
      <c r="AG5" s="3124"/>
      <c r="AH5" s="3124"/>
      <c r="AI5" s="3124"/>
      <c r="AJ5" s="3124"/>
      <c r="AK5" s="3124"/>
      <c r="AL5" s="3124"/>
      <c r="AM5" s="3124"/>
      <c r="AN5" s="3124"/>
      <c r="AO5" s="3124"/>
      <c r="AP5" s="3124"/>
      <c r="AQ5" s="3124"/>
      <c r="AR5" s="3124"/>
      <c r="AS5" s="3124"/>
      <c r="AT5" s="3124"/>
      <c r="AU5" s="3124"/>
      <c r="AV5" s="3124"/>
      <c r="AW5" s="3124"/>
      <c r="AX5" s="3124"/>
      <c r="AY5" s="3124"/>
      <c r="AZ5" s="3124"/>
      <c r="BA5" s="3124"/>
      <c r="BB5" s="3124"/>
      <c r="BC5" s="3124"/>
      <c r="BD5" s="3124"/>
      <c r="BE5" s="3124"/>
      <c r="BF5" s="3124"/>
      <c r="BG5" s="3124"/>
      <c r="BH5" s="3124"/>
      <c r="BI5" s="3124"/>
      <c r="BJ5" s="3124"/>
      <c r="BK5" s="3124"/>
      <c r="BL5" s="3124"/>
      <c r="BM5" s="3124"/>
      <c r="BN5" s="3124"/>
      <c r="BO5" s="2531"/>
      <c r="BP5" s="3947"/>
      <c r="BQ5" s="3"/>
      <c r="BR5" s="3"/>
      <c r="BS5" s="3"/>
      <c r="BT5" s="3"/>
      <c r="BU5" s="3"/>
      <c r="BV5" s="3"/>
      <c r="BW5" s="3"/>
      <c r="BX5" s="3"/>
    </row>
    <row r="6" spans="1:76" ht="16.5" thickBot="1" x14ac:dyDescent="0.3">
      <c r="A6" s="2529"/>
      <c r="B6" s="2530"/>
      <c r="C6" s="2530"/>
      <c r="D6" s="2530"/>
      <c r="E6" s="2530"/>
      <c r="F6" s="2530"/>
      <c r="G6" s="2530"/>
      <c r="H6" s="2530"/>
      <c r="I6" s="2530"/>
      <c r="J6" s="2530"/>
      <c r="K6" s="2530"/>
      <c r="L6" s="880"/>
      <c r="M6" s="943"/>
      <c r="N6" s="741"/>
      <c r="O6" s="397"/>
      <c r="P6" s="880"/>
      <c r="Q6" s="880"/>
      <c r="R6" s="880"/>
      <c r="S6" s="880"/>
      <c r="T6" s="880"/>
      <c r="U6" s="398"/>
      <c r="V6" s="880"/>
      <c r="W6" s="880"/>
      <c r="X6" s="880"/>
      <c r="Y6" s="880"/>
      <c r="Z6" s="3125" t="s">
        <v>11</v>
      </c>
      <c r="AA6" s="2530"/>
      <c r="AB6" s="2530"/>
      <c r="AC6" s="2530"/>
      <c r="AD6" s="2530"/>
      <c r="AE6" s="2530"/>
      <c r="AF6" s="2530"/>
      <c r="AG6" s="2530"/>
      <c r="AH6" s="2530"/>
      <c r="AI6" s="2530"/>
      <c r="AJ6" s="2530"/>
      <c r="AK6" s="2530"/>
      <c r="AL6" s="2530"/>
      <c r="AM6" s="2530"/>
      <c r="AN6" s="2530"/>
      <c r="AO6" s="2530"/>
      <c r="AP6" s="2530"/>
      <c r="AQ6" s="2530"/>
      <c r="AR6" s="2530"/>
      <c r="AS6" s="2530"/>
      <c r="AT6" s="2530"/>
      <c r="AU6" s="2530"/>
      <c r="AV6" s="2530"/>
      <c r="AW6" s="2530"/>
      <c r="AX6" s="2530"/>
      <c r="AY6" s="2530"/>
      <c r="AZ6" s="2530"/>
      <c r="BA6" s="2530"/>
      <c r="BB6" s="2530"/>
      <c r="BC6" s="880"/>
      <c r="BD6" s="399"/>
      <c r="BE6" s="399"/>
      <c r="BF6" s="399"/>
      <c r="BG6" s="399"/>
      <c r="BH6" s="399"/>
      <c r="BI6" s="399"/>
      <c r="BJ6" s="399"/>
      <c r="BK6" s="399"/>
      <c r="BL6" s="400"/>
      <c r="BM6" s="400"/>
      <c r="BN6" s="400"/>
      <c r="BO6" s="400"/>
      <c r="BP6" s="743"/>
      <c r="BQ6" s="3"/>
      <c r="BR6" s="3"/>
      <c r="BS6" s="3"/>
      <c r="BT6" s="3"/>
      <c r="BU6" s="3"/>
      <c r="BV6" s="3"/>
      <c r="BW6" s="3"/>
      <c r="BX6" s="3"/>
    </row>
    <row r="7" spans="1:76" ht="30" customHeight="1" x14ac:dyDescent="0.25">
      <c r="A7" s="4465" t="s">
        <v>12</v>
      </c>
      <c r="B7" s="2580" t="s">
        <v>13</v>
      </c>
      <c r="C7" s="2580"/>
      <c r="D7" s="2580" t="s">
        <v>12</v>
      </c>
      <c r="E7" s="2580" t="s">
        <v>14</v>
      </c>
      <c r="F7" s="2580"/>
      <c r="G7" s="2580" t="s">
        <v>12</v>
      </c>
      <c r="H7" s="2580" t="s">
        <v>597</v>
      </c>
      <c r="I7" s="4618" t="s">
        <v>15</v>
      </c>
      <c r="J7" s="4619" t="s">
        <v>16</v>
      </c>
      <c r="K7" s="2580" t="s">
        <v>598</v>
      </c>
      <c r="L7" s="2580"/>
      <c r="M7" s="2580" t="s">
        <v>18</v>
      </c>
      <c r="N7" s="2580" t="s">
        <v>19</v>
      </c>
      <c r="O7" s="2580" t="s">
        <v>10</v>
      </c>
      <c r="P7" s="4474" t="s">
        <v>20</v>
      </c>
      <c r="Q7" s="2566" t="s">
        <v>21</v>
      </c>
      <c r="R7" s="2580" t="s">
        <v>22</v>
      </c>
      <c r="S7" s="2580" t="s">
        <v>23</v>
      </c>
      <c r="T7" s="4616" t="s">
        <v>599</v>
      </c>
      <c r="U7" s="2566" t="s">
        <v>21</v>
      </c>
      <c r="V7" s="2566"/>
      <c r="W7" s="2566"/>
      <c r="X7" s="2548" t="s">
        <v>12</v>
      </c>
      <c r="Y7" s="4619" t="s">
        <v>25</v>
      </c>
      <c r="Z7" s="4620" t="s">
        <v>26</v>
      </c>
      <c r="AA7" s="4621"/>
      <c r="AB7" s="4621"/>
      <c r="AC7" s="4622"/>
      <c r="AD7" s="4623" t="s">
        <v>27</v>
      </c>
      <c r="AE7" s="4624"/>
      <c r="AF7" s="4624"/>
      <c r="AG7" s="4624"/>
      <c r="AH7" s="4624"/>
      <c r="AI7" s="4624"/>
      <c r="AJ7" s="4624"/>
      <c r="AK7" s="4625"/>
      <c r="AL7" s="4626" t="s">
        <v>28</v>
      </c>
      <c r="AM7" s="4627"/>
      <c r="AN7" s="4627"/>
      <c r="AO7" s="4627"/>
      <c r="AP7" s="4627"/>
      <c r="AQ7" s="4627"/>
      <c r="AR7" s="4627"/>
      <c r="AS7" s="4627"/>
      <c r="AT7" s="4627"/>
      <c r="AU7" s="4627"/>
      <c r="AV7" s="4627"/>
      <c r="AW7" s="4628"/>
      <c r="AX7" s="4623" t="s">
        <v>29</v>
      </c>
      <c r="AY7" s="4624"/>
      <c r="AZ7" s="4624"/>
      <c r="BA7" s="4624"/>
      <c r="BB7" s="4624"/>
      <c r="BC7" s="4625"/>
      <c r="BD7" s="4629" t="s">
        <v>30</v>
      </c>
      <c r="BE7" s="4630"/>
      <c r="BF7" s="3526" t="s">
        <v>31</v>
      </c>
      <c r="BG7" s="3527"/>
      <c r="BH7" s="3527"/>
      <c r="BI7" s="3527"/>
      <c r="BJ7" s="3527"/>
      <c r="BK7" s="3528"/>
      <c r="BL7" s="2541" t="s">
        <v>32</v>
      </c>
      <c r="BM7" s="2542"/>
      <c r="BN7" s="2541" t="s">
        <v>33</v>
      </c>
      <c r="BO7" s="2542"/>
      <c r="BP7" s="2671" t="s">
        <v>34</v>
      </c>
      <c r="BQ7" s="3"/>
      <c r="BR7" s="3"/>
      <c r="BS7" s="3"/>
      <c r="BT7" s="3"/>
      <c r="BU7" s="3"/>
      <c r="BV7" s="3"/>
      <c r="BW7" s="3"/>
      <c r="BX7" s="3"/>
    </row>
    <row r="8" spans="1:76" ht="115.5" customHeight="1" x14ac:dyDescent="0.25">
      <c r="A8" s="4465"/>
      <c r="B8" s="2580"/>
      <c r="C8" s="2580"/>
      <c r="D8" s="2580"/>
      <c r="E8" s="2580"/>
      <c r="F8" s="2580"/>
      <c r="G8" s="2580"/>
      <c r="H8" s="2580"/>
      <c r="I8" s="4618"/>
      <c r="J8" s="4619"/>
      <c r="K8" s="874" t="s">
        <v>59</v>
      </c>
      <c r="L8" s="874" t="s">
        <v>60</v>
      </c>
      <c r="M8" s="2580"/>
      <c r="N8" s="2580"/>
      <c r="O8" s="2580"/>
      <c r="P8" s="4474"/>
      <c r="Q8" s="2566"/>
      <c r="R8" s="2580"/>
      <c r="S8" s="2580"/>
      <c r="T8" s="4617"/>
      <c r="U8" s="744" t="s">
        <v>600</v>
      </c>
      <c r="V8" s="875" t="s">
        <v>230</v>
      </c>
      <c r="W8" s="875" t="s">
        <v>231</v>
      </c>
      <c r="X8" s="2550"/>
      <c r="Y8" s="4619"/>
      <c r="Z8" s="2673" t="s">
        <v>38</v>
      </c>
      <c r="AA8" s="2674"/>
      <c r="AB8" s="2675" t="s">
        <v>39</v>
      </c>
      <c r="AC8" s="2676"/>
      <c r="AD8" s="2673" t="s">
        <v>40</v>
      </c>
      <c r="AE8" s="2674"/>
      <c r="AF8" s="2673" t="s">
        <v>41</v>
      </c>
      <c r="AG8" s="2674"/>
      <c r="AH8" s="2673" t="s">
        <v>232</v>
      </c>
      <c r="AI8" s="2674"/>
      <c r="AJ8" s="2673" t="s">
        <v>43</v>
      </c>
      <c r="AK8" s="2674"/>
      <c r="AL8" s="2673" t="s">
        <v>44</v>
      </c>
      <c r="AM8" s="2674"/>
      <c r="AN8" s="2673" t="s">
        <v>45</v>
      </c>
      <c r="AO8" s="2674"/>
      <c r="AP8" s="2673" t="s">
        <v>46</v>
      </c>
      <c r="AQ8" s="2674"/>
      <c r="AR8" s="2673" t="s">
        <v>47</v>
      </c>
      <c r="AS8" s="2674"/>
      <c r="AT8" s="2673" t="s">
        <v>48</v>
      </c>
      <c r="AU8" s="2674"/>
      <c r="AV8" s="2673" t="s">
        <v>49</v>
      </c>
      <c r="AW8" s="2674"/>
      <c r="AX8" s="2673" t="s">
        <v>50</v>
      </c>
      <c r="AY8" s="2674"/>
      <c r="AZ8" s="2673" t="s">
        <v>51</v>
      </c>
      <c r="BA8" s="2674"/>
      <c r="BB8" s="2673" t="s">
        <v>52</v>
      </c>
      <c r="BC8" s="2674"/>
      <c r="BD8" s="4631"/>
      <c r="BE8" s="4632"/>
      <c r="BF8" s="3515" t="s">
        <v>53</v>
      </c>
      <c r="BG8" s="3514" t="s">
        <v>54</v>
      </c>
      <c r="BH8" s="3515" t="s">
        <v>55</v>
      </c>
      <c r="BI8" s="3516" t="s">
        <v>56</v>
      </c>
      <c r="BJ8" s="3515" t="s">
        <v>57</v>
      </c>
      <c r="BK8" s="3521" t="s">
        <v>58</v>
      </c>
      <c r="BL8" s="2669"/>
      <c r="BM8" s="2670"/>
      <c r="BN8" s="2669"/>
      <c r="BO8" s="2670"/>
      <c r="BP8" s="2672"/>
      <c r="BQ8" s="3"/>
      <c r="BR8" s="3"/>
      <c r="BS8" s="3"/>
      <c r="BT8" s="3"/>
      <c r="BU8" s="3"/>
      <c r="BV8" s="3"/>
      <c r="BW8" s="3"/>
      <c r="BX8" s="3"/>
    </row>
    <row r="9" spans="1:76" ht="26.25" customHeight="1" x14ac:dyDescent="0.25">
      <c r="A9" s="745"/>
      <c r="B9" s="18"/>
      <c r="C9" s="18"/>
      <c r="D9" s="18"/>
      <c r="E9" s="18"/>
      <c r="F9" s="18"/>
      <c r="G9" s="18"/>
      <c r="H9" s="746"/>
      <c r="I9" s="747"/>
      <c r="J9" s="748"/>
      <c r="K9" s="18"/>
      <c r="L9" s="18"/>
      <c r="M9" s="18"/>
      <c r="N9" s="18"/>
      <c r="O9" s="748"/>
      <c r="P9" s="749"/>
      <c r="Q9" s="749"/>
      <c r="R9" s="749"/>
      <c r="S9" s="749"/>
      <c r="T9" s="749"/>
      <c r="U9" s="750"/>
      <c r="V9" s="751"/>
      <c r="W9" s="751"/>
      <c r="X9" s="745"/>
      <c r="Y9" s="748"/>
      <c r="Z9" s="874" t="s">
        <v>59</v>
      </c>
      <c r="AA9" s="874" t="s">
        <v>60</v>
      </c>
      <c r="AB9" s="874" t="s">
        <v>59</v>
      </c>
      <c r="AC9" s="874" t="s">
        <v>60</v>
      </c>
      <c r="AD9" s="874" t="s">
        <v>59</v>
      </c>
      <c r="AE9" s="874" t="s">
        <v>60</v>
      </c>
      <c r="AF9" s="874" t="s">
        <v>59</v>
      </c>
      <c r="AG9" s="874" t="s">
        <v>60</v>
      </c>
      <c r="AH9" s="874" t="s">
        <v>59</v>
      </c>
      <c r="AI9" s="874" t="s">
        <v>60</v>
      </c>
      <c r="AJ9" s="874" t="s">
        <v>59</v>
      </c>
      <c r="AK9" s="874" t="s">
        <v>60</v>
      </c>
      <c r="AL9" s="874" t="s">
        <v>59</v>
      </c>
      <c r="AM9" s="874" t="s">
        <v>60</v>
      </c>
      <c r="AN9" s="874" t="s">
        <v>59</v>
      </c>
      <c r="AO9" s="874" t="s">
        <v>60</v>
      </c>
      <c r="AP9" s="874" t="s">
        <v>59</v>
      </c>
      <c r="AQ9" s="874" t="s">
        <v>60</v>
      </c>
      <c r="AR9" s="874" t="s">
        <v>59</v>
      </c>
      <c r="AS9" s="874" t="s">
        <v>60</v>
      </c>
      <c r="AT9" s="874" t="s">
        <v>59</v>
      </c>
      <c r="AU9" s="874" t="s">
        <v>60</v>
      </c>
      <c r="AV9" s="874" t="s">
        <v>59</v>
      </c>
      <c r="AW9" s="874" t="s">
        <v>60</v>
      </c>
      <c r="AX9" s="874" t="s">
        <v>59</v>
      </c>
      <c r="AY9" s="874" t="s">
        <v>60</v>
      </c>
      <c r="AZ9" s="874" t="s">
        <v>59</v>
      </c>
      <c r="BA9" s="874" t="s">
        <v>60</v>
      </c>
      <c r="BB9" s="874" t="s">
        <v>59</v>
      </c>
      <c r="BC9" s="874" t="s">
        <v>60</v>
      </c>
      <c r="BD9" s="874" t="s">
        <v>59</v>
      </c>
      <c r="BE9" s="874" t="s">
        <v>60</v>
      </c>
      <c r="BF9" s="3515"/>
      <c r="BG9" s="3514"/>
      <c r="BH9" s="3515"/>
      <c r="BI9" s="3516"/>
      <c r="BJ9" s="3515"/>
      <c r="BK9" s="3522"/>
      <c r="BL9" s="874" t="s">
        <v>59</v>
      </c>
      <c r="BM9" s="874" t="s">
        <v>60</v>
      </c>
      <c r="BN9" s="874" t="s">
        <v>59</v>
      </c>
      <c r="BO9" s="874" t="s">
        <v>60</v>
      </c>
      <c r="BP9" s="752"/>
      <c r="BQ9" s="3"/>
      <c r="BR9" s="3"/>
      <c r="BS9" s="3"/>
      <c r="BT9" s="3"/>
      <c r="BU9" s="3"/>
      <c r="BV9" s="3"/>
      <c r="BW9" s="3"/>
      <c r="BX9" s="3"/>
    </row>
    <row r="10" spans="1:76" ht="15.75" x14ac:dyDescent="0.25">
      <c r="A10" s="753">
        <v>1</v>
      </c>
      <c r="B10" s="204" t="s">
        <v>601</v>
      </c>
      <c r="C10" s="754"/>
      <c r="D10" s="206"/>
      <c r="E10" s="755"/>
      <c r="F10" s="755"/>
      <c r="G10" s="755"/>
      <c r="H10" s="755"/>
      <c r="I10" s="756"/>
      <c r="J10" s="757"/>
      <c r="K10" s="755"/>
      <c r="L10" s="755"/>
      <c r="M10" s="755"/>
      <c r="N10" s="1047"/>
      <c r="O10" s="758"/>
      <c r="P10" s="759"/>
      <c r="Q10" s="759"/>
      <c r="R10" s="759"/>
      <c r="S10" s="759"/>
      <c r="T10" s="759"/>
      <c r="U10" s="755"/>
      <c r="V10" s="755"/>
      <c r="W10" s="755"/>
      <c r="X10" s="755"/>
      <c r="Y10" s="757"/>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5"/>
      <c r="AY10" s="755"/>
      <c r="AZ10" s="755"/>
      <c r="BA10" s="755"/>
      <c r="BB10" s="755"/>
      <c r="BC10" s="755"/>
      <c r="BD10" s="755"/>
      <c r="BE10" s="755"/>
      <c r="BF10" s="755"/>
      <c r="BG10" s="755"/>
      <c r="BH10" s="755"/>
      <c r="BI10" s="755"/>
      <c r="BJ10" s="755"/>
      <c r="BK10" s="755"/>
      <c r="BL10" s="755"/>
      <c r="BM10" s="755"/>
      <c r="BN10" s="755"/>
      <c r="BO10" s="755"/>
      <c r="BP10" s="755"/>
      <c r="BQ10" s="4"/>
      <c r="BR10" s="4"/>
      <c r="BS10" s="4"/>
      <c r="BT10" s="4"/>
      <c r="BU10" s="4"/>
      <c r="BV10" s="4"/>
      <c r="BW10" s="4"/>
      <c r="BX10" s="4"/>
    </row>
    <row r="11" spans="1:76" ht="15.75" x14ac:dyDescent="0.25">
      <c r="A11" s="760"/>
      <c r="B11" s="761"/>
      <c r="C11" s="762"/>
      <c r="D11" s="763">
        <v>39</v>
      </c>
      <c r="E11" s="219" t="s">
        <v>602</v>
      </c>
      <c r="F11" s="220"/>
      <c r="G11" s="221"/>
      <c r="H11" s="221"/>
      <c r="I11" s="764"/>
      <c r="J11" s="765"/>
      <c r="K11" s="223"/>
      <c r="L11" s="223"/>
      <c r="M11" s="222"/>
      <c r="N11" s="811"/>
      <c r="O11" s="766"/>
      <c r="P11" s="767"/>
      <c r="Q11" s="767"/>
      <c r="R11" s="767"/>
      <c r="S11" s="767"/>
      <c r="T11" s="767"/>
      <c r="U11" s="768"/>
      <c r="V11" s="768"/>
      <c r="W11" s="768"/>
      <c r="X11" s="768"/>
      <c r="Y11" s="769"/>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8"/>
      <c r="AY11" s="768"/>
      <c r="AZ11" s="768"/>
      <c r="BA11" s="768"/>
      <c r="BB11" s="768"/>
      <c r="BC11" s="768"/>
      <c r="BD11" s="768"/>
      <c r="BE11" s="768"/>
      <c r="BF11" s="768"/>
      <c r="BG11" s="768"/>
      <c r="BH11" s="768"/>
      <c r="BI11" s="768"/>
      <c r="BJ11" s="768"/>
      <c r="BK11" s="768"/>
      <c r="BL11" s="768"/>
      <c r="BM11" s="768"/>
      <c r="BN11" s="768"/>
      <c r="BO11" s="768"/>
      <c r="BP11" s="768"/>
      <c r="BQ11" s="4"/>
      <c r="BR11" s="4"/>
      <c r="BS11" s="4"/>
      <c r="BT11" s="4"/>
      <c r="BU11" s="4"/>
      <c r="BV11" s="4"/>
      <c r="BW11" s="4"/>
      <c r="BX11" s="4"/>
    </row>
    <row r="12" spans="1:76" ht="207" customHeight="1" x14ac:dyDescent="0.25">
      <c r="A12" s="770"/>
      <c r="B12" s="771"/>
      <c r="C12" s="772"/>
      <c r="D12" s="773"/>
      <c r="E12" s="680"/>
      <c r="F12" s="774"/>
      <c r="G12" s="940" t="s">
        <v>603</v>
      </c>
      <c r="H12" s="1985">
        <v>39.4</v>
      </c>
      <c r="I12" s="775" t="s">
        <v>604</v>
      </c>
      <c r="J12" s="776" t="s">
        <v>605</v>
      </c>
      <c r="K12" s="937">
        <v>3</v>
      </c>
      <c r="L12" s="937">
        <v>5</v>
      </c>
      <c r="M12" s="938" t="s">
        <v>606</v>
      </c>
      <c r="N12" s="1863" t="s">
        <v>607</v>
      </c>
      <c r="O12" s="908" t="s">
        <v>608</v>
      </c>
      <c r="P12" s="777">
        <v>1</v>
      </c>
      <c r="Q12" s="1473">
        <f>+U12</f>
        <v>372570330</v>
      </c>
      <c r="R12" s="908" t="s">
        <v>609</v>
      </c>
      <c r="S12" s="908" t="s">
        <v>610</v>
      </c>
      <c r="T12" s="778" t="s">
        <v>611</v>
      </c>
      <c r="U12" s="1475">
        <f>+'[1]Metas Producto F-PLA 47'!Q16</f>
        <v>372570330</v>
      </c>
      <c r="V12" s="1481">
        <f>+'[1]Metas Producto F-PLA 47'!R16</f>
        <v>268586100.41000003</v>
      </c>
      <c r="W12" s="1481">
        <f>+'[1]Metas Producto F-PLA 47'!S16</f>
        <v>268586100.41000003</v>
      </c>
      <c r="X12" s="597">
        <v>4</v>
      </c>
      <c r="Y12" s="779" t="s">
        <v>612</v>
      </c>
      <c r="Z12" s="4633">
        <v>252272</v>
      </c>
      <c r="AA12" s="4633">
        <v>252272</v>
      </c>
      <c r="AB12" s="4633">
        <v>257368</v>
      </c>
      <c r="AC12" s="4633">
        <v>257368</v>
      </c>
      <c r="AD12" s="4633">
        <v>76446</v>
      </c>
      <c r="AE12" s="4633">
        <v>76446</v>
      </c>
      <c r="AF12" s="4633">
        <v>127410</v>
      </c>
      <c r="AG12" s="4633">
        <v>127410</v>
      </c>
      <c r="AH12" s="4633">
        <v>178374</v>
      </c>
      <c r="AI12" s="4633">
        <v>178374</v>
      </c>
      <c r="AJ12" s="4633">
        <v>127410</v>
      </c>
      <c r="AK12" s="4633">
        <v>127410</v>
      </c>
      <c r="AL12" s="4633">
        <v>0</v>
      </c>
      <c r="AM12" s="4633"/>
      <c r="AN12" s="4633">
        <v>0</v>
      </c>
      <c r="AO12" s="4633"/>
      <c r="AP12" s="4633">
        <v>0</v>
      </c>
      <c r="AQ12" s="4633"/>
      <c r="AR12" s="4633">
        <v>0</v>
      </c>
      <c r="AS12" s="4633"/>
      <c r="AT12" s="4633">
        <v>0</v>
      </c>
      <c r="AU12" s="4633"/>
      <c r="AV12" s="4633">
        <v>0</v>
      </c>
      <c r="AW12" s="4633"/>
      <c r="AX12" s="4633">
        <v>0</v>
      </c>
      <c r="AY12" s="4633"/>
      <c r="AZ12" s="4633">
        <v>0</v>
      </c>
      <c r="BA12" s="4633"/>
      <c r="BB12" s="4633">
        <v>0</v>
      </c>
      <c r="BC12" s="4633"/>
      <c r="BD12" s="4633">
        <f>+Z12+AB12</f>
        <v>509640</v>
      </c>
      <c r="BE12" s="4633">
        <f>+AA12+AC12</f>
        <v>509640</v>
      </c>
      <c r="BF12" s="4633" t="s">
        <v>613</v>
      </c>
      <c r="BG12" s="780">
        <f>+V12</f>
        <v>268586100.41000003</v>
      </c>
      <c r="BH12" s="780">
        <f>+W12</f>
        <v>268586100.41000003</v>
      </c>
      <c r="BI12" s="781">
        <f>+BH12/BG12</f>
        <v>1</v>
      </c>
      <c r="BJ12" s="782" t="s">
        <v>614</v>
      </c>
      <c r="BK12" s="4637" t="s">
        <v>615</v>
      </c>
      <c r="BL12" s="4634">
        <v>43831</v>
      </c>
      <c r="BM12" s="4634">
        <v>43831</v>
      </c>
      <c r="BN12" s="4634">
        <v>44196</v>
      </c>
      <c r="BO12" s="4634">
        <v>44196</v>
      </c>
      <c r="BP12" s="4637" t="s">
        <v>616</v>
      </c>
      <c r="BQ12" s="71"/>
      <c r="BR12" s="71"/>
      <c r="BS12" s="71"/>
      <c r="BT12" s="71"/>
      <c r="BU12" s="71"/>
      <c r="BV12" s="71"/>
      <c r="BW12" s="71"/>
      <c r="BX12" s="71"/>
    </row>
    <row r="13" spans="1:76" ht="15.75" x14ac:dyDescent="0.25">
      <c r="A13" s="783"/>
      <c r="B13" s="784"/>
      <c r="C13" s="785"/>
      <c r="D13" s="763">
        <v>15</v>
      </c>
      <c r="E13" s="219" t="s">
        <v>617</v>
      </c>
      <c r="F13" s="219"/>
      <c r="G13" s="786"/>
      <c r="H13" s="786"/>
      <c r="I13" s="220"/>
      <c r="J13" s="787"/>
      <c r="K13" s="788"/>
      <c r="L13" s="788"/>
      <c r="M13" s="788"/>
      <c r="N13" s="1777"/>
      <c r="O13" s="789"/>
      <c r="P13" s="790"/>
      <c r="Q13" s="1474"/>
      <c r="R13" s="791"/>
      <c r="S13" s="791"/>
      <c r="T13" s="791"/>
      <c r="U13" s="1482"/>
      <c r="V13" s="1474"/>
      <c r="W13" s="1474"/>
      <c r="X13" s="792"/>
      <c r="Y13" s="793"/>
      <c r="Z13" s="4633"/>
      <c r="AA13" s="4633"/>
      <c r="AB13" s="4633"/>
      <c r="AC13" s="4633"/>
      <c r="AD13" s="4633"/>
      <c r="AE13" s="4633"/>
      <c r="AF13" s="4633"/>
      <c r="AG13" s="4633"/>
      <c r="AH13" s="4633"/>
      <c r="AI13" s="4633"/>
      <c r="AJ13" s="4633"/>
      <c r="AK13" s="4633"/>
      <c r="AL13" s="4633"/>
      <c r="AM13" s="4633"/>
      <c r="AN13" s="4633"/>
      <c r="AO13" s="4633"/>
      <c r="AP13" s="4633"/>
      <c r="AQ13" s="4633"/>
      <c r="AR13" s="4633"/>
      <c r="AS13" s="4633"/>
      <c r="AT13" s="4633"/>
      <c r="AU13" s="4633"/>
      <c r="AV13" s="4633"/>
      <c r="AW13" s="4633"/>
      <c r="AX13" s="4633"/>
      <c r="AY13" s="4633"/>
      <c r="AZ13" s="4633"/>
      <c r="BA13" s="4633"/>
      <c r="BB13" s="4633"/>
      <c r="BC13" s="4633"/>
      <c r="BD13" s="4633"/>
      <c r="BE13" s="4633"/>
      <c r="BF13" s="4633"/>
      <c r="BG13" s="794"/>
      <c r="BH13" s="794"/>
      <c r="BI13" s="795"/>
      <c r="BJ13" s="796"/>
      <c r="BK13" s="4638"/>
      <c r="BL13" s="4635"/>
      <c r="BM13" s="4635"/>
      <c r="BN13" s="4635"/>
      <c r="BO13" s="4635"/>
      <c r="BP13" s="4638"/>
      <c r="BQ13" s="4"/>
      <c r="BR13" s="4"/>
      <c r="BS13" s="4"/>
      <c r="BT13" s="4"/>
      <c r="BU13" s="4"/>
      <c r="BV13" s="4"/>
      <c r="BW13" s="4"/>
      <c r="BX13" s="4"/>
    </row>
    <row r="14" spans="1:76" ht="56.25" customHeight="1" x14ac:dyDescent="0.25">
      <c r="A14" s="770"/>
      <c r="B14" s="771"/>
      <c r="C14" s="771"/>
      <c r="D14" s="4640"/>
      <c r="E14" s="4642"/>
      <c r="F14" s="4644"/>
      <c r="G14" s="4646" t="s">
        <v>603</v>
      </c>
      <c r="H14" s="4647">
        <v>15.32</v>
      </c>
      <c r="I14" s="4649" t="s">
        <v>618</v>
      </c>
      <c r="J14" s="4650" t="s">
        <v>619</v>
      </c>
      <c r="K14" s="4520">
        <v>9</v>
      </c>
      <c r="L14" s="2985">
        <v>15</v>
      </c>
      <c r="M14" s="4251" t="s">
        <v>620</v>
      </c>
      <c r="N14" s="4251" t="s">
        <v>607</v>
      </c>
      <c r="O14" s="3816" t="s">
        <v>608</v>
      </c>
      <c r="P14" s="4249">
        <v>1</v>
      </c>
      <c r="Q14" s="3322">
        <f>+U14+U15</f>
        <v>518090330</v>
      </c>
      <c r="R14" s="3816" t="s">
        <v>609</v>
      </c>
      <c r="S14" s="3816" t="s">
        <v>610</v>
      </c>
      <c r="T14" s="4654" t="s">
        <v>621</v>
      </c>
      <c r="U14" s="1475">
        <f>+'[1]Metas Producto F-PLA 47'!Q17</f>
        <v>372570330</v>
      </c>
      <c r="V14" s="1481">
        <f>+'[1]Metas Producto F-PLA 47'!R17</f>
        <v>372570330.00333333</v>
      </c>
      <c r="W14" s="1481">
        <f>+'[1]Metas Producto F-PLA 47'!S17</f>
        <v>372570330.00333333</v>
      </c>
      <c r="X14" s="797">
        <v>4</v>
      </c>
      <c r="Y14" s="779" t="s">
        <v>612</v>
      </c>
      <c r="Z14" s="4633"/>
      <c r="AA14" s="4633"/>
      <c r="AB14" s="4633"/>
      <c r="AC14" s="4633"/>
      <c r="AD14" s="4633"/>
      <c r="AE14" s="4633"/>
      <c r="AF14" s="4633"/>
      <c r="AG14" s="4633"/>
      <c r="AH14" s="4633"/>
      <c r="AI14" s="4633"/>
      <c r="AJ14" s="4633"/>
      <c r="AK14" s="4633"/>
      <c r="AL14" s="4633"/>
      <c r="AM14" s="4633"/>
      <c r="AN14" s="4633"/>
      <c r="AO14" s="4633"/>
      <c r="AP14" s="4633"/>
      <c r="AQ14" s="4633"/>
      <c r="AR14" s="4633"/>
      <c r="AS14" s="4633"/>
      <c r="AT14" s="4633"/>
      <c r="AU14" s="4633"/>
      <c r="AV14" s="4633"/>
      <c r="AW14" s="4633"/>
      <c r="AX14" s="4633"/>
      <c r="AY14" s="4633"/>
      <c r="AZ14" s="4633"/>
      <c r="BA14" s="4633"/>
      <c r="BB14" s="4633"/>
      <c r="BC14" s="4633"/>
      <c r="BD14" s="4633"/>
      <c r="BE14" s="4633"/>
      <c r="BF14" s="4633"/>
      <c r="BG14" s="798">
        <f>V14</f>
        <v>372570330.00333333</v>
      </c>
      <c r="BH14" s="798">
        <f>W14</f>
        <v>372570330.00333333</v>
      </c>
      <c r="BI14" s="781">
        <f t="shared" ref="BI14:BI27" si="0">+BH14/BG14</f>
        <v>1</v>
      </c>
      <c r="BJ14" s="782" t="s">
        <v>614</v>
      </c>
      <c r="BK14" s="4638"/>
      <c r="BL14" s="4635"/>
      <c r="BM14" s="4635"/>
      <c r="BN14" s="4635"/>
      <c r="BO14" s="4635"/>
      <c r="BP14" s="4638"/>
      <c r="BQ14" s="71"/>
      <c r="BR14" s="71"/>
      <c r="BS14" s="71"/>
      <c r="BT14" s="71"/>
      <c r="BU14" s="71"/>
      <c r="BV14" s="71"/>
      <c r="BW14" s="71"/>
      <c r="BX14" s="71"/>
    </row>
    <row r="15" spans="1:76" ht="56.25" customHeight="1" x14ac:dyDescent="0.25">
      <c r="A15" s="679"/>
      <c r="B15" s="144"/>
      <c r="C15" s="144"/>
      <c r="D15" s="4641"/>
      <c r="E15" s="4643"/>
      <c r="F15" s="4645"/>
      <c r="G15" s="4646"/>
      <c r="H15" s="4648"/>
      <c r="I15" s="4649"/>
      <c r="J15" s="4650"/>
      <c r="K15" s="4520"/>
      <c r="L15" s="2987"/>
      <c r="M15" s="4251"/>
      <c r="N15" s="4251"/>
      <c r="O15" s="3816"/>
      <c r="P15" s="4249"/>
      <c r="Q15" s="3323"/>
      <c r="R15" s="3816"/>
      <c r="S15" s="3816"/>
      <c r="T15" s="4655"/>
      <c r="U15" s="1475">
        <f>+'[1]Metas Producto F-PLA 47'!Q18</f>
        <v>145520000</v>
      </c>
      <c r="V15" s="1481">
        <f>+'[1]Metas Producto F-PLA 47'!R18</f>
        <v>108304983.15000001</v>
      </c>
      <c r="W15" s="1481">
        <f>+'[1]Metas Producto F-PLA 47'!S18</f>
        <v>108304983.15000001</v>
      </c>
      <c r="X15" s="597">
        <v>3</v>
      </c>
      <c r="Y15" s="779" t="s">
        <v>622</v>
      </c>
      <c r="Z15" s="4633"/>
      <c r="AA15" s="4633"/>
      <c r="AB15" s="4633"/>
      <c r="AC15" s="4633"/>
      <c r="AD15" s="4633"/>
      <c r="AE15" s="4633"/>
      <c r="AF15" s="4633"/>
      <c r="AG15" s="4633"/>
      <c r="AH15" s="4633"/>
      <c r="AI15" s="4633"/>
      <c r="AJ15" s="4633"/>
      <c r="AK15" s="4633"/>
      <c r="AL15" s="4633"/>
      <c r="AM15" s="4633"/>
      <c r="AN15" s="4633"/>
      <c r="AO15" s="4633"/>
      <c r="AP15" s="4633"/>
      <c r="AQ15" s="4633"/>
      <c r="AR15" s="4633"/>
      <c r="AS15" s="4633"/>
      <c r="AT15" s="4633"/>
      <c r="AU15" s="4633"/>
      <c r="AV15" s="4633"/>
      <c r="AW15" s="4633"/>
      <c r="AX15" s="4633"/>
      <c r="AY15" s="4633"/>
      <c r="AZ15" s="4633"/>
      <c r="BA15" s="4633"/>
      <c r="BB15" s="4633"/>
      <c r="BC15" s="4633"/>
      <c r="BD15" s="4633"/>
      <c r="BE15" s="4633"/>
      <c r="BF15" s="4633"/>
      <c r="BG15" s="798">
        <f>+V18</f>
        <v>218159599.37</v>
      </c>
      <c r="BH15" s="798">
        <f>W15</f>
        <v>108304983.15000001</v>
      </c>
      <c r="BI15" s="781">
        <f t="shared" si="0"/>
        <v>0.49644839586597378</v>
      </c>
      <c r="BJ15" s="782" t="s">
        <v>623</v>
      </c>
      <c r="BK15" s="4638"/>
      <c r="BL15" s="4635"/>
      <c r="BM15" s="4635"/>
      <c r="BN15" s="4635"/>
      <c r="BO15" s="4635"/>
      <c r="BP15" s="4638"/>
      <c r="BQ15" s="71"/>
      <c r="BR15" s="71"/>
      <c r="BS15" s="71"/>
      <c r="BT15" s="71"/>
      <c r="BU15" s="71"/>
      <c r="BV15" s="71"/>
      <c r="BW15" s="71"/>
      <c r="BX15" s="71"/>
    </row>
    <row r="16" spans="1:76" ht="15.75" x14ac:dyDescent="0.25">
      <c r="A16" s="799">
        <v>3</v>
      </c>
      <c r="B16" s="800" t="s">
        <v>624</v>
      </c>
      <c r="C16" s="801"/>
      <c r="D16" s="802"/>
      <c r="E16" s="802"/>
      <c r="F16" s="802"/>
      <c r="G16" s="802"/>
      <c r="H16" s="802"/>
      <c r="I16" s="803"/>
      <c r="J16" s="804"/>
      <c r="K16" s="805"/>
      <c r="L16" s="805"/>
      <c r="M16" s="805"/>
      <c r="N16" s="805"/>
      <c r="O16" s="803"/>
      <c r="P16" s="805"/>
      <c r="Q16" s="1476"/>
      <c r="R16" s="804"/>
      <c r="S16" s="804"/>
      <c r="T16" s="804"/>
      <c r="U16" s="1483"/>
      <c r="V16" s="1476"/>
      <c r="W16" s="1476"/>
      <c r="X16" s="806"/>
      <c r="Y16" s="807"/>
      <c r="Z16" s="4633"/>
      <c r="AA16" s="4633"/>
      <c r="AB16" s="4633"/>
      <c r="AC16" s="4633"/>
      <c r="AD16" s="4633"/>
      <c r="AE16" s="4633"/>
      <c r="AF16" s="4633"/>
      <c r="AG16" s="4633"/>
      <c r="AH16" s="4633"/>
      <c r="AI16" s="4633"/>
      <c r="AJ16" s="4633"/>
      <c r="AK16" s="4633"/>
      <c r="AL16" s="4633"/>
      <c r="AM16" s="4633"/>
      <c r="AN16" s="4633"/>
      <c r="AO16" s="4633"/>
      <c r="AP16" s="4633"/>
      <c r="AQ16" s="4633"/>
      <c r="AR16" s="4633"/>
      <c r="AS16" s="4633"/>
      <c r="AT16" s="4633"/>
      <c r="AU16" s="4633"/>
      <c r="AV16" s="4633"/>
      <c r="AW16" s="4633"/>
      <c r="AX16" s="4633"/>
      <c r="AY16" s="4633"/>
      <c r="AZ16" s="4633"/>
      <c r="BA16" s="4633"/>
      <c r="BB16" s="4633"/>
      <c r="BC16" s="4633"/>
      <c r="BD16" s="4633"/>
      <c r="BE16" s="4633"/>
      <c r="BF16" s="4633"/>
      <c r="BG16" s="808"/>
      <c r="BH16" s="808"/>
      <c r="BI16" s="809"/>
      <c r="BJ16" s="810"/>
      <c r="BK16" s="4638"/>
      <c r="BL16" s="4635"/>
      <c r="BM16" s="4635"/>
      <c r="BN16" s="4635"/>
      <c r="BO16" s="4635"/>
      <c r="BP16" s="4638"/>
      <c r="BQ16" s="4"/>
      <c r="BR16" s="4"/>
      <c r="BS16" s="4"/>
      <c r="BT16" s="4"/>
      <c r="BU16" s="4"/>
      <c r="BV16" s="4"/>
      <c r="BW16" s="4"/>
      <c r="BX16" s="4"/>
    </row>
    <row r="17" spans="1:76" ht="15.75" x14ac:dyDescent="0.25">
      <c r="A17" s="760"/>
      <c r="B17" s="761"/>
      <c r="C17" s="762"/>
      <c r="D17" s="763">
        <v>18</v>
      </c>
      <c r="E17" s="219" t="s">
        <v>625</v>
      </c>
      <c r="F17" s="219"/>
      <c r="G17" s="811"/>
      <c r="H17" s="811"/>
      <c r="I17" s="222"/>
      <c r="J17" s="765"/>
      <c r="K17" s="234"/>
      <c r="L17" s="234"/>
      <c r="M17" s="234"/>
      <c r="N17" s="1053"/>
      <c r="O17" s="789"/>
      <c r="P17" s="790"/>
      <c r="Q17" s="1474"/>
      <c r="R17" s="791"/>
      <c r="S17" s="791"/>
      <c r="T17" s="791"/>
      <c r="U17" s="1482"/>
      <c r="V17" s="1474"/>
      <c r="W17" s="1474"/>
      <c r="X17" s="812"/>
      <c r="Y17" s="769"/>
      <c r="Z17" s="4633"/>
      <c r="AA17" s="4633"/>
      <c r="AB17" s="4633"/>
      <c r="AC17" s="4633"/>
      <c r="AD17" s="4633"/>
      <c r="AE17" s="4633"/>
      <c r="AF17" s="4633"/>
      <c r="AG17" s="4633"/>
      <c r="AH17" s="4633"/>
      <c r="AI17" s="4633"/>
      <c r="AJ17" s="4633"/>
      <c r="AK17" s="4633"/>
      <c r="AL17" s="4633"/>
      <c r="AM17" s="4633"/>
      <c r="AN17" s="4633"/>
      <c r="AO17" s="4633"/>
      <c r="AP17" s="4633"/>
      <c r="AQ17" s="4633"/>
      <c r="AR17" s="4633"/>
      <c r="AS17" s="4633"/>
      <c r="AT17" s="4633"/>
      <c r="AU17" s="4633"/>
      <c r="AV17" s="4633"/>
      <c r="AW17" s="4633"/>
      <c r="AX17" s="4633"/>
      <c r="AY17" s="4633"/>
      <c r="AZ17" s="4633"/>
      <c r="BA17" s="4633"/>
      <c r="BB17" s="4633"/>
      <c r="BC17" s="4633"/>
      <c r="BD17" s="4633"/>
      <c r="BE17" s="4633"/>
      <c r="BF17" s="4633"/>
      <c r="BG17" s="794"/>
      <c r="BH17" s="794"/>
      <c r="BI17" s="795"/>
      <c r="BJ17" s="796"/>
      <c r="BK17" s="4638"/>
      <c r="BL17" s="4635"/>
      <c r="BM17" s="4635"/>
      <c r="BN17" s="4635"/>
      <c r="BO17" s="4635"/>
      <c r="BP17" s="4638"/>
      <c r="BQ17" s="4"/>
      <c r="BR17" s="4"/>
      <c r="BS17" s="4"/>
      <c r="BT17" s="4"/>
      <c r="BU17" s="4"/>
      <c r="BV17" s="4"/>
      <c r="BW17" s="4"/>
      <c r="BX17" s="4"/>
    </row>
    <row r="18" spans="1:76" ht="75" x14ac:dyDescent="0.25">
      <c r="A18" s="813"/>
      <c r="B18" s="156"/>
      <c r="C18" s="156"/>
      <c r="D18" s="814"/>
      <c r="E18" s="680"/>
      <c r="F18" s="681"/>
      <c r="G18" s="815" t="s">
        <v>603</v>
      </c>
      <c r="H18" s="1986">
        <v>18.2</v>
      </c>
      <c r="I18" s="347" t="s">
        <v>626</v>
      </c>
      <c r="J18" s="816" t="s">
        <v>627</v>
      </c>
      <c r="K18" s="937">
        <v>130</v>
      </c>
      <c r="L18" s="937">
        <v>97</v>
      </c>
      <c r="M18" s="938" t="s">
        <v>628</v>
      </c>
      <c r="N18" s="1874" t="s">
        <v>607</v>
      </c>
      <c r="O18" s="908" t="s">
        <v>608</v>
      </c>
      <c r="P18" s="939">
        <v>1</v>
      </c>
      <c r="Q18" s="1477">
        <f>+U18</f>
        <v>218280000</v>
      </c>
      <c r="R18" s="908" t="s">
        <v>609</v>
      </c>
      <c r="S18" s="908" t="s">
        <v>610</v>
      </c>
      <c r="T18" s="817" t="s">
        <v>629</v>
      </c>
      <c r="U18" s="1475">
        <f>+'[1]Metas Producto F-PLA 47'!Q19</f>
        <v>218280000</v>
      </c>
      <c r="V18" s="1481">
        <f>+'[1]Metas Producto F-PLA 47'!R19</f>
        <v>218159599.37</v>
      </c>
      <c r="W18" s="1481">
        <f>+'[1]Metas Producto F-PLA 47'!S19</f>
        <v>218159599.37</v>
      </c>
      <c r="X18" s="597">
        <v>3</v>
      </c>
      <c r="Y18" s="779" t="s">
        <v>622</v>
      </c>
      <c r="Z18" s="4633"/>
      <c r="AA18" s="4633"/>
      <c r="AB18" s="4633"/>
      <c r="AC18" s="4633"/>
      <c r="AD18" s="4633"/>
      <c r="AE18" s="4633"/>
      <c r="AF18" s="4633"/>
      <c r="AG18" s="4633"/>
      <c r="AH18" s="4633"/>
      <c r="AI18" s="4633"/>
      <c r="AJ18" s="4633"/>
      <c r="AK18" s="4633"/>
      <c r="AL18" s="4633"/>
      <c r="AM18" s="4633"/>
      <c r="AN18" s="4633"/>
      <c r="AO18" s="4633"/>
      <c r="AP18" s="4633"/>
      <c r="AQ18" s="4633"/>
      <c r="AR18" s="4633"/>
      <c r="AS18" s="4633"/>
      <c r="AT18" s="4633"/>
      <c r="AU18" s="4633"/>
      <c r="AV18" s="4633"/>
      <c r="AW18" s="4633"/>
      <c r="AX18" s="4633"/>
      <c r="AY18" s="4633"/>
      <c r="AZ18" s="4633"/>
      <c r="BA18" s="4633"/>
      <c r="BB18" s="4633"/>
      <c r="BC18" s="4633"/>
      <c r="BD18" s="4633"/>
      <c r="BE18" s="4633"/>
      <c r="BF18" s="4633"/>
      <c r="BG18" s="798">
        <f>V18</f>
        <v>218159599.37</v>
      </c>
      <c r="BH18" s="798">
        <f>W18</f>
        <v>218159599.37</v>
      </c>
      <c r="BI18" s="781">
        <f t="shared" si="0"/>
        <v>1</v>
      </c>
      <c r="BJ18" s="782" t="s">
        <v>623</v>
      </c>
      <c r="BK18" s="4638"/>
      <c r="BL18" s="4635"/>
      <c r="BM18" s="4635"/>
      <c r="BN18" s="4635"/>
      <c r="BO18" s="4635"/>
      <c r="BP18" s="4638"/>
    </row>
    <row r="19" spans="1:76" ht="15.75" x14ac:dyDescent="0.25">
      <c r="A19" s="783"/>
      <c r="B19" s="784"/>
      <c r="C19" s="785"/>
      <c r="D19" s="818">
        <v>33</v>
      </c>
      <c r="E19" s="819" t="s">
        <v>630</v>
      </c>
      <c r="F19" s="819"/>
      <c r="G19" s="811"/>
      <c r="H19" s="786"/>
      <c r="I19" s="220"/>
      <c r="J19" s="787"/>
      <c r="K19" s="788"/>
      <c r="L19" s="788"/>
      <c r="M19" s="788"/>
      <c r="N19" s="1777"/>
      <c r="O19" s="789"/>
      <c r="P19" s="790"/>
      <c r="Q19" s="1474"/>
      <c r="R19" s="791"/>
      <c r="S19" s="791"/>
      <c r="T19" s="791"/>
      <c r="U19" s="1482"/>
      <c r="V19" s="1474"/>
      <c r="W19" s="1474"/>
      <c r="X19" s="792"/>
      <c r="Y19" s="793"/>
      <c r="Z19" s="4633"/>
      <c r="AA19" s="4633"/>
      <c r="AB19" s="4633"/>
      <c r="AC19" s="4633"/>
      <c r="AD19" s="4633"/>
      <c r="AE19" s="4633"/>
      <c r="AF19" s="4633"/>
      <c r="AG19" s="4633"/>
      <c r="AH19" s="4633"/>
      <c r="AI19" s="4633"/>
      <c r="AJ19" s="4633"/>
      <c r="AK19" s="4633"/>
      <c r="AL19" s="4633"/>
      <c r="AM19" s="4633"/>
      <c r="AN19" s="4633"/>
      <c r="AO19" s="4633"/>
      <c r="AP19" s="4633"/>
      <c r="AQ19" s="4633"/>
      <c r="AR19" s="4633"/>
      <c r="AS19" s="4633"/>
      <c r="AT19" s="4633"/>
      <c r="AU19" s="4633"/>
      <c r="AV19" s="4633"/>
      <c r="AW19" s="4633"/>
      <c r="AX19" s="4633"/>
      <c r="AY19" s="4633"/>
      <c r="AZ19" s="4633"/>
      <c r="BA19" s="4633"/>
      <c r="BB19" s="4633"/>
      <c r="BC19" s="4633"/>
      <c r="BD19" s="4633"/>
      <c r="BE19" s="4633"/>
      <c r="BF19" s="4633"/>
      <c r="BG19" s="794"/>
      <c r="BH19" s="794"/>
      <c r="BI19" s="795"/>
      <c r="BJ19" s="796"/>
      <c r="BK19" s="4638"/>
      <c r="BL19" s="4635"/>
      <c r="BM19" s="4635"/>
      <c r="BN19" s="4635"/>
      <c r="BO19" s="4635"/>
      <c r="BP19" s="4638"/>
    </row>
    <row r="20" spans="1:76" ht="87.75" customHeight="1" x14ac:dyDescent="0.25">
      <c r="A20" s="770"/>
      <c r="B20" s="771"/>
      <c r="C20" s="772"/>
      <c r="D20" s="239"/>
      <c r="E20" s="239"/>
      <c r="F20" s="820"/>
      <c r="G20" s="821" t="s">
        <v>631</v>
      </c>
      <c r="H20" s="1987">
        <v>33.1</v>
      </c>
      <c r="I20" s="928" t="s">
        <v>632</v>
      </c>
      <c r="J20" s="822" t="s">
        <v>633</v>
      </c>
      <c r="K20" s="937">
        <v>3</v>
      </c>
      <c r="L20" s="937">
        <v>3</v>
      </c>
      <c r="M20" s="4656" t="s">
        <v>620</v>
      </c>
      <c r="N20" s="3815" t="s">
        <v>607</v>
      </c>
      <c r="O20" s="3816" t="s">
        <v>608</v>
      </c>
      <c r="P20" s="777">
        <v>0.15874806098115857</v>
      </c>
      <c r="Q20" s="3322">
        <f>+U20+U21+U22+U23</f>
        <v>410962429.5</v>
      </c>
      <c r="R20" s="3816" t="s">
        <v>609</v>
      </c>
      <c r="S20" s="3816" t="s">
        <v>610</v>
      </c>
      <c r="T20" s="823" t="s">
        <v>634</v>
      </c>
      <c r="U20" s="1475">
        <f>+'[1]Metas Producto F-PLA 47'!Q20</f>
        <v>89176000</v>
      </c>
      <c r="V20" s="1481">
        <f>+'[1]Metas Producto F-PLA 47'!R20</f>
        <v>74970308.150000006</v>
      </c>
      <c r="W20" s="1481">
        <f>+'[1]Metas Producto F-PLA 47'!S20</f>
        <v>74970308.150000006</v>
      </c>
      <c r="X20" s="797">
        <v>3</v>
      </c>
      <c r="Y20" s="779" t="s">
        <v>622</v>
      </c>
      <c r="Z20" s="4633"/>
      <c r="AA20" s="4633"/>
      <c r="AB20" s="4633"/>
      <c r="AC20" s="4633"/>
      <c r="AD20" s="4633"/>
      <c r="AE20" s="4633"/>
      <c r="AF20" s="4633"/>
      <c r="AG20" s="4633"/>
      <c r="AH20" s="4633"/>
      <c r="AI20" s="4633"/>
      <c r="AJ20" s="4633"/>
      <c r="AK20" s="4633"/>
      <c r="AL20" s="4633"/>
      <c r="AM20" s="4633"/>
      <c r="AN20" s="4633"/>
      <c r="AO20" s="4633"/>
      <c r="AP20" s="4633"/>
      <c r="AQ20" s="4633"/>
      <c r="AR20" s="4633"/>
      <c r="AS20" s="4633"/>
      <c r="AT20" s="4633"/>
      <c r="AU20" s="4633"/>
      <c r="AV20" s="4633"/>
      <c r="AW20" s="4633"/>
      <c r="AX20" s="4633"/>
      <c r="AY20" s="4633"/>
      <c r="AZ20" s="4633"/>
      <c r="BA20" s="4633"/>
      <c r="BB20" s="4633"/>
      <c r="BC20" s="4633"/>
      <c r="BD20" s="4633"/>
      <c r="BE20" s="4633"/>
      <c r="BF20" s="4633"/>
      <c r="BG20" s="798">
        <f t="shared" ref="BG20:BH23" si="1">V20</f>
        <v>74970308.150000006</v>
      </c>
      <c r="BH20" s="798">
        <f t="shared" si="1"/>
        <v>74970308.150000006</v>
      </c>
      <c r="BI20" s="781">
        <f t="shared" si="0"/>
        <v>1</v>
      </c>
      <c r="BJ20" s="782" t="s">
        <v>623</v>
      </c>
      <c r="BK20" s="4638"/>
      <c r="BL20" s="4635"/>
      <c r="BM20" s="4635"/>
      <c r="BN20" s="4635"/>
      <c r="BO20" s="4635"/>
      <c r="BP20" s="4638"/>
    </row>
    <row r="21" spans="1:76" ht="43.5" customHeight="1" x14ac:dyDescent="0.25">
      <c r="A21" s="813"/>
      <c r="B21" s="156"/>
      <c r="C21" s="340"/>
      <c r="D21" s="3468"/>
      <c r="E21" s="4149"/>
      <c r="F21" s="4149"/>
      <c r="G21" s="821" t="s">
        <v>635</v>
      </c>
      <c r="H21" s="1987">
        <v>33.4</v>
      </c>
      <c r="I21" s="928" t="s">
        <v>636</v>
      </c>
      <c r="J21" s="822" t="s">
        <v>637</v>
      </c>
      <c r="K21" s="907">
        <v>25</v>
      </c>
      <c r="L21" s="907">
        <v>0</v>
      </c>
      <c r="M21" s="4656"/>
      <c r="N21" s="3815"/>
      <c r="O21" s="3816"/>
      <c r="P21" s="777">
        <v>0.17801657506633911</v>
      </c>
      <c r="Q21" s="4615"/>
      <c r="R21" s="3816"/>
      <c r="S21" s="3816"/>
      <c r="T21" s="823" t="s">
        <v>638</v>
      </c>
      <c r="U21" s="1475">
        <f>+'[1]Metas Producto F-PLA 47'!Q21</f>
        <v>100000000</v>
      </c>
      <c r="V21" s="1481">
        <f>+'[1]Metas Producto F-PLA 47'!R21</f>
        <v>42921579</v>
      </c>
      <c r="W21" s="1481">
        <f>+'[1]Metas Producto F-PLA 47'!S21</f>
        <v>42921579</v>
      </c>
      <c r="X21" s="824">
        <v>3</v>
      </c>
      <c r="Y21" s="779" t="s">
        <v>622</v>
      </c>
      <c r="Z21" s="4633"/>
      <c r="AA21" s="4633"/>
      <c r="AB21" s="4633"/>
      <c r="AC21" s="4633"/>
      <c r="AD21" s="4633"/>
      <c r="AE21" s="4633"/>
      <c r="AF21" s="4633"/>
      <c r="AG21" s="4633"/>
      <c r="AH21" s="4633"/>
      <c r="AI21" s="4633"/>
      <c r="AJ21" s="4633"/>
      <c r="AK21" s="4633"/>
      <c r="AL21" s="4633"/>
      <c r="AM21" s="4633"/>
      <c r="AN21" s="4633"/>
      <c r="AO21" s="4633"/>
      <c r="AP21" s="4633"/>
      <c r="AQ21" s="4633"/>
      <c r="AR21" s="4633"/>
      <c r="AS21" s="4633"/>
      <c r="AT21" s="4633"/>
      <c r="AU21" s="4633"/>
      <c r="AV21" s="4633"/>
      <c r="AW21" s="4633"/>
      <c r="AX21" s="4633"/>
      <c r="AY21" s="4633"/>
      <c r="AZ21" s="4633"/>
      <c r="BA21" s="4633"/>
      <c r="BB21" s="4633"/>
      <c r="BC21" s="4633"/>
      <c r="BD21" s="4633"/>
      <c r="BE21" s="4633"/>
      <c r="BF21" s="4633"/>
      <c r="BG21" s="798">
        <f t="shared" si="1"/>
        <v>42921579</v>
      </c>
      <c r="BH21" s="798">
        <f t="shared" si="1"/>
        <v>42921579</v>
      </c>
      <c r="BI21" s="781">
        <f t="shared" si="0"/>
        <v>1</v>
      </c>
      <c r="BJ21" s="782" t="s">
        <v>623</v>
      </c>
      <c r="BK21" s="4638"/>
      <c r="BL21" s="4635"/>
      <c r="BM21" s="4635"/>
      <c r="BN21" s="4635"/>
      <c r="BO21" s="4635"/>
      <c r="BP21" s="4638"/>
    </row>
    <row r="22" spans="1:76" ht="43.5" customHeight="1" x14ac:dyDescent="0.25">
      <c r="A22" s="813"/>
      <c r="B22" s="156"/>
      <c r="C22" s="340"/>
      <c r="D22" s="3468"/>
      <c r="E22" s="4149"/>
      <c r="F22" s="4149"/>
      <c r="G22" s="821" t="s">
        <v>639</v>
      </c>
      <c r="H22" s="1987">
        <v>33.5</v>
      </c>
      <c r="I22" s="928" t="s">
        <v>640</v>
      </c>
      <c r="J22" s="822" t="s">
        <v>641</v>
      </c>
      <c r="K22" s="937">
        <v>75</v>
      </c>
      <c r="L22" s="937">
        <v>52</v>
      </c>
      <c r="M22" s="4656"/>
      <c r="N22" s="3815"/>
      <c r="O22" s="3816"/>
      <c r="P22" s="777">
        <v>0.30720221381982404</v>
      </c>
      <c r="Q22" s="4615"/>
      <c r="R22" s="3816"/>
      <c r="S22" s="3816"/>
      <c r="T22" s="823" t="s">
        <v>638</v>
      </c>
      <c r="U22" s="1475">
        <f>+'[1]Metas Producto F-PLA 47'!Q22</f>
        <v>170814443.5</v>
      </c>
      <c r="V22" s="1481">
        <f>+'[1]Metas Producto F-PLA 47'!R22</f>
        <v>170041333.33000001</v>
      </c>
      <c r="W22" s="1481">
        <f>+'[1]Metas Producto F-PLA 47'!S22</f>
        <v>170041333.33000001</v>
      </c>
      <c r="X22" s="824">
        <v>4</v>
      </c>
      <c r="Y22" s="779" t="s">
        <v>612</v>
      </c>
      <c r="Z22" s="4633"/>
      <c r="AA22" s="4633"/>
      <c r="AB22" s="4633"/>
      <c r="AC22" s="4633"/>
      <c r="AD22" s="4633"/>
      <c r="AE22" s="4633"/>
      <c r="AF22" s="4633"/>
      <c r="AG22" s="4633"/>
      <c r="AH22" s="4633"/>
      <c r="AI22" s="4633"/>
      <c r="AJ22" s="4633"/>
      <c r="AK22" s="4633"/>
      <c r="AL22" s="4633"/>
      <c r="AM22" s="4633"/>
      <c r="AN22" s="4633"/>
      <c r="AO22" s="4633"/>
      <c r="AP22" s="4633"/>
      <c r="AQ22" s="4633"/>
      <c r="AR22" s="4633"/>
      <c r="AS22" s="4633"/>
      <c r="AT22" s="4633"/>
      <c r="AU22" s="4633"/>
      <c r="AV22" s="4633"/>
      <c r="AW22" s="4633"/>
      <c r="AX22" s="4633"/>
      <c r="AY22" s="4633"/>
      <c r="AZ22" s="4633"/>
      <c r="BA22" s="4633"/>
      <c r="BB22" s="4633"/>
      <c r="BC22" s="4633"/>
      <c r="BD22" s="4633"/>
      <c r="BE22" s="4633"/>
      <c r="BF22" s="4633"/>
      <c r="BG22" s="798">
        <f t="shared" si="1"/>
        <v>170041333.33000001</v>
      </c>
      <c r="BH22" s="798">
        <f t="shared" si="1"/>
        <v>170041333.33000001</v>
      </c>
      <c r="BI22" s="781">
        <f t="shared" si="0"/>
        <v>1</v>
      </c>
      <c r="BJ22" s="782" t="s">
        <v>614</v>
      </c>
      <c r="BK22" s="4638"/>
      <c r="BL22" s="4635"/>
      <c r="BM22" s="4635"/>
      <c r="BN22" s="4635"/>
      <c r="BO22" s="4635"/>
      <c r="BP22" s="4638"/>
    </row>
    <row r="23" spans="1:76" ht="43.5" customHeight="1" x14ac:dyDescent="0.25">
      <c r="A23" s="679"/>
      <c r="B23" s="144"/>
      <c r="C23" s="142"/>
      <c r="D23" s="144"/>
      <c r="E23" s="144"/>
      <c r="F23" s="144"/>
      <c r="G23" s="821" t="s">
        <v>642</v>
      </c>
      <c r="H23" s="1987">
        <v>33.6</v>
      </c>
      <c r="I23" s="822" t="s">
        <v>643</v>
      </c>
      <c r="J23" s="822" t="s">
        <v>644</v>
      </c>
      <c r="K23" s="937">
        <v>3</v>
      </c>
      <c r="L23" s="937">
        <v>0</v>
      </c>
      <c r="M23" s="4656"/>
      <c r="N23" s="3815"/>
      <c r="O23" s="3816"/>
      <c r="P23" s="777">
        <v>0.35603315013267822</v>
      </c>
      <c r="Q23" s="3323"/>
      <c r="R23" s="3816"/>
      <c r="S23" s="3816"/>
      <c r="T23" s="823" t="s">
        <v>645</v>
      </c>
      <c r="U23" s="1475">
        <f>+'[1]Metas Producto F-PLA 47'!Q23</f>
        <v>50971986</v>
      </c>
      <c r="V23" s="1481">
        <f>+'[1]Metas Producto F-PLA 47'!R23</f>
        <v>32000000</v>
      </c>
      <c r="W23" s="1481">
        <f>+'[1]Metas Producto F-PLA 47'!S23</f>
        <v>32000000</v>
      </c>
      <c r="X23" s="825">
        <v>4</v>
      </c>
      <c r="Y23" s="779" t="s">
        <v>612</v>
      </c>
      <c r="Z23" s="4633"/>
      <c r="AA23" s="4633"/>
      <c r="AB23" s="4633"/>
      <c r="AC23" s="4633"/>
      <c r="AD23" s="4633"/>
      <c r="AE23" s="4633"/>
      <c r="AF23" s="4633"/>
      <c r="AG23" s="4633"/>
      <c r="AH23" s="4633"/>
      <c r="AI23" s="4633"/>
      <c r="AJ23" s="4633"/>
      <c r="AK23" s="4633"/>
      <c r="AL23" s="4633"/>
      <c r="AM23" s="4633"/>
      <c r="AN23" s="4633"/>
      <c r="AO23" s="4633"/>
      <c r="AP23" s="4633"/>
      <c r="AQ23" s="4633"/>
      <c r="AR23" s="4633"/>
      <c r="AS23" s="4633"/>
      <c r="AT23" s="4633"/>
      <c r="AU23" s="4633"/>
      <c r="AV23" s="4633"/>
      <c r="AW23" s="4633"/>
      <c r="AX23" s="4633"/>
      <c r="AY23" s="4633"/>
      <c r="AZ23" s="4633"/>
      <c r="BA23" s="4633"/>
      <c r="BB23" s="4633"/>
      <c r="BC23" s="4633"/>
      <c r="BD23" s="4633"/>
      <c r="BE23" s="4633"/>
      <c r="BF23" s="4633"/>
      <c r="BG23" s="798">
        <f t="shared" si="1"/>
        <v>32000000</v>
      </c>
      <c r="BH23" s="798">
        <f t="shared" si="1"/>
        <v>32000000</v>
      </c>
      <c r="BI23" s="781">
        <f t="shared" si="0"/>
        <v>1</v>
      </c>
      <c r="BJ23" s="782" t="s">
        <v>614</v>
      </c>
      <c r="BK23" s="4638"/>
      <c r="BL23" s="4635"/>
      <c r="BM23" s="4635"/>
      <c r="BN23" s="4635"/>
      <c r="BO23" s="4635"/>
      <c r="BP23" s="4638"/>
    </row>
    <row r="24" spans="1:76" ht="15.75" x14ac:dyDescent="0.25">
      <c r="A24" s="799">
        <v>4</v>
      </c>
      <c r="B24" s="826" t="s">
        <v>289</v>
      </c>
      <c r="C24" s="827"/>
      <c r="D24" s="828"/>
      <c r="E24" s="829"/>
      <c r="F24" s="829"/>
      <c r="G24" s="829"/>
      <c r="H24" s="829"/>
      <c r="I24" s="803"/>
      <c r="J24" s="803"/>
      <c r="K24" s="829"/>
      <c r="L24" s="829"/>
      <c r="M24" s="829"/>
      <c r="N24" s="802"/>
      <c r="O24" s="803"/>
      <c r="P24" s="829"/>
      <c r="Q24" s="1478"/>
      <c r="R24" s="803"/>
      <c r="S24" s="803"/>
      <c r="T24" s="803"/>
      <c r="U24" s="1484"/>
      <c r="V24" s="1485"/>
      <c r="W24" s="1485"/>
      <c r="X24" s="830"/>
      <c r="Y24" s="831"/>
      <c r="Z24" s="4633"/>
      <c r="AA24" s="4633"/>
      <c r="AB24" s="4633"/>
      <c r="AC24" s="4633"/>
      <c r="AD24" s="4633"/>
      <c r="AE24" s="4633"/>
      <c r="AF24" s="4633"/>
      <c r="AG24" s="4633"/>
      <c r="AH24" s="4633"/>
      <c r="AI24" s="4633"/>
      <c r="AJ24" s="4633"/>
      <c r="AK24" s="4633"/>
      <c r="AL24" s="4633"/>
      <c r="AM24" s="4633"/>
      <c r="AN24" s="4633"/>
      <c r="AO24" s="4633"/>
      <c r="AP24" s="4633"/>
      <c r="AQ24" s="4633"/>
      <c r="AR24" s="4633"/>
      <c r="AS24" s="4633"/>
      <c r="AT24" s="4633"/>
      <c r="AU24" s="4633"/>
      <c r="AV24" s="4633"/>
      <c r="AW24" s="4633"/>
      <c r="AX24" s="4633"/>
      <c r="AY24" s="4633"/>
      <c r="AZ24" s="4633"/>
      <c r="BA24" s="4633"/>
      <c r="BB24" s="4633"/>
      <c r="BC24" s="4633"/>
      <c r="BD24" s="4633"/>
      <c r="BE24" s="4633"/>
      <c r="BF24" s="4633"/>
      <c r="BG24" s="808"/>
      <c r="BH24" s="808"/>
      <c r="BI24" s="809"/>
      <c r="BJ24" s="810"/>
      <c r="BK24" s="4638"/>
      <c r="BL24" s="4635"/>
      <c r="BM24" s="4635"/>
      <c r="BN24" s="4635"/>
      <c r="BO24" s="4635"/>
      <c r="BP24" s="4638"/>
    </row>
    <row r="25" spans="1:76" ht="15.75" x14ac:dyDescent="0.25">
      <c r="A25" s="760"/>
      <c r="B25" s="761"/>
      <c r="C25" s="762"/>
      <c r="D25" s="763">
        <v>45</v>
      </c>
      <c r="E25" s="410" t="s">
        <v>89</v>
      </c>
      <c r="F25" s="410"/>
      <c r="G25" s="83"/>
      <c r="H25" s="83"/>
      <c r="I25" s="832"/>
      <c r="J25" s="833"/>
      <c r="K25" s="49"/>
      <c r="L25" s="49"/>
      <c r="M25" s="49"/>
      <c r="N25" s="1913"/>
      <c r="O25" s="833"/>
      <c r="P25" s="49"/>
      <c r="Q25" s="1479"/>
      <c r="R25" s="833"/>
      <c r="S25" s="833"/>
      <c r="T25" s="833"/>
      <c r="U25" s="1486"/>
      <c r="V25" s="1487"/>
      <c r="W25" s="1487"/>
      <c r="X25" s="834"/>
      <c r="Y25" s="835"/>
      <c r="Z25" s="4633"/>
      <c r="AA25" s="4633"/>
      <c r="AB25" s="4633"/>
      <c r="AC25" s="4633"/>
      <c r="AD25" s="4633"/>
      <c r="AE25" s="4633"/>
      <c r="AF25" s="4633"/>
      <c r="AG25" s="4633"/>
      <c r="AH25" s="4633"/>
      <c r="AI25" s="4633"/>
      <c r="AJ25" s="4633"/>
      <c r="AK25" s="4633"/>
      <c r="AL25" s="4633"/>
      <c r="AM25" s="4633"/>
      <c r="AN25" s="4633"/>
      <c r="AO25" s="4633"/>
      <c r="AP25" s="4633"/>
      <c r="AQ25" s="4633"/>
      <c r="AR25" s="4633"/>
      <c r="AS25" s="4633"/>
      <c r="AT25" s="4633"/>
      <c r="AU25" s="4633"/>
      <c r="AV25" s="4633"/>
      <c r="AW25" s="4633"/>
      <c r="AX25" s="4633"/>
      <c r="AY25" s="4633"/>
      <c r="AZ25" s="4633"/>
      <c r="BA25" s="4633"/>
      <c r="BB25" s="4633"/>
      <c r="BC25" s="4633"/>
      <c r="BD25" s="4633"/>
      <c r="BE25" s="4633"/>
      <c r="BF25" s="4633"/>
      <c r="BG25" s="794"/>
      <c r="BH25" s="794"/>
      <c r="BI25" s="795"/>
      <c r="BJ25" s="796"/>
      <c r="BK25" s="4638"/>
      <c r="BL25" s="4635"/>
      <c r="BM25" s="4635"/>
      <c r="BN25" s="4635"/>
      <c r="BO25" s="4635"/>
      <c r="BP25" s="4638"/>
    </row>
    <row r="26" spans="1:76" ht="117" customHeight="1" x14ac:dyDescent="0.25">
      <c r="A26" s="813"/>
      <c r="B26" s="156"/>
      <c r="C26" s="156"/>
      <c r="D26" s="334"/>
      <c r="E26" s="239"/>
      <c r="F26" s="335"/>
      <c r="G26" s="940" t="s">
        <v>603</v>
      </c>
      <c r="H26" s="1988">
        <v>45.1</v>
      </c>
      <c r="I26" s="941" t="s">
        <v>646</v>
      </c>
      <c r="J26" s="836" t="s">
        <v>647</v>
      </c>
      <c r="K26" s="937">
        <v>4</v>
      </c>
      <c r="L26" s="937">
        <v>16</v>
      </c>
      <c r="M26" s="938" t="s">
        <v>628</v>
      </c>
      <c r="N26" s="1874" t="s">
        <v>607</v>
      </c>
      <c r="O26" s="908" t="s">
        <v>608</v>
      </c>
      <c r="P26" s="939">
        <v>1</v>
      </c>
      <c r="Q26" s="1473">
        <f>+U26</f>
        <v>189176000</v>
      </c>
      <c r="R26" s="908" t="s">
        <v>609</v>
      </c>
      <c r="S26" s="908" t="s">
        <v>610</v>
      </c>
      <c r="T26" s="837" t="s">
        <v>648</v>
      </c>
      <c r="U26" s="1475">
        <f>+'[1]Metas Producto F-PLA 47'!Q24</f>
        <v>189176000</v>
      </c>
      <c r="V26" s="1481">
        <f>+'[1]Metas Producto F-PLA 47'!R24</f>
        <v>189060175</v>
      </c>
      <c r="W26" s="1481">
        <f>+'[1]Metas Producto F-PLA 47'!S24</f>
        <v>189060175</v>
      </c>
      <c r="X26" s="597">
        <v>3</v>
      </c>
      <c r="Y26" s="779" t="s">
        <v>622</v>
      </c>
      <c r="Z26" s="4633"/>
      <c r="AA26" s="4633"/>
      <c r="AB26" s="4633"/>
      <c r="AC26" s="4633"/>
      <c r="AD26" s="4633"/>
      <c r="AE26" s="4633"/>
      <c r="AF26" s="4633"/>
      <c r="AG26" s="4633"/>
      <c r="AH26" s="4633"/>
      <c r="AI26" s="4633"/>
      <c r="AJ26" s="4633"/>
      <c r="AK26" s="4633"/>
      <c r="AL26" s="4633"/>
      <c r="AM26" s="4633"/>
      <c r="AN26" s="4633"/>
      <c r="AO26" s="4633"/>
      <c r="AP26" s="4633"/>
      <c r="AQ26" s="4633"/>
      <c r="AR26" s="4633"/>
      <c r="AS26" s="4633"/>
      <c r="AT26" s="4633"/>
      <c r="AU26" s="4633"/>
      <c r="AV26" s="4633"/>
      <c r="AW26" s="4633"/>
      <c r="AX26" s="4633"/>
      <c r="AY26" s="4633"/>
      <c r="AZ26" s="4633"/>
      <c r="BA26" s="4633"/>
      <c r="BB26" s="4633"/>
      <c r="BC26" s="4633"/>
      <c r="BD26" s="4633"/>
      <c r="BE26" s="4633"/>
      <c r="BF26" s="4633"/>
      <c r="BG26" s="798">
        <f>V26</f>
        <v>189060175</v>
      </c>
      <c r="BH26" s="798">
        <f>W26</f>
        <v>189060175</v>
      </c>
      <c r="BI26" s="781">
        <f t="shared" si="0"/>
        <v>1</v>
      </c>
      <c r="BJ26" s="782" t="s">
        <v>623</v>
      </c>
      <c r="BK26" s="4639"/>
      <c r="BL26" s="4636"/>
      <c r="BM26" s="4636"/>
      <c r="BN26" s="4636"/>
      <c r="BO26" s="4636"/>
      <c r="BP26" s="4639"/>
    </row>
    <row r="27" spans="1:76" ht="15.75" x14ac:dyDescent="0.25">
      <c r="A27" s="838"/>
      <c r="B27" s="839"/>
      <c r="C27" s="840"/>
      <c r="D27" s="839"/>
      <c r="E27" s="839"/>
      <c r="F27" s="840"/>
      <c r="G27" s="840"/>
      <c r="H27" s="841"/>
      <c r="I27" s="842"/>
      <c r="J27" s="843"/>
      <c r="K27" s="844"/>
      <c r="L27" s="844"/>
      <c r="M27" s="844"/>
      <c r="N27" s="1914"/>
      <c r="O27" s="845"/>
      <c r="P27" s="846"/>
      <c r="Q27" s="1480">
        <f>SUM(Q12:Q26)</f>
        <v>1709079089.5</v>
      </c>
      <c r="R27" s="846"/>
      <c r="S27" s="846"/>
      <c r="T27" s="846"/>
      <c r="U27" s="1488">
        <f>SUM(U12:U26)</f>
        <v>1709079089.5</v>
      </c>
      <c r="V27" s="1488">
        <f>SUM(V12:V26)</f>
        <v>1476614408.4133334</v>
      </c>
      <c r="W27" s="1488">
        <f>SUM(W12:W26)</f>
        <v>1476614408.4133334</v>
      </c>
      <c r="X27" s="847"/>
      <c r="Y27" s="848"/>
      <c r="Z27" s="841"/>
      <c r="AA27" s="841"/>
      <c r="AB27" s="841"/>
      <c r="AC27" s="841"/>
      <c r="AD27" s="841"/>
      <c r="AE27" s="841"/>
      <c r="AF27" s="841"/>
      <c r="AG27" s="841"/>
      <c r="AH27" s="841"/>
      <c r="AI27" s="841"/>
      <c r="AJ27" s="841"/>
      <c r="AK27" s="841"/>
      <c r="AL27" s="841"/>
      <c r="AM27" s="841"/>
      <c r="AN27" s="841"/>
      <c r="AO27" s="841"/>
      <c r="AP27" s="841"/>
      <c r="AQ27" s="841"/>
      <c r="AR27" s="841"/>
      <c r="AS27" s="841"/>
      <c r="AT27" s="841"/>
      <c r="AU27" s="841"/>
      <c r="AV27" s="841"/>
      <c r="AW27" s="841"/>
      <c r="AX27" s="841"/>
      <c r="AY27" s="841"/>
      <c r="AZ27" s="841"/>
      <c r="BA27" s="841"/>
      <c r="BB27" s="841"/>
      <c r="BC27" s="841"/>
      <c r="BD27" s="841"/>
      <c r="BE27" s="841"/>
      <c r="BF27" s="849">
        <f>78+2+2+4+4+2</f>
        <v>92</v>
      </c>
      <c r="BG27" s="850">
        <f>SUM(BG12:BG26)</f>
        <v>1586469024.6333334</v>
      </c>
      <c r="BH27" s="850">
        <f>SUM(BH12:BH26)</f>
        <v>1476614408.4133334</v>
      </c>
      <c r="BI27" s="781">
        <f t="shared" si="0"/>
        <v>0.93075527191878848</v>
      </c>
      <c r="BJ27" s="841"/>
      <c r="BK27" s="841"/>
      <c r="BL27" s="851"/>
      <c r="BM27" s="851"/>
      <c r="BN27" s="852"/>
      <c r="BO27" s="852"/>
      <c r="BP27" s="853"/>
    </row>
    <row r="28" spans="1:76" ht="15.75" x14ac:dyDescent="0.25">
      <c r="A28" s="121"/>
      <c r="B28" s="4"/>
      <c r="C28" s="4"/>
      <c r="D28" s="4"/>
      <c r="E28" s="4"/>
      <c r="F28" s="4"/>
      <c r="G28" s="4"/>
      <c r="H28" s="4"/>
      <c r="I28" s="854"/>
      <c r="J28" s="855"/>
      <c r="K28" s="3"/>
      <c r="L28" s="3"/>
      <c r="M28" s="3"/>
      <c r="N28" s="1871"/>
      <c r="O28" s="171"/>
      <c r="P28" s="856"/>
      <c r="Q28" s="856"/>
      <c r="R28" s="856"/>
      <c r="S28" s="856"/>
      <c r="T28" s="856"/>
      <c r="U28" s="174"/>
      <c r="V28" s="174"/>
      <c r="W28" s="174"/>
      <c r="X28" s="857"/>
      <c r="Y28" s="858"/>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859"/>
      <c r="BM28" s="859"/>
      <c r="BN28" s="181"/>
      <c r="BO28" s="181"/>
      <c r="BP28" s="182"/>
    </row>
    <row r="29" spans="1:76" ht="15.75" x14ac:dyDescent="0.25">
      <c r="A29" s="121"/>
      <c r="B29" s="4"/>
      <c r="C29" s="4"/>
      <c r="D29" s="4"/>
      <c r="E29" s="4"/>
      <c r="F29" s="4"/>
      <c r="G29" s="4"/>
      <c r="H29" s="4"/>
      <c r="I29" s="854"/>
      <c r="J29" s="855"/>
      <c r="K29" s="3"/>
      <c r="L29" s="3"/>
      <c r="M29" s="3"/>
      <c r="N29" s="1871"/>
      <c r="O29" s="171"/>
      <c r="P29" s="856"/>
      <c r="Q29" s="856"/>
      <c r="R29" s="856"/>
      <c r="S29" s="856"/>
      <c r="T29" s="856"/>
      <c r="U29" s="174"/>
      <c r="V29" s="174"/>
      <c r="W29" s="174"/>
      <c r="X29" s="857"/>
      <c r="Y29" s="858"/>
      <c r="Z29" s="860"/>
      <c r="AA29" s="860"/>
      <c r="AB29" s="860"/>
      <c r="AC29" s="860"/>
      <c r="AD29" s="860"/>
      <c r="AE29" s="860"/>
      <c r="AF29" s="860"/>
      <c r="AG29" s="860"/>
      <c r="AH29" s="860"/>
      <c r="AI29" s="860"/>
      <c r="AJ29" s="860"/>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859"/>
      <c r="BM29" s="859"/>
      <c r="BN29" s="181"/>
      <c r="BO29" s="181"/>
      <c r="BP29" s="182"/>
    </row>
    <row r="30" spans="1:76" ht="15.75" x14ac:dyDescent="0.25">
      <c r="A30" s="121"/>
      <c r="B30" s="4"/>
      <c r="C30" s="4"/>
      <c r="D30" s="4"/>
      <c r="E30" s="4"/>
      <c r="F30" s="4"/>
      <c r="G30" s="4"/>
      <c r="H30" s="4"/>
      <c r="I30" s="854"/>
      <c r="J30" s="855"/>
      <c r="K30" s="3"/>
      <c r="L30" s="3"/>
      <c r="M30" s="3"/>
      <c r="N30" s="1871"/>
      <c r="O30" s="171"/>
      <c r="P30" s="856"/>
      <c r="Q30" s="856"/>
      <c r="R30" s="856"/>
      <c r="S30" s="856"/>
      <c r="T30" s="856"/>
      <c r="U30" s="174"/>
      <c r="V30" s="174"/>
      <c r="W30" s="174"/>
      <c r="X30" s="857"/>
      <c r="Y30" s="858"/>
      <c r="Z30" s="4"/>
      <c r="AA30" s="4"/>
      <c r="AB30" s="860"/>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859"/>
      <c r="BM30" s="859"/>
      <c r="BN30" s="181"/>
      <c r="BO30" s="181"/>
      <c r="BP30" s="182"/>
    </row>
    <row r="31" spans="1:76" ht="15.75" x14ac:dyDescent="0.25">
      <c r="A31" s="121"/>
      <c r="B31" s="4"/>
      <c r="C31" s="4"/>
      <c r="D31" s="4"/>
      <c r="E31" s="4"/>
      <c r="F31" s="4"/>
      <c r="G31" s="4"/>
      <c r="H31" s="4"/>
      <c r="I31" s="854"/>
      <c r="J31" s="855"/>
      <c r="K31" s="3"/>
      <c r="L31" s="3"/>
      <c r="M31" s="3"/>
      <c r="N31" s="1871"/>
      <c r="O31" s="171"/>
      <c r="P31" s="856"/>
      <c r="Q31" s="856"/>
      <c r="R31" s="856"/>
      <c r="S31" s="856"/>
      <c r="T31" s="856"/>
      <c r="U31" s="174"/>
      <c r="V31" s="174"/>
      <c r="W31" s="174"/>
      <c r="X31" s="857"/>
      <c r="Y31" s="858"/>
      <c r="Z31" s="4652"/>
      <c r="AA31" s="4652"/>
      <c r="AB31" s="4652"/>
      <c r="AC31" s="4652"/>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859"/>
      <c r="BM31" s="859"/>
      <c r="BN31" s="181"/>
      <c r="BO31" s="181"/>
      <c r="BP31" s="182"/>
    </row>
    <row r="32" spans="1:76" ht="15.75" x14ac:dyDescent="0.25">
      <c r="X32" s="861"/>
      <c r="Y32" s="861"/>
      <c r="AC32" s="4652"/>
      <c r="AD32" s="4652"/>
      <c r="AE32" s="4652"/>
      <c r="AF32" s="4652"/>
      <c r="AG32" s="4"/>
    </row>
    <row r="33" spans="24:28" ht="15.75" x14ac:dyDescent="0.25">
      <c r="X33" s="4653"/>
      <c r="Y33" s="4653"/>
      <c r="Z33" s="916"/>
      <c r="AA33" s="916"/>
      <c r="AB33" s="916"/>
    </row>
    <row r="34" spans="24:28" ht="18" x14ac:dyDescent="0.25">
      <c r="X34" s="4651"/>
      <c r="Y34" s="4651"/>
    </row>
  </sheetData>
  <sheetProtection password="A60F" sheet="1" objects="1" scenarios="1"/>
  <mergeCells count="123">
    <mergeCell ref="X34:Y34"/>
    <mergeCell ref="D21:D22"/>
    <mergeCell ref="E21:E22"/>
    <mergeCell ref="F21:F22"/>
    <mergeCell ref="Z31:AC31"/>
    <mergeCell ref="AC32:AF32"/>
    <mergeCell ref="X33:Y33"/>
    <mergeCell ref="R14:R15"/>
    <mergeCell ref="S14:S15"/>
    <mergeCell ref="T14:T15"/>
    <mergeCell ref="M20:M23"/>
    <mergeCell ref="N20:N23"/>
    <mergeCell ref="O20:O23"/>
    <mergeCell ref="R20:R23"/>
    <mergeCell ref="S20:S23"/>
    <mergeCell ref="K14:K15"/>
    <mergeCell ref="L14:L15"/>
    <mergeCell ref="M14:M15"/>
    <mergeCell ref="N14:N15"/>
    <mergeCell ref="O14:O15"/>
    <mergeCell ref="P14:P15"/>
    <mergeCell ref="AF12:AF26"/>
    <mergeCell ref="Z12:Z26"/>
    <mergeCell ref="AA12:AA26"/>
    <mergeCell ref="BN12:BN26"/>
    <mergeCell ref="BO12:BO26"/>
    <mergeCell ref="BP12:BP26"/>
    <mergeCell ref="D14:D15"/>
    <mergeCell ref="E14:E15"/>
    <mergeCell ref="F14:F15"/>
    <mergeCell ref="G14:G15"/>
    <mergeCell ref="H14:H15"/>
    <mergeCell ref="I14:I15"/>
    <mergeCell ref="J14:J15"/>
    <mergeCell ref="BD12:BD26"/>
    <mergeCell ref="BE12:BE26"/>
    <mergeCell ref="BF12:BF26"/>
    <mergeCell ref="BK12:BK26"/>
    <mergeCell ref="BL12:BL26"/>
    <mergeCell ref="BM12:BM26"/>
    <mergeCell ref="AX12:AX26"/>
    <mergeCell ref="AY12:AY26"/>
    <mergeCell ref="AZ12:AZ26"/>
    <mergeCell ref="BA12:BA26"/>
    <mergeCell ref="BB12:BB26"/>
    <mergeCell ref="BC12:BC26"/>
    <mergeCell ref="AR12:AR26"/>
    <mergeCell ref="AS12:AS26"/>
    <mergeCell ref="AB12:AB26"/>
    <mergeCell ref="AC12:AC26"/>
    <mergeCell ref="AD12:AD26"/>
    <mergeCell ref="AE12:AE26"/>
    <mergeCell ref="AT12:AT26"/>
    <mergeCell ref="AU12:AU26"/>
    <mergeCell ref="AV12:AV26"/>
    <mergeCell ref="AL12:AL26"/>
    <mergeCell ref="AM12:AM26"/>
    <mergeCell ref="AN12:AN26"/>
    <mergeCell ref="AO12:AO26"/>
    <mergeCell ref="AP12:AP26"/>
    <mergeCell ref="AQ12:AQ26"/>
    <mergeCell ref="AR8:AS8"/>
    <mergeCell ref="AT8:AU8"/>
    <mergeCell ref="AV8:AW8"/>
    <mergeCell ref="AX8:AY8"/>
    <mergeCell ref="AZ8:BA8"/>
    <mergeCell ref="BB8:BC8"/>
    <mergeCell ref="BD7:BE8"/>
    <mergeCell ref="BF7:BK7"/>
    <mergeCell ref="AG12:AG26"/>
    <mergeCell ref="AH12:AH26"/>
    <mergeCell ref="AI12:AI26"/>
    <mergeCell ref="AJ12:AJ26"/>
    <mergeCell ref="AK12:AK26"/>
    <mergeCell ref="AW12:AW26"/>
    <mergeCell ref="BL7:BM8"/>
    <mergeCell ref="BN7:BO8"/>
    <mergeCell ref="BP7:BP8"/>
    <mergeCell ref="Z8:AA8"/>
    <mergeCell ref="AB8:AC8"/>
    <mergeCell ref="AD8:AE8"/>
    <mergeCell ref="AF8:AG8"/>
    <mergeCell ref="AH8:AI8"/>
    <mergeCell ref="X7:X8"/>
    <mergeCell ref="Y7:Y8"/>
    <mergeCell ref="Z7:AC7"/>
    <mergeCell ref="AD7:AK7"/>
    <mergeCell ref="AL7:AW7"/>
    <mergeCell ref="AX7:BC7"/>
    <mergeCell ref="AJ8:AK8"/>
    <mergeCell ref="AL8:AM8"/>
    <mergeCell ref="AN8:AO8"/>
    <mergeCell ref="AP8:AQ8"/>
    <mergeCell ref="BF8:BF9"/>
    <mergeCell ref="BG8:BG9"/>
    <mergeCell ref="BH8:BH9"/>
    <mergeCell ref="BI8:BI9"/>
    <mergeCell ref="BJ8:BJ9"/>
    <mergeCell ref="BK8:BK9"/>
    <mergeCell ref="Q14:Q15"/>
    <mergeCell ref="Q20:Q23"/>
    <mergeCell ref="A1:BL4"/>
    <mergeCell ref="A5:K6"/>
    <mergeCell ref="M5:BP5"/>
    <mergeCell ref="Z6:BB6"/>
    <mergeCell ref="A7:A8"/>
    <mergeCell ref="B7:C8"/>
    <mergeCell ref="D7:D8"/>
    <mergeCell ref="E7:F8"/>
    <mergeCell ref="G7:G8"/>
    <mergeCell ref="H7:H8"/>
    <mergeCell ref="P7:P8"/>
    <mergeCell ref="Q7:Q8"/>
    <mergeCell ref="R7:R8"/>
    <mergeCell ref="S7:S8"/>
    <mergeCell ref="T7:T8"/>
    <mergeCell ref="U7:W7"/>
    <mergeCell ref="I7:I8"/>
    <mergeCell ref="J7:J8"/>
    <mergeCell ref="K7:L7"/>
    <mergeCell ref="M7:M8"/>
    <mergeCell ref="N7:N8"/>
    <mergeCell ref="O7:O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O22"/>
  <sheetViews>
    <sheetView showGridLines="0" zoomScale="60" zoomScaleNormal="60" workbookViewId="0">
      <selection sqref="A1:BK4"/>
    </sheetView>
  </sheetViews>
  <sheetFormatPr baseColWidth="10" defaultRowHeight="15" x14ac:dyDescent="0.25"/>
  <cols>
    <col min="1" max="1" width="16.5703125" customWidth="1"/>
    <col min="4" max="4" width="22" customWidth="1"/>
    <col min="7" max="7" width="21.140625" customWidth="1"/>
    <col min="8" max="8" width="60.28515625" customWidth="1"/>
    <col min="9" max="9" width="53.5703125" customWidth="1"/>
    <col min="12" max="12" width="22.7109375" customWidth="1"/>
    <col min="13" max="13" width="15" customWidth="1"/>
    <col min="14" max="14" width="32.85546875" customWidth="1"/>
    <col min="15" max="15" width="26.28515625" customWidth="1"/>
    <col min="16" max="18" width="28.28515625" customWidth="1"/>
    <col min="19" max="19" width="40.140625" customWidth="1"/>
    <col min="20" max="20" width="28.28515625" customWidth="1"/>
    <col min="21" max="21" width="31.28515625" customWidth="1"/>
    <col min="22" max="22" width="32.42578125" customWidth="1"/>
    <col min="23" max="23" width="14" customWidth="1"/>
    <col min="24" max="24" width="17.140625" customWidth="1"/>
    <col min="57" max="57" width="22.28515625" customWidth="1"/>
    <col min="58" max="58" width="25.42578125" customWidth="1"/>
    <col min="59" max="59" width="24.140625" customWidth="1"/>
    <col min="60" max="60" width="17.7109375" customWidth="1"/>
    <col min="61" max="61" width="25.7109375" customWidth="1"/>
    <col min="62" max="62" width="21.85546875" customWidth="1"/>
    <col min="63" max="63" width="15" customWidth="1"/>
    <col min="64" max="64" width="19.42578125" customWidth="1"/>
    <col min="65" max="65" width="15" customWidth="1"/>
    <col min="66" max="66" width="13.42578125" bestFit="1" customWidth="1"/>
    <col min="67" max="67" width="22.85546875" customWidth="1"/>
  </cols>
  <sheetData>
    <row r="1" spans="1:67" ht="18" customHeight="1" x14ac:dyDescent="0.25">
      <c r="A1" s="2518" t="s">
        <v>649</v>
      </c>
      <c r="B1" s="2519"/>
      <c r="C1" s="2519"/>
      <c r="D1" s="2519"/>
      <c r="E1" s="2519"/>
      <c r="F1" s="2519"/>
      <c r="G1" s="2519"/>
      <c r="H1" s="2519"/>
      <c r="I1" s="2519"/>
      <c r="J1" s="2519"/>
      <c r="K1" s="2519"/>
      <c r="L1" s="2519"/>
      <c r="M1" s="2519"/>
      <c r="N1" s="2519"/>
      <c r="O1" s="2519"/>
      <c r="P1" s="2519"/>
      <c r="Q1" s="2519"/>
      <c r="R1" s="2519"/>
      <c r="S1" s="2519"/>
      <c r="T1" s="2519"/>
      <c r="U1" s="2519"/>
      <c r="V1" s="2519"/>
      <c r="W1" s="2519"/>
      <c r="X1" s="2519"/>
      <c r="Y1" s="2519"/>
      <c r="Z1" s="2519"/>
      <c r="AA1" s="2519"/>
      <c r="AB1" s="2519"/>
      <c r="AC1" s="2519"/>
      <c r="AD1" s="2519"/>
      <c r="AE1" s="2519"/>
      <c r="AF1" s="2519"/>
      <c r="AG1" s="2519"/>
      <c r="AH1" s="2519"/>
      <c r="AI1" s="2519"/>
      <c r="AJ1" s="2519"/>
      <c r="AK1" s="2519"/>
      <c r="AL1" s="2519"/>
      <c r="AM1" s="2519"/>
      <c r="AN1" s="2519"/>
      <c r="AO1" s="2519"/>
      <c r="AP1" s="2519"/>
      <c r="AQ1" s="2519"/>
      <c r="AR1" s="2519"/>
      <c r="AS1" s="2519"/>
      <c r="AT1" s="2519"/>
      <c r="AU1" s="2519"/>
      <c r="AV1" s="2519"/>
      <c r="AW1" s="2519"/>
      <c r="AX1" s="2519"/>
      <c r="AY1" s="2519"/>
      <c r="AZ1" s="2519"/>
      <c r="BA1" s="2519"/>
      <c r="BB1" s="2519"/>
      <c r="BC1" s="2519"/>
      <c r="BD1" s="2519"/>
      <c r="BE1" s="2519"/>
      <c r="BF1" s="2519"/>
      <c r="BG1" s="2519"/>
      <c r="BH1" s="2519"/>
      <c r="BI1" s="2519"/>
      <c r="BJ1" s="2519"/>
      <c r="BK1" s="2519"/>
      <c r="BL1" s="725"/>
      <c r="BN1" s="386" t="s">
        <v>1</v>
      </c>
      <c r="BO1" s="735" t="s">
        <v>2</v>
      </c>
    </row>
    <row r="2" spans="1:67" x14ac:dyDescent="0.25">
      <c r="A2" s="2521"/>
      <c r="B2" s="3531"/>
      <c r="C2" s="3531"/>
      <c r="D2" s="3531"/>
      <c r="E2" s="3531"/>
      <c r="F2" s="3531"/>
      <c r="G2" s="3531"/>
      <c r="H2" s="3531"/>
      <c r="I2" s="3531"/>
      <c r="J2" s="3531"/>
      <c r="K2" s="3531"/>
      <c r="L2" s="3531"/>
      <c r="M2" s="3531"/>
      <c r="N2" s="3531"/>
      <c r="O2" s="3531"/>
      <c r="P2" s="3531"/>
      <c r="Q2" s="3531"/>
      <c r="R2" s="3531"/>
      <c r="S2" s="3531"/>
      <c r="T2" s="3531"/>
      <c r="U2" s="3531"/>
      <c r="V2" s="3531"/>
      <c r="W2" s="3531"/>
      <c r="X2" s="3531"/>
      <c r="Y2" s="3531"/>
      <c r="Z2" s="3531"/>
      <c r="AA2" s="3531"/>
      <c r="AB2" s="3531"/>
      <c r="AC2" s="3531"/>
      <c r="AD2" s="3531"/>
      <c r="AE2" s="3531"/>
      <c r="AF2" s="3531"/>
      <c r="AG2" s="3531"/>
      <c r="AH2" s="3531"/>
      <c r="AI2" s="3531"/>
      <c r="AJ2" s="3531"/>
      <c r="AK2" s="3531"/>
      <c r="AL2" s="3531"/>
      <c r="AM2" s="3531"/>
      <c r="AN2" s="3531"/>
      <c r="AO2" s="3531"/>
      <c r="AP2" s="3531"/>
      <c r="AQ2" s="3531"/>
      <c r="AR2" s="3531"/>
      <c r="AS2" s="3531"/>
      <c r="AT2" s="3531"/>
      <c r="AU2" s="3531"/>
      <c r="AV2" s="3531"/>
      <c r="AW2" s="3531"/>
      <c r="AX2" s="3531"/>
      <c r="AY2" s="3531"/>
      <c r="AZ2" s="3531"/>
      <c r="BA2" s="3531"/>
      <c r="BB2" s="3531"/>
      <c r="BC2" s="3531"/>
      <c r="BD2" s="3531"/>
      <c r="BE2" s="3531"/>
      <c r="BF2" s="3531"/>
      <c r="BG2" s="3531"/>
      <c r="BH2" s="3531"/>
      <c r="BI2" s="3531"/>
      <c r="BJ2" s="3531"/>
      <c r="BK2" s="3531"/>
      <c r="BL2" s="736"/>
      <c r="BN2" s="389" t="s">
        <v>3</v>
      </c>
      <c r="BO2" s="737">
        <v>6</v>
      </c>
    </row>
    <row r="3" spans="1:67" x14ac:dyDescent="0.25">
      <c r="A3" s="2521"/>
      <c r="B3" s="3531"/>
      <c r="C3" s="3531"/>
      <c r="D3" s="3531"/>
      <c r="E3" s="3531"/>
      <c r="F3" s="3531"/>
      <c r="G3" s="3531"/>
      <c r="H3" s="3531"/>
      <c r="I3" s="3531"/>
      <c r="J3" s="3531"/>
      <c r="K3" s="3531"/>
      <c r="L3" s="3531"/>
      <c r="M3" s="3531"/>
      <c r="N3" s="3531"/>
      <c r="O3" s="3531"/>
      <c r="P3" s="3531"/>
      <c r="Q3" s="3531"/>
      <c r="R3" s="3531"/>
      <c r="S3" s="3531"/>
      <c r="T3" s="3531"/>
      <c r="U3" s="3531"/>
      <c r="V3" s="3531"/>
      <c r="W3" s="3531"/>
      <c r="X3" s="3531"/>
      <c r="Y3" s="3531"/>
      <c r="Z3" s="3531"/>
      <c r="AA3" s="3531"/>
      <c r="AB3" s="3531"/>
      <c r="AC3" s="3531"/>
      <c r="AD3" s="3531"/>
      <c r="AE3" s="3531"/>
      <c r="AF3" s="3531"/>
      <c r="AG3" s="3531"/>
      <c r="AH3" s="3531"/>
      <c r="AI3" s="3531"/>
      <c r="AJ3" s="3531"/>
      <c r="AK3" s="3531"/>
      <c r="AL3" s="3531"/>
      <c r="AM3" s="3531"/>
      <c r="AN3" s="3531"/>
      <c r="AO3" s="3531"/>
      <c r="AP3" s="3531"/>
      <c r="AQ3" s="3531"/>
      <c r="AR3" s="3531"/>
      <c r="AS3" s="3531"/>
      <c r="AT3" s="3531"/>
      <c r="AU3" s="3531"/>
      <c r="AV3" s="3531"/>
      <c r="AW3" s="3531"/>
      <c r="AX3" s="3531"/>
      <c r="AY3" s="3531"/>
      <c r="AZ3" s="3531"/>
      <c r="BA3" s="3531"/>
      <c r="BB3" s="3531"/>
      <c r="BC3" s="3531"/>
      <c r="BD3" s="3531"/>
      <c r="BE3" s="3531"/>
      <c r="BF3" s="3531"/>
      <c r="BG3" s="3531"/>
      <c r="BH3" s="3531"/>
      <c r="BI3" s="3531"/>
      <c r="BJ3" s="3531"/>
      <c r="BK3" s="3531"/>
      <c r="BL3" s="736"/>
      <c r="BN3" s="389" t="s">
        <v>5</v>
      </c>
      <c r="BO3" s="738" t="s">
        <v>6</v>
      </c>
    </row>
    <row r="4" spans="1:67" x14ac:dyDescent="0.25">
      <c r="A4" s="2524"/>
      <c r="B4" s="2525"/>
      <c r="C4" s="2525"/>
      <c r="D4" s="2525"/>
      <c r="E4" s="2525"/>
      <c r="F4" s="2525"/>
      <c r="G4" s="2525"/>
      <c r="H4" s="2525"/>
      <c r="I4" s="2525"/>
      <c r="J4" s="2525"/>
      <c r="K4" s="2525"/>
      <c r="L4" s="2525"/>
      <c r="M4" s="2525"/>
      <c r="N4" s="2525"/>
      <c r="O4" s="2525"/>
      <c r="P4" s="2525"/>
      <c r="Q4" s="2525"/>
      <c r="R4" s="2525"/>
      <c r="S4" s="2525"/>
      <c r="T4" s="2525"/>
      <c r="U4" s="2525"/>
      <c r="V4" s="2525"/>
      <c r="W4" s="2525"/>
      <c r="X4" s="2525"/>
      <c r="Y4" s="2525"/>
      <c r="Z4" s="2525"/>
      <c r="AA4" s="2525"/>
      <c r="AB4" s="2525"/>
      <c r="AC4" s="2525"/>
      <c r="AD4" s="2525"/>
      <c r="AE4" s="2525"/>
      <c r="AF4" s="2525"/>
      <c r="AG4" s="2525"/>
      <c r="AH4" s="2525"/>
      <c r="AI4" s="2525"/>
      <c r="AJ4" s="2525"/>
      <c r="AK4" s="2525"/>
      <c r="AL4" s="2525"/>
      <c r="AM4" s="2525"/>
      <c r="AN4" s="2525"/>
      <c r="AO4" s="2525"/>
      <c r="AP4" s="2525"/>
      <c r="AQ4" s="2525"/>
      <c r="AR4" s="2525"/>
      <c r="AS4" s="2525"/>
      <c r="AT4" s="2525"/>
      <c r="AU4" s="2525"/>
      <c r="AV4" s="2525"/>
      <c r="AW4" s="2525"/>
      <c r="AX4" s="2525"/>
      <c r="AY4" s="2525"/>
      <c r="AZ4" s="2525"/>
      <c r="BA4" s="2525"/>
      <c r="BB4" s="2525"/>
      <c r="BC4" s="2525"/>
      <c r="BD4" s="2525"/>
      <c r="BE4" s="2525"/>
      <c r="BF4" s="2525"/>
      <c r="BG4" s="2525"/>
      <c r="BH4" s="2525"/>
      <c r="BI4" s="2525"/>
      <c r="BJ4" s="2525"/>
      <c r="BK4" s="2525"/>
      <c r="BL4" s="726"/>
      <c r="BM4" s="739"/>
      <c r="BN4" s="389" t="s">
        <v>7</v>
      </c>
      <c r="BO4" s="740" t="s">
        <v>311</v>
      </c>
    </row>
    <row r="5" spans="1:67" ht="15.75" x14ac:dyDescent="0.25">
      <c r="A5" s="2527" t="s">
        <v>312</v>
      </c>
      <c r="B5" s="2528"/>
      <c r="C5" s="2528"/>
      <c r="D5" s="2528"/>
      <c r="E5" s="2528"/>
      <c r="F5" s="2528"/>
      <c r="G5" s="2528"/>
      <c r="H5" s="2528"/>
      <c r="I5" s="2528"/>
      <c r="J5" s="2528"/>
      <c r="K5" s="727"/>
      <c r="L5" s="3124" t="s">
        <v>10</v>
      </c>
      <c r="M5" s="3124"/>
      <c r="N5" s="3124"/>
      <c r="O5" s="3124"/>
      <c r="P5" s="3124"/>
      <c r="Q5" s="3124"/>
      <c r="R5" s="3124"/>
      <c r="S5" s="3124"/>
      <c r="T5" s="3124"/>
      <c r="U5" s="3124"/>
      <c r="V5" s="3124"/>
      <c r="W5" s="3124"/>
      <c r="X5" s="3124"/>
      <c r="Y5" s="3124"/>
      <c r="Z5" s="3124"/>
      <c r="AA5" s="3124"/>
      <c r="AB5" s="3124"/>
      <c r="AC5" s="3124"/>
      <c r="AD5" s="3124"/>
      <c r="AE5" s="3124"/>
      <c r="AF5" s="3124"/>
      <c r="AG5" s="3124"/>
      <c r="AH5" s="3124"/>
      <c r="AI5" s="3124"/>
      <c r="AJ5" s="3124"/>
      <c r="AK5" s="3124"/>
      <c r="AL5" s="3124"/>
      <c r="AM5" s="3124"/>
      <c r="AN5" s="3124"/>
      <c r="AO5" s="3124"/>
      <c r="AP5" s="3124"/>
      <c r="AQ5" s="3124"/>
      <c r="AR5" s="3124"/>
      <c r="AS5" s="3124"/>
      <c r="AT5" s="3124"/>
      <c r="AU5" s="3124"/>
      <c r="AV5" s="3124"/>
      <c r="AW5" s="3124"/>
      <c r="AX5" s="3124"/>
      <c r="AY5" s="3124"/>
      <c r="AZ5" s="3124"/>
      <c r="BA5" s="3124"/>
      <c r="BB5" s="3124"/>
      <c r="BC5" s="3124"/>
      <c r="BD5" s="3124"/>
      <c r="BE5" s="3124"/>
      <c r="BF5" s="3124"/>
      <c r="BG5" s="3124"/>
      <c r="BH5" s="3124"/>
      <c r="BI5" s="3124"/>
      <c r="BJ5" s="3124"/>
      <c r="BK5" s="3124"/>
      <c r="BL5" s="3124"/>
      <c r="BM5" s="3124"/>
      <c r="BN5" s="2531"/>
      <c r="BO5" s="3947"/>
    </row>
    <row r="6" spans="1:67" ht="16.5" thickBot="1" x14ac:dyDescent="0.3">
      <c r="A6" s="2529"/>
      <c r="B6" s="2530"/>
      <c r="C6" s="2530"/>
      <c r="D6" s="2530"/>
      <c r="E6" s="2530"/>
      <c r="F6" s="2530"/>
      <c r="G6" s="2530"/>
      <c r="H6" s="2530"/>
      <c r="I6" s="2530"/>
      <c r="J6" s="2530"/>
      <c r="K6" s="728"/>
      <c r="L6" s="742"/>
      <c r="M6" s="741"/>
      <c r="N6" s="397"/>
      <c r="O6" s="728"/>
      <c r="P6" s="398"/>
      <c r="Q6" s="728"/>
      <c r="R6" s="728"/>
      <c r="S6" s="728"/>
      <c r="T6" s="728"/>
      <c r="U6" s="728"/>
      <c r="V6" s="728"/>
      <c r="W6" s="728"/>
      <c r="X6" s="728"/>
      <c r="Y6" s="3125" t="s">
        <v>11</v>
      </c>
      <c r="Z6" s="2530"/>
      <c r="AA6" s="2530"/>
      <c r="AB6" s="2530"/>
      <c r="AC6" s="2530"/>
      <c r="AD6" s="2530"/>
      <c r="AE6" s="2530"/>
      <c r="AF6" s="2530"/>
      <c r="AG6" s="2530"/>
      <c r="AH6" s="2530"/>
      <c r="AI6" s="2530"/>
      <c r="AJ6" s="2530"/>
      <c r="AK6" s="2530"/>
      <c r="AL6" s="2530"/>
      <c r="AM6" s="2530"/>
      <c r="AN6" s="2530"/>
      <c r="AO6" s="2530"/>
      <c r="AP6" s="2530"/>
      <c r="AQ6" s="2530"/>
      <c r="AR6" s="2530"/>
      <c r="AS6" s="2530"/>
      <c r="AT6" s="2530"/>
      <c r="AU6" s="2530"/>
      <c r="AV6" s="2530"/>
      <c r="AW6" s="2530"/>
      <c r="AX6" s="2530"/>
      <c r="AY6" s="2530"/>
      <c r="AZ6" s="2530"/>
      <c r="BA6" s="2530"/>
      <c r="BB6" s="728"/>
      <c r="BC6" s="399"/>
      <c r="BD6" s="399"/>
      <c r="BE6" s="399"/>
      <c r="BF6" s="399"/>
      <c r="BG6" s="399"/>
      <c r="BH6" s="399"/>
      <c r="BI6" s="399"/>
      <c r="BJ6" s="399"/>
      <c r="BK6" s="400"/>
      <c r="BL6" s="400"/>
      <c r="BM6" s="400"/>
      <c r="BN6" s="400"/>
      <c r="BO6" s="743"/>
    </row>
    <row r="7" spans="1:67" ht="33" customHeight="1" x14ac:dyDescent="0.25">
      <c r="A7" s="4674" t="s">
        <v>12</v>
      </c>
      <c r="B7" s="4667" t="s">
        <v>13</v>
      </c>
      <c r="C7" s="4667"/>
      <c r="D7" s="4667" t="s">
        <v>12</v>
      </c>
      <c r="E7" s="4667" t="s">
        <v>14</v>
      </c>
      <c r="F7" s="4667"/>
      <c r="G7" s="4667" t="s">
        <v>12</v>
      </c>
      <c r="H7" s="4667" t="s">
        <v>15</v>
      </c>
      <c r="I7" s="4667" t="s">
        <v>16</v>
      </c>
      <c r="J7" s="4667" t="s">
        <v>17</v>
      </c>
      <c r="K7" s="4667"/>
      <c r="L7" s="4667" t="s">
        <v>18</v>
      </c>
      <c r="M7" s="4667" t="s">
        <v>19</v>
      </c>
      <c r="N7" s="4667" t="s">
        <v>10</v>
      </c>
      <c r="O7" s="4675" t="s">
        <v>20</v>
      </c>
      <c r="P7" s="4666" t="s">
        <v>21</v>
      </c>
      <c r="Q7" s="4667" t="s">
        <v>22</v>
      </c>
      <c r="R7" s="4667" t="s">
        <v>23</v>
      </c>
      <c r="S7" s="4667" t="s">
        <v>24</v>
      </c>
      <c r="T7" s="4666" t="s">
        <v>21</v>
      </c>
      <c r="U7" s="4666"/>
      <c r="V7" s="4666"/>
      <c r="W7" s="4674" t="s">
        <v>12</v>
      </c>
      <c r="X7" s="4667" t="s">
        <v>25</v>
      </c>
      <c r="Y7" s="2551" t="s">
        <v>26</v>
      </c>
      <c r="Z7" s="2552"/>
      <c r="AA7" s="2552"/>
      <c r="AB7" s="2553"/>
      <c r="AC7" s="2554" t="s">
        <v>27</v>
      </c>
      <c r="AD7" s="2555"/>
      <c r="AE7" s="2555"/>
      <c r="AF7" s="2555"/>
      <c r="AG7" s="2555"/>
      <c r="AH7" s="2555"/>
      <c r="AI7" s="2555"/>
      <c r="AJ7" s="2556"/>
      <c r="AK7" s="2677" t="s">
        <v>28</v>
      </c>
      <c r="AL7" s="2678"/>
      <c r="AM7" s="2678"/>
      <c r="AN7" s="2678"/>
      <c r="AO7" s="2678"/>
      <c r="AP7" s="2678"/>
      <c r="AQ7" s="2678"/>
      <c r="AR7" s="2678"/>
      <c r="AS7" s="2678"/>
      <c r="AT7" s="2678"/>
      <c r="AU7" s="2678"/>
      <c r="AV7" s="2679"/>
      <c r="AW7" s="2554" t="s">
        <v>29</v>
      </c>
      <c r="AX7" s="2555"/>
      <c r="AY7" s="2555"/>
      <c r="AZ7" s="2555"/>
      <c r="BA7" s="2555"/>
      <c r="BB7" s="2556"/>
      <c r="BC7" s="2681" t="s">
        <v>30</v>
      </c>
      <c r="BD7" s="2682"/>
      <c r="BE7" s="4676" t="s">
        <v>31</v>
      </c>
      <c r="BF7" s="4677"/>
      <c r="BG7" s="4677"/>
      <c r="BH7" s="4677"/>
      <c r="BI7" s="4677"/>
      <c r="BJ7" s="4678"/>
      <c r="BK7" s="4679" t="s">
        <v>32</v>
      </c>
      <c r="BL7" s="4680"/>
      <c r="BM7" s="4679" t="s">
        <v>33</v>
      </c>
      <c r="BN7" s="4680"/>
      <c r="BO7" s="4683" t="s">
        <v>34</v>
      </c>
    </row>
    <row r="8" spans="1:67" ht="123" customHeight="1" x14ac:dyDescent="0.25">
      <c r="A8" s="4674"/>
      <c r="B8" s="4667"/>
      <c r="C8" s="4667"/>
      <c r="D8" s="4667"/>
      <c r="E8" s="4667"/>
      <c r="F8" s="4667"/>
      <c r="G8" s="4667"/>
      <c r="H8" s="4667"/>
      <c r="I8" s="4667"/>
      <c r="J8" s="4667"/>
      <c r="K8" s="4667"/>
      <c r="L8" s="4667"/>
      <c r="M8" s="4667"/>
      <c r="N8" s="4667"/>
      <c r="O8" s="4675"/>
      <c r="P8" s="4666"/>
      <c r="Q8" s="4667"/>
      <c r="R8" s="4667"/>
      <c r="S8" s="4667"/>
      <c r="T8" s="4666" t="s">
        <v>229</v>
      </c>
      <c r="U8" s="4666" t="s">
        <v>230</v>
      </c>
      <c r="V8" s="4670" t="s">
        <v>231</v>
      </c>
      <c r="W8" s="4674"/>
      <c r="X8" s="4667"/>
      <c r="Y8" s="4664" t="s">
        <v>38</v>
      </c>
      <c r="Z8" s="4665"/>
      <c r="AA8" s="4672" t="s">
        <v>39</v>
      </c>
      <c r="AB8" s="4673"/>
      <c r="AC8" s="4664" t="s">
        <v>40</v>
      </c>
      <c r="AD8" s="4665"/>
      <c r="AE8" s="4664" t="s">
        <v>41</v>
      </c>
      <c r="AF8" s="4665"/>
      <c r="AG8" s="4664" t="s">
        <v>650</v>
      </c>
      <c r="AH8" s="4665"/>
      <c r="AI8" s="4664" t="s">
        <v>43</v>
      </c>
      <c r="AJ8" s="4665"/>
      <c r="AK8" s="4664" t="s">
        <v>44</v>
      </c>
      <c r="AL8" s="4665"/>
      <c r="AM8" s="4664" t="s">
        <v>45</v>
      </c>
      <c r="AN8" s="4665"/>
      <c r="AO8" s="4664" t="s">
        <v>46</v>
      </c>
      <c r="AP8" s="4665"/>
      <c r="AQ8" s="4664" t="s">
        <v>47</v>
      </c>
      <c r="AR8" s="4665"/>
      <c r="AS8" s="4664" t="s">
        <v>48</v>
      </c>
      <c r="AT8" s="4665"/>
      <c r="AU8" s="4664" t="s">
        <v>49</v>
      </c>
      <c r="AV8" s="4665"/>
      <c r="AW8" s="4664" t="s">
        <v>50</v>
      </c>
      <c r="AX8" s="4665"/>
      <c r="AY8" s="4664" t="s">
        <v>51</v>
      </c>
      <c r="AZ8" s="4665"/>
      <c r="BA8" s="4664" t="s">
        <v>52</v>
      </c>
      <c r="BB8" s="4665"/>
      <c r="BC8" s="2683"/>
      <c r="BD8" s="2684"/>
      <c r="BE8" s="3515" t="s">
        <v>53</v>
      </c>
      <c r="BF8" s="3514" t="s">
        <v>54</v>
      </c>
      <c r="BG8" s="3515" t="s">
        <v>55</v>
      </c>
      <c r="BH8" s="3516" t="s">
        <v>56</v>
      </c>
      <c r="BI8" s="3515" t="s">
        <v>57</v>
      </c>
      <c r="BJ8" s="3521" t="s">
        <v>58</v>
      </c>
      <c r="BK8" s="4681"/>
      <c r="BL8" s="4682"/>
      <c r="BM8" s="4681"/>
      <c r="BN8" s="4682"/>
      <c r="BO8" s="4684"/>
    </row>
    <row r="9" spans="1:67" ht="33" customHeight="1" x14ac:dyDescent="0.25">
      <c r="A9" s="4674"/>
      <c r="B9" s="4667"/>
      <c r="C9" s="4667"/>
      <c r="D9" s="4667"/>
      <c r="E9" s="4667"/>
      <c r="F9" s="4667"/>
      <c r="G9" s="4667"/>
      <c r="H9" s="4667"/>
      <c r="I9" s="4667"/>
      <c r="J9" s="944" t="s">
        <v>59</v>
      </c>
      <c r="K9" s="944" t="s">
        <v>60</v>
      </c>
      <c r="L9" s="4667"/>
      <c r="M9" s="4667"/>
      <c r="N9" s="4667"/>
      <c r="O9" s="4675"/>
      <c r="P9" s="4666"/>
      <c r="Q9" s="4667"/>
      <c r="R9" s="4667"/>
      <c r="S9" s="4667"/>
      <c r="T9" s="4666"/>
      <c r="U9" s="4666"/>
      <c r="V9" s="4671"/>
      <c r="W9" s="4674"/>
      <c r="X9" s="4667"/>
      <c r="Y9" s="944" t="s">
        <v>59</v>
      </c>
      <c r="Z9" s="944" t="s">
        <v>60</v>
      </c>
      <c r="AA9" s="944" t="s">
        <v>59</v>
      </c>
      <c r="AB9" s="944" t="s">
        <v>60</v>
      </c>
      <c r="AC9" s="944" t="s">
        <v>59</v>
      </c>
      <c r="AD9" s="944" t="s">
        <v>60</v>
      </c>
      <c r="AE9" s="944" t="s">
        <v>59</v>
      </c>
      <c r="AF9" s="944" t="s">
        <v>60</v>
      </c>
      <c r="AG9" s="944" t="s">
        <v>59</v>
      </c>
      <c r="AH9" s="944" t="s">
        <v>60</v>
      </c>
      <c r="AI9" s="944" t="s">
        <v>59</v>
      </c>
      <c r="AJ9" s="944" t="s">
        <v>60</v>
      </c>
      <c r="AK9" s="944" t="s">
        <v>59</v>
      </c>
      <c r="AL9" s="944" t="s">
        <v>60</v>
      </c>
      <c r="AM9" s="944" t="s">
        <v>59</v>
      </c>
      <c r="AN9" s="944" t="s">
        <v>60</v>
      </c>
      <c r="AO9" s="944" t="s">
        <v>59</v>
      </c>
      <c r="AP9" s="944" t="s">
        <v>60</v>
      </c>
      <c r="AQ9" s="944" t="s">
        <v>59</v>
      </c>
      <c r="AR9" s="944" t="s">
        <v>60</v>
      </c>
      <c r="AS9" s="944" t="s">
        <v>59</v>
      </c>
      <c r="AT9" s="944" t="s">
        <v>60</v>
      </c>
      <c r="AU9" s="944" t="s">
        <v>59</v>
      </c>
      <c r="AV9" s="944" t="s">
        <v>60</v>
      </c>
      <c r="AW9" s="944" t="s">
        <v>59</v>
      </c>
      <c r="AX9" s="944" t="s">
        <v>60</v>
      </c>
      <c r="AY9" s="944" t="s">
        <v>59</v>
      </c>
      <c r="AZ9" s="944" t="s">
        <v>60</v>
      </c>
      <c r="BA9" s="944" t="s">
        <v>59</v>
      </c>
      <c r="BB9" s="944" t="s">
        <v>60</v>
      </c>
      <c r="BC9" s="944" t="s">
        <v>59</v>
      </c>
      <c r="BD9" s="944" t="s">
        <v>60</v>
      </c>
      <c r="BE9" s="3515"/>
      <c r="BF9" s="3514"/>
      <c r="BG9" s="3515"/>
      <c r="BH9" s="3516"/>
      <c r="BI9" s="3515"/>
      <c r="BJ9" s="3522"/>
      <c r="BK9" s="945" t="s">
        <v>59</v>
      </c>
      <c r="BL9" s="945" t="s">
        <v>60</v>
      </c>
      <c r="BM9" s="945" t="s">
        <v>59</v>
      </c>
      <c r="BN9" s="945" t="s">
        <v>60</v>
      </c>
      <c r="BO9" s="946"/>
    </row>
    <row r="10" spans="1:67" ht="15.75" x14ac:dyDescent="0.25">
      <c r="A10" s="799">
        <v>3</v>
      </c>
      <c r="B10" s="947" t="s">
        <v>624</v>
      </c>
      <c r="C10" s="801"/>
      <c r="D10" s="948"/>
      <c r="E10" s="949"/>
      <c r="F10" s="949"/>
      <c r="G10" s="949"/>
      <c r="H10" s="950"/>
      <c r="I10" s="807"/>
      <c r="J10" s="949"/>
      <c r="K10" s="949"/>
      <c r="L10" s="949"/>
      <c r="M10" s="807"/>
      <c r="N10" s="807"/>
      <c r="O10" s="951"/>
      <c r="P10" s="949"/>
      <c r="Q10" s="949"/>
      <c r="R10" s="949"/>
      <c r="S10" s="807"/>
      <c r="T10" s="949"/>
      <c r="U10" s="949"/>
      <c r="V10" s="949"/>
      <c r="W10" s="949"/>
      <c r="X10" s="807"/>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5"/>
      <c r="AY10" s="755"/>
      <c r="AZ10" s="755"/>
      <c r="BA10" s="755"/>
      <c r="BB10" s="755"/>
      <c r="BC10" s="755"/>
      <c r="BD10" s="755"/>
      <c r="BE10" s="755"/>
      <c r="BF10" s="755"/>
      <c r="BG10" s="755"/>
      <c r="BH10" s="755"/>
      <c r="BI10" s="755"/>
      <c r="BJ10" s="755"/>
      <c r="BK10" s="755"/>
      <c r="BL10" s="755"/>
      <c r="BM10" s="755"/>
      <c r="BN10" s="755"/>
      <c r="BO10" s="952"/>
    </row>
    <row r="11" spans="1:67" ht="15.75" x14ac:dyDescent="0.25">
      <c r="A11" s="953"/>
      <c r="B11" s="3872"/>
      <c r="C11" s="3604"/>
      <c r="D11" s="763">
        <v>2409</v>
      </c>
      <c r="E11" s="219" t="s">
        <v>651</v>
      </c>
      <c r="F11" s="220"/>
      <c r="G11" s="954"/>
      <c r="H11" s="764"/>
      <c r="I11" s="765"/>
      <c r="J11" s="955"/>
      <c r="K11" s="955"/>
      <c r="L11" s="222"/>
      <c r="M11" s="221"/>
      <c r="N11" s="956"/>
      <c r="O11" s="767"/>
      <c r="P11" s="768"/>
      <c r="Q11" s="768"/>
      <c r="R11" s="768"/>
      <c r="S11" s="222"/>
      <c r="T11" s="957"/>
      <c r="U11" s="957"/>
      <c r="V11" s="957"/>
      <c r="W11" s="768"/>
      <c r="X11" s="769"/>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8"/>
      <c r="AY11" s="768"/>
      <c r="AZ11" s="768"/>
      <c r="BA11" s="768"/>
      <c r="BB11" s="768"/>
      <c r="BC11" s="768"/>
      <c r="BD11" s="768"/>
      <c r="BE11" s="768"/>
      <c r="BF11" s="768"/>
      <c r="BG11" s="768"/>
      <c r="BH11" s="768"/>
      <c r="BI11" s="768"/>
      <c r="BJ11" s="768"/>
      <c r="BK11" s="768"/>
      <c r="BL11" s="768"/>
      <c r="BM11" s="768"/>
      <c r="BN11" s="768"/>
      <c r="BO11" s="958"/>
    </row>
    <row r="12" spans="1:67" ht="60" customHeight="1" x14ac:dyDescent="0.25">
      <c r="A12" s="959"/>
      <c r="B12" s="734"/>
      <c r="C12" s="734"/>
      <c r="D12" s="122"/>
      <c r="E12" s="3416"/>
      <c r="F12" s="3416"/>
      <c r="G12" s="960">
        <v>19.100000000000001</v>
      </c>
      <c r="H12" s="729" t="s">
        <v>652</v>
      </c>
      <c r="I12" s="733" t="s">
        <v>653</v>
      </c>
      <c r="J12" s="732">
        <v>1</v>
      </c>
      <c r="K12" s="961">
        <v>0.92</v>
      </c>
      <c r="L12" s="2801" t="s">
        <v>654</v>
      </c>
      <c r="M12" s="3225">
        <v>24010101</v>
      </c>
      <c r="N12" s="2909" t="s">
        <v>655</v>
      </c>
      <c r="O12" s="731">
        <f>T12/$T$16</f>
        <v>0.24672897196261681</v>
      </c>
      <c r="P12" s="4662">
        <v>107000000</v>
      </c>
      <c r="Q12" s="2708" t="s">
        <v>656</v>
      </c>
      <c r="R12" s="2585" t="s">
        <v>657</v>
      </c>
      <c r="S12" s="962" t="s">
        <v>658</v>
      </c>
      <c r="T12" s="963">
        <v>26400000</v>
      </c>
      <c r="U12" s="963">
        <f>'[2]Metas Producto F-PLA-47'!S16</f>
        <v>25052000</v>
      </c>
      <c r="V12" s="963">
        <f>U12</f>
        <v>25052000</v>
      </c>
      <c r="W12" s="4668" t="s">
        <v>659</v>
      </c>
      <c r="X12" s="2708" t="s">
        <v>660</v>
      </c>
      <c r="Y12" s="2738">
        <v>57163</v>
      </c>
      <c r="Z12" s="2739">
        <f>Y12*W19</f>
        <v>0</v>
      </c>
      <c r="AA12" s="3062">
        <v>57815</v>
      </c>
      <c r="AB12" s="2739">
        <f>AA12*W19</f>
        <v>0</v>
      </c>
      <c r="AC12" s="3062">
        <v>27805</v>
      </c>
      <c r="AD12" s="2739">
        <f>AC12*W19</f>
        <v>0</v>
      </c>
      <c r="AE12" s="3062">
        <v>8790</v>
      </c>
      <c r="AF12" s="2739">
        <f>AE12*W19</f>
        <v>0</v>
      </c>
      <c r="AG12" s="3062">
        <v>60583</v>
      </c>
      <c r="AH12" s="2739">
        <f>AG12*W19</f>
        <v>0</v>
      </c>
      <c r="AI12" s="3062">
        <v>17800</v>
      </c>
      <c r="AJ12" s="2739">
        <f>AI12*W19</f>
        <v>0</v>
      </c>
      <c r="AK12" s="3062">
        <v>283</v>
      </c>
      <c r="AL12" s="2739">
        <f>AK12*W19</f>
        <v>0</v>
      </c>
      <c r="AM12" s="3062">
        <v>1495</v>
      </c>
      <c r="AN12" s="2739">
        <f>AM12*W19</f>
        <v>0</v>
      </c>
      <c r="AO12" s="3062">
        <v>8</v>
      </c>
      <c r="AP12" s="2739">
        <f>AO12*W19</f>
        <v>0</v>
      </c>
      <c r="AQ12" s="3062">
        <v>0</v>
      </c>
      <c r="AR12" s="2739">
        <v>0</v>
      </c>
      <c r="AS12" s="3062">
        <v>0</v>
      </c>
      <c r="AT12" s="2739">
        <v>0</v>
      </c>
      <c r="AU12" s="3062">
        <v>0</v>
      </c>
      <c r="AV12" s="2739">
        <v>0</v>
      </c>
      <c r="AW12" s="3062">
        <v>44350</v>
      </c>
      <c r="AX12" s="2739">
        <f>AW12*W19</f>
        <v>0</v>
      </c>
      <c r="AY12" s="3062">
        <v>6251</v>
      </c>
      <c r="AZ12" s="2739">
        <f>AY12*W19</f>
        <v>0</v>
      </c>
      <c r="BA12" s="3062">
        <v>75687</v>
      </c>
      <c r="BB12" s="2739">
        <f>BA12*W19</f>
        <v>0</v>
      </c>
      <c r="BC12" s="3062">
        <v>114978</v>
      </c>
      <c r="BD12" s="2739">
        <f>BC12*W19</f>
        <v>0</v>
      </c>
      <c r="BE12" s="2739">
        <v>6</v>
      </c>
      <c r="BF12" s="4659">
        <f>U16</f>
        <v>52352000</v>
      </c>
      <c r="BG12" s="4657">
        <f>V16</f>
        <v>52352000</v>
      </c>
      <c r="BH12" s="2588">
        <f>BG12/BF12</f>
        <v>1</v>
      </c>
      <c r="BI12" s="2739" t="s">
        <v>660</v>
      </c>
      <c r="BJ12" s="2739" t="s">
        <v>661</v>
      </c>
      <c r="BK12" s="3627">
        <v>43831</v>
      </c>
      <c r="BL12" s="3627">
        <v>43838</v>
      </c>
      <c r="BM12" s="3627">
        <v>44196</v>
      </c>
      <c r="BN12" s="3627">
        <v>44196</v>
      </c>
      <c r="BO12" s="2586" t="s">
        <v>662</v>
      </c>
    </row>
    <row r="13" spans="1:67" ht="55.5" customHeight="1" x14ac:dyDescent="0.25">
      <c r="A13" s="262"/>
      <c r="B13" s="125"/>
      <c r="C13" s="125"/>
      <c r="D13" s="122"/>
      <c r="E13" s="3416"/>
      <c r="F13" s="3416"/>
      <c r="G13" s="960" t="s">
        <v>663</v>
      </c>
      <c r="H13" s="729" t="s">
        <v>664</v>
      </c>
      <c r="I13" s="964" t="s">
        <v>665</v>
      </c>
      <c r="J13" s="732">
        <v>1</v>
      </c>
      <c r="K13" s="961">
        <v>0.4</v>
      </c>
      <c r="L13" s="2801"/>
      <c r="M13" s="3225"/>
      <c r="N13" s="2909" t="s">
        <v>666</v>
      </c>
      <c r="O13" s="731">
        <f t="shared" ref="O13:O15" si="0">T13/$T$16</f>
        <v>7.8504672897196259E-2</v>
      </c>
      <c r="P13" s="4662"/>
      <c r="Q13" s="2708"/>
      <c r="R13" s="2586"/>
      <c r="S13" s="965" t="s">
        <v>667</v>
      </c>
      <c r="T13" s="963">
        <v>8400000</v>
      </c>
      <c r="U13" s="963">
        <f>'[2]Metas Producto F-PLA-47'!S17</f>
        <v>4590000</v>
      </c>
      <c r="V13" s="963">
        <f>U13</f>
        <v>4590000</v>
      </c>
      <c r="W13" s="4668"/>
      <c r="X13" s="2708"/>
      <c r="Y13" s="2739"/>
      <c r="Z13" s="2739"/>
      <c r="AA13" s="3062"/>
      <c r="AB13" s="2739"/>
      <c r="AC13" s="3062"/>
      <c r="AD13" s="2739"/>
      <c r="AE13" s="3062"/>
      <c r="AF13" s="2739"/>
      <c r="AG13" s="3062"/>
      <c r="AH13" s="2739"/>
      <c r="AI13" s="3062"/>
      <c r="AJ13" s="2739"/>
      <c r="AK13" s="3062"/>
      <c r="AL13" s="2739"/>
      <c r="AM13" s="3062"/>
      <c r="AN13" s="2739"/>
      <c r="AO13" s="3062"/>
      <c r="AP13" s="2739"/>
      <c r="AQ13" s="3062"/>
      <c r="AR13" s="2739"/>
      <c r="AS13" s="3062"/>
      <c r="AT13" s="2739"/>
      <c r="AU13" s="3062"/>
      <c r="AV13" s="2739"/>
      <c r="AW13" s="3062"/>
      <c r="AX13" s="2739"/>
      <c r="AY13" s="3062"/>
      <c r="AZ13" s="2739"/>
      <c r="BA13" s="3062"/>
      <c r="BB13" s="2739"/>
      <c r="BC13" s="3062"/>
      <c r="BD13" s="2739"/>
      <c r="BE13" s="2739"/>
      <c r="BF13" s="4659"/>
      <c r="BG13" s="4657"/>
      <c r="BH13" s="2588"/>
      <c r="BI13" s="2739"/>
      <c r="BJ13" s="2739"/>
      <c r="BK13" s="2598"/>
      <c r="BL13" s="3627"/>
      <c r="BM13" s="2598"/>
      <c r="BN13" s="3627"/>
      <c r="BO13" s="2586"/>
    </row>
    <row r="14" spans="1:67" ht="45" x14ac:dyDescent="0.25">
      <c r="A14" s="262"/>
      <c r="B14" s="125"/>
      <c r="C14" s="125"/>
      <c r="D14" s="122"/>
      <c r="E14" s="3416"/>
      <c r="F14" s="3416"/>
      <c r="G14" s="960" t="s">
        <v>668</v>
      </c>
      <c r="H14" s="729" t="s">
        <v>669</v>
      </c>
      <c r="I14" s="730" t="s">
        <v>670</v>
      </c>
      <c r="J14" s="966">
        <v>1</v>
      </c>
      <c r="K14" s="961">
        <v>0.92</v>
      </c>
      <c r="L14" s="2801"/>
      <c r="M14" s="3225"/>
      <c r="N14" s="2909"/>
      <c r="O14" s="731">
        <f t="shared" si="0"/>
        <v>0.23551401869158878</v>
      </c>
      <c r="P14" s="4662"/>
      <c r="Q14" s="2708"/>
      <c r="R14" s="2586"/>
      <c r="S14" s="965" t="s">
        <v>671</v>
      </c>
      <c r="T14" s="967">
        <v>25200000</v>
      </c>
      <c r="U14" s="963">
        <f>'[2]Metas Producto F-PLA-47'!S18</f>
        <v>14346000</v>
      </c>
      <c r="V14" s="963">
        <f>U14</f>
        <v>14346000</v>
      </c>
      <c r="W14" s="4668"/>
      <c r="X14" s="2708"/>
      <c r="Y14" s="2739"/>
      <c r="Z14" s="2739"/>
      <c r="AA14" s="3062"/>
      <c r="AB14" s="2739"/>
      <c r="AC14" s="3062"/>
      <c r="AD14" s="2739"/>
      <c r="AE14" s="3062"/>
      <c r="AF14" s="2739"/>
      <c r="AG14" s="3062"/>
      <c r="AH14" s="2739"/>
      <c r="AI14" s="3062"/>
      <c r="AJ14" s="2739"/>
      <c r="AK14" s="3062"/>
      <c r="AL14" s="2739"/>
      <c r="AM14" s="3062"/>
      <c r="AN14" s="2739"/>
      <c r="AO14" s="3062"/>
      <c r="AP14" s="2739"/>
      <c r="AQ14" s="3062"/>
      <c r="AR14" s="2739"/>
      <c r="AS14" s="3062"/>
      <c r="AT14" s="2739"/>
      <c r="AU14" s="3062"/>
      <c r="AV14" s="2739"/>
      <c r="AW14" s="3062"/>
      <c r="AX14" s="2739"/>
      <c r="AY14" s="3062"/>
      <c r="AZ14" s="2739"/>
      <c r="BA14" s="3062"/>
      <c r="BB14" s="2739"/>
      <c r="BC14" s="3062"/>
      <c r="BD14" s="2739"/>
      <c r="BE14" s="2739"/>
      <c r="BF14" s="4659"/>
      <c r="BG14" s="4657"/>
      <c r="BH14" s="2588"/>
      <c r="BI14" s="2739"/>
      <c r="BJ14" s="2739"/>
      <c r="BK14" s="2598"/>
      <c r="BL14" s="3627"/>
      <c r="BM14" s="2598"/>
      <c r="BN14" s="3627"/>
      <c r="BO14" s="2586"/>
    </row>
    <row r="15" spans="1:67" ht="75" customHeight="1" x14ac:dyDescent="0.25">
      <c r="A15" s="262"/>
      <c r="B15" s="125"/>
      <c r="C15" s="125"/>
      <c r="D15" s="122"/>
      <c r="E15" s="3416"/>
      <c r="F15" s="3416"/>
      <c r="G15" s="968" t="s">
        <v>672</v>
      </c>
      <c r="H15" s="729" t="s">
        <v>673</v>
      </c>
      <c r="I15" s="730" t="s">
        <v>674</v>
      </c>
      <c r="J15" s="969">
        <v>1</v>
      </c>
      <c r="K15" s="961">
        <v>0.45</v>
      </c>
      <c r="L15" s="4661"/>
      <c r="M15" s="3384"/>
      <c r="N15" s="3422"/>
      <c r="O15" s="731">
        <f t="shared" si="0"/>
        <v>0.43925233644859812</v>
      </c>
      <c r="P15" s="4663"/>
      <c r="Q15" s="2709"/>
      <c r="R15" s="3559"/>
      <c r="S15" s="965" t="s">
        <v>675</v>
      </c>
      <c r="T15" s="967">
        <v>47000000</v>
      </c>
      <c r="U15" s="963">
        <f>'[2]Metas Producto F-PLA-47'!S19</f>
        <v>8364000</v>
      </c>
      <c r="V15" s="963">
        <f>U15</f>
        <v>8364000</v>
      </c>
      <c r="W15" s="4669"/>
      <c r="X15" s="2709"/>
      <c r="Y15" s="2740"/>
      <c r="Z15" s="2740"/>
      <c r="AA15" s="3062"/>
      <c r="AB15" s="2740"/>
      <c r="AC15" s="3062"/>
      <c r="AD15" s="2740"/>
      <c r="AE15" s="3062"/>
      <c r="AF15" s="2740"/>
      <c r="AG15" s="3062"/>
      <c r="AH15" s="2740"/>
      <c r="AI15" s="3062"/>
      <c r="AJ15" s="2740"/>
      <c r="AK15" s="3062"/>
      <c r="AL15" s="2740"/>
      <c r="AM15" s="3062"/>
      <c r="AN15" s="2740"/>
      <c r="AO15" s="3062"/>
      <c r="AP15" s="2740"/>
      <c r="AQ15" s="3062"/>
      <c r="AR15" s="2740"/>
      <c r="AS15" s="3062"/>
      <c r="AT15" s="2740"/>
      <c r="AU15" s="3062"/>
      <c r="AV15" s="2740"/>
      <c r="AW15" s="3062"/>
      <c r="AX15" s="2740"/>
      <c r="AY15" s="3062"/>
      <c r="AZ15" s="2740"/>
      <c r="BA15" s="3062"/>
      <c r="BB15" s="2740"/>
      <c r="BC15" s="3062"/>
      <c r="BD15" s="2740"/>
      <c r="BE15" s="2740"/>
      <c r="BF15" s="4660"/>
      <c r="BG15" s="4658"/>
      <c r="BH15" s="2744"/>
      <c r="BI15" s="2740"/>
      <c r="BJ15" s="2740"/>
      <c r="BK15" s="3423"/>
      <c r="BL15" s="3628"/>
      <c r="BM15" s="3423"/>
      <c r="BN15" s="3628"/>
      <c r="BO15" s="3559"/>
    </row>
    <row r="16" spans="1:67" ht="15.75" x14ac:dyDescent="0.25">
      <c r="A16" s="349"/>
      <c r="B16" s="263"/>
      <c r="C16" s="263"/>
      <c r="D16" s="971"/>
      <c r="E16" s="292"/>
      <c r="F16" s="292"/>
      <c r="G16" s="972"/>
      <c r="H16" s="973"/>
      <c r="I16" s="974"/>
      <c r="J16" s="468"/>
      <c r="K16" s="468"/>
      <c r="L16" s="468"/>
      <c r="M16" s="974"/>
      <c r="N16" s="356"/>
      <c r="O16" s="572"/>
      <c r="P16" s="684">
        <v>107000000</v>
      </c>
      <c r="Q16" s="356"/>
      <c r="R16" s="356"/>
      <c r="S16" s="356"/>
      <c r="T16" s="684">
        <v>107000000</v>
      </c>
      <c r="U16" s="684">
        <f>SUM(U12:U15)</f>
        <v>52352000</v>
      </c>
      <c r="V16" s="684">
        <f>SUM(V12:V15)</f>
        <v>52352000</v>
      </c>
      <c r="W16" s="361"/>
      <c r="X16" s="356"/>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975">
        <f>BF12</f>
        <v>52352000</v>
      </c>
      <c r="BG16" s="975">
        <f>BG12</f>
        <v>52352000</v>
      </c>
      <c r="BH16" s="976">
        <f>BG16/BF16</f>
        <v>1</v>
      </c>
      <c r="BI16" s="323"/>
      <c r="BJ16" s="323"/>
      <c r="BK16" s="977"/>
      <c r="BL16" s="977"/>
      <c r="BM16" s="365"/>
      <c r="BN16" s="365"/>
      <c r="BO16" s="359"/>
    </row>
    <row r="17" spans="1:67" ht="15.75" x14ac:dyDescent="0.25">
      <c r="A17" s="978"/>
      <c r="B17" s="125"/>
      <c r="C17" s="125"/>
      <c r="D17" s="125"/>
      <c r="E17" s="125"/>
      <c r="F17" s="125"/>
      <c r="G17" s="125"/>
      <c r="H17" s="979"/>
      <c r="I17" s="980"/>
      <c r="J17" s="552"/>
      <c r="K17" s="552"/>
      <c r="L17" s="552"/>
      <c r="M17" s="980"/>
      <c r="N17" s="981"/>
      <c r="O17" s="982"/>
      <c r="P17" s="983"/>
      <c r="Q17" s="981"/>
      <c r="R17" s="981"/>
      <c r="S17" s="981"/>
      <c r="T17" s="983"/>
      <c r="U17" s="983"/>
      <c r="V17" s="983"/>
      <c r="W17" s="984"/>
      <c r="X17" s="981"/>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985"/>
      <c r="BL17" s="985"/>
      <c r="BM17" s="986"/>
      <c r="BN17" s="986"/>
      <c r="BO17" s="987"/>
    </row>
    <row r="18" spans="1:67" ht="15.75" x14ac:dyDescent="0.25">
      <c r="A18" s="121"/>
      <c r="B18" s="4"/>
      <c r="C18" s="4"/>
      <c r="D18" s="4"/>
      <c r="E18" s="4"/>
      <c r="F18" s="4"/>
      <c r="G18" s="4"/>
      <c r="H18" s="854"/>
      <c r="I18" s="855"/>
      <c r="J18" s="3"/>
      <c r="K18" s="3"/>
      <c r="L18" s="3"/>
      <c r="M18" s="855"/>
      <c r="N18" s="170"/>
      <c r="O18" s="856"/>
      <c r="P18" s="174"/>
      <c r="Q18" s="170"/>
      <c r="R18" s="170"/>
      <c r="S18" s="858"/>
      <c r="U18" s="988"/>
      <c r="V18" s="988"/>
      <c r="W18" s="177"/>
      <c r="X18" s="170"/>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989"/>
      <c r="BL18" s="989"/>
      <c r="BM18" s="181"/>
      <c r="BN18" s="181"/>
      <c r="BO18" s="182"/>
    </row>
    <row r="19" spans="1:67" ht="15.75" x14ac:dyDescent="0.25">
      <c r="B19" s="263"/>
      <c r="C19" s="263"/>
      <c r="D19" s="263"/>
      <c r="E19" s="263"/>
      <c r="F19" s="263"/>
      <c r="G19" s="263"/>
      <c r="H19" s="990"/>
      <c r="I19" s="855"/>
      <c r="W19" s="856"/>
      <c r="X19" s="480"/>
    </row>
    <row r="20" spans="1:67" ht="20.25" x14ac:dyDescent="0.3">
      <c r="B20" s="978"/>
      <c r="C20" s="991"/>
      <c r="D20" s="991" t="s">
        <v>676</v>
      </c>
      <c r="E20" s="991"/>
      <c r="F20" s="991"/>
      <c r="G20" s="991"/>
      <c r="H20" s="992"/>
      <c r="I20" s="993"/>
      <c r="J20" s="994"/>
      <c r="K20" s="994"/>
    </row>
    <row r="21" spans="1:67" ht="18" x14ac:dyDescent="0.25">
      <c r="B21" s="4"/>
      <c r="C21" s="995"/>
      <c r="D21" s="995"/>
      <c r="E21" s="993" t="s">
        <v>677</v>
      </c>
      <c r="F21" s="993"/>
      <c r="G21" s="993"/>
      <c r="H21" s="993"/>
      <c r="I21" s="178"/>
      <c r="J21" s="996"/>
      <c r="K21" s="996"/>
    </row>
    <row r="22" spans="1:67" x14ac:dyDescent="0.25">
      <c r="C22" s="997"/>
      <c r="D22" s="997"/>
      <c r="E22" s="998"/>
      <c r="F22" s="998"/>
      <c r="G22" s="998"/>
      <c r="H22" s="998"/>
      <c r="I22" s="388"/>
    </row>
  </sheetData>
  <sheetProtection password="A60F" sheet="1" objects="1" scenarios="1"/>
  <mergeCells count="109">
    <mergeCell ref="A1:BK4"/>
    <mergeCell ref="A5:J6"/>
    <mergeCell ref="L5:BO5"/>
    <mergeCell ref="Y6:BA6"/>
    <mergeCell ref="A7:A9"/>
    <mergeCell ref="B7:C9"/>
    <mergeCell ref="D7:D9"/>
    <mergeCell ref="E7:F9"/>
    <mergeCell ref="G7:G9"/>
    <mergeCell ref="H7:H9"/>
    <mergeCell ref="R7:R9"/>
    <mergeCell ref="S7:S9"/>
    <mergeCell ref="T7:V7"/>
    <mergeCell ref="W7:W9"/>
    <mergeCell ref="I7:I9"/>
    <mergeCell ref="J7:K8"/>
    <mergeCell ref="L7:L9"/>
    <mergeCell ref="M7:M9"/>
    <mergeCell ref="N7:N9"/>
    <mergeCell ref="O7:O9"/>
    <mergeCell ref="BE7:BJ7"/>
    <mergeCell ref="BK7:BL8"/>
    <mergeCell ref="BM7:BN8"/>
    <mergeCell ref="BO7:BO8"/>
    <mergeCell ref="T8:T9"/>
    <mergeCell ref="U8:U9"/>
    <mergeCell ref="V8:V9"/>
    <mergeCell ref="Y8:Z8"/>
    <mergeCell ref="AA8:AB8"/>
    <mergeCell ref="AC8:AD8"/>
    <mergeCell ref="X7:X9"/>
    <mergeCell ref="Y7:AB7"/>
    <mergeCell ref="AC7:AJ7"/>
    <mergeCell ref="AK7:AV7"/>
    <mergeCell ref="AW7:BB7"/>
    <mergeCell ref="BC7:BD8"/>
    <mergeCell ref="AE8:AF8"/>
    <mergeCell ref="AG8:AH8"/>
    <mergeCell ref="AI8:AJ8"/>
    <mergeCell ref="AK8:AL8"/>
    <mergeCell ref="BI8:BI9"/>
    <mergeCell ref="BJ8:BJ9"/>
    <mergeCell ref="BA8:BB8"/>
    <mergeCell ref="BE8:BE9"/>
    <mergeCell ref="BF8:BF9"/>
    <mergeCell ref="BG8:BG9"/>
    <mergeCell ref="BH8:BH9"/>
    <mergeCell ref="B11:C11"/>
    <mergeCell ref="E12:F15"/>
    <mergeCell ref="L12:L15"/>
    <mergeCell ref="M12:M15"/>
    <mergeCell ref="N12:N15"/>
    <mergeCell ref="P12:P15"/>
    <mergeCell ref="Q12:Q15"/>
    <mergeCell ref="R12:R15"/>
    <mergeCell ref="AY8:AZ8"/>
    <mergeCell ref="AM8:AN8"/>
    <mergeCell ref="AO8:AP8"/>
    <mergeCell ref="AQ8:AR8"/>
    <mergeCell ref="AS8:AT8"/>
    <mergeCell ref="AU8:AV8"/>
    <mergeCell ref="AW8:AX8"/>
    <mergeCell ref="P7:P9"/>
    <mergeCell ref="Q7:Q9"/>
    <mergeCell ref="AC12:AC15"/>
    <mergeCell ref="AD12:AD15"/>
    <mergeCell ref="AE12:AE15"/>
    <mergeCell ref="AF12:AF15"/>
    <mergeCell ref="AG12:AG15"/>
    <mergeCell ref="AH12:AH15"/>
    <mergeCell ref="W12:W15"/>
    <mergeCell ref="X12:X15"/>
    <mergeCell ref="Y12:Y15"/>
    <mergeCell ref="Z12:Z15"/>
    <mergeCell ref="AA12:AA15"/>
    <mergeCell ref="AB12:AB15"/>
    <mergeCell ref="AO12:AO15"/>
    <mergeCell ref="AP12:AP15"/>
    <mergeCell ref="AQ12:AQ15"/>
    <mergeCell ref="AR12:AR15"/>
    <mergeCell ref="AS12:AS15"/>
    <mergeCell ref="AT12:AT15"/>
    <mergeCell ref="AI12:AI15"/>
    <mergeCell ref="AJ12:AJ15"/>
    <mergeCell ref="AK12:AK15"/>
    <mergeCell ref="AL12:AL15"/>
    <mergeCell ref="AM12:AM15"/>
    <mergeCell ref="AN12:AN15"/>
    <mergeCell ref="BA12:BA15"/>
    <mergeCell ref="BB12:BB15"/>
    <mergeCell ref="BC12:BC15"/>
    <mergeCell ref="BD12:BD15"/>
    <mergeCell ref="BE12:BE15"/>
    <mergeCell ref="BF12:BF15"/>
    <mergeCell ref="AU12:AU15"/>
    <mergeCell ref="AV12:AV15"/>
    <mergeCell ref="AW12:AW15"/>
    <mergeCell ref="AX12:AX15"/>
    <mergeCell ref="AY12:AY15"/>
    <mergeCell ref="AZ12:AZ15"/>
    <mergeCell ref="BM12:BM15"/>
    <mergeCell ref="BN12:BN15"/>
    <mergeCell ref="BO12:BO15"/>
    <mergeCell ref="BG12:BG15"/>
    <mergeCell ref="BH12:BH15"/>
    <mergeCell ref="BI12:BI15"/>
    <mergeCell ref="BJ12:BJ15"/>
    <mergeCell ref="BK12:BK15"/>
    <mergeCell ref="BL12:BL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I115"/>
  <sheetViews>
    <sheetView showGridLines="0" zoomScale="60" zoomScaleNormal="60" workbookViewId="0">
      <selection sqref="A1:BN4"/>
    </sheetView>
  </sheetViews>
  <sheetFormatPr baseColWidth="10" defaultColWidth="19.140625" defaultRowHeight="27" customHeight="1" x14ac:dyDescent="0.2"/>
  <cols>
    <col min="1" max="1" width="19.140625" style="121"/>
    <col min="2" max="2" width="19.140625" style="4"/>
    <col min="3" max="3" width="10.85546875" style="4" customWidth="1"/>
    <col min="4" max="5" width="15.140625" style="4" customWidth="1"/>
    <col min="6" max="6" width="12" style="4" customWidth="1"/>
    <col min="7" max="7" width="19.140625" style="4"/>
    <col min="8" max="8" width="25.7109375" style="4" customWidth="1"/>
    <col min="9" max="9" width="42.85546875" style="170" customWidth="1"/>
    <col min="10" max="10" width="36.5703125" style="3" customWidth="1"/>
    <col min="11" max="12" width="20" style="3" customWidth="1"/>
    <col min="13" max="13" width="40.28515625" style="171" customWidth="1"/>
    <col min="14" max="14" width="26.5703125" style="172" customWidth="1"/>
    <col min="15" max="15" width="36.28515625" style="171" customWidth="1"/>
    <col min="16" max="16" width="19.140625" style="173"/>
    <col min="17" max="17" width="27.140625" style="174" customWidth="1"/>
    <col min="18" max="18" width="42" style="170" customWidth="1"/>
    <col min="19" max="19" width="55.7109375" style="170" customWidth="1"/>
    <col min="20" max="20" width="76.5703125" style="175" customWidth="1"/>
    <col min="21" max="21" width="27.7109375" style="176" customWidth="1"/>
    <col min="22" max="22" width="30" style="176" customWidth="1"/>
    <col min="23" max="23" width="27.7109375" style="176" customWidth="1"/>
    <col min="24" max="24" width="19.140625" style="177"/>
    <col min="25" max="25" width="26" style="171" customWidth="1"/>
    <col min="26" max="58" width="13.140625" style="178" customWidth="1"/>
    <col min="59" max="59" width="32.7109375" style="178" customWidth="1"/>
    <col min="60" max="60" width="30.85546875" style="178" customWidth="1"/>
    <col min="61" max="61" width="19.140625" style="178"/>
    <col min="62" max="62" width="28.28515625" style="179" customWidth="1"/>
    <col min="63" max="63" width="34.85546875" style="179" customWidth="1"/>
    <col min="64" max="65" width="19.140625" style="180"/>
    <col min="66" max="67" width="19.140625" style="181"/>
    <col min="68" max="68" width="33" style="182" customWidth="1"/>
    <col min="69" max="16384" width="19.140625" style="4"/>
  </cols>
  <sheetData>
    <row r="1" spans="1:87" ht="33" customHeight="1" x14ac:dyDescent="0.2">
      <c r="A1" s="2660" t="s">
        <v>0</v>
      </c>
      <c r="B1" s="2660"/>
      <c r="C1" s="2660"/>
      <c r="D1" s="2660"/>
      <c r="E1" s="2660"/>
      <c r="F1" s="2660"/>
      <c r="G1" s="2660"/>
      <c r="H1" s="2660"/>
      <c r="I1" s="2660"/>
      <c r="J1" s="2660"/>
      <c r="K1" s="2660"/>
      <c r="L1" s="2660"/>
      <c r="M1" s="2660"/>
      <c r="N1" s="2660"/>
      <c r="O1" s="2660"/>
      <c r="P1" s="2660"/>
      <c r="Q1" s="2660"/>
      <c r="R1" s="2660"/>
      <c r="S1" s="2660"/>
      <c r="T1" s="2660"/>
      <c r="U1" s="2660"/>
      <c r="V1" s="2660"/>
      <c r="W1" s="2660"/>
      <c r="X1" s="2660"/>
      <c r="Y1" s="2660"/>
      <c r="Z1" s="2660"/>
      <c r="AA1" s="2660"/>
      <c r="AB1" s="2660"/>
      <c r="AC1" s="2660"/>
      <c r="AD1" s="2660"/>
      <c r="AE1" s="2660"/>
      <c r="AF1" s="2660"/>
      <c r="AG1" s="2660"/>
      <c r="AH1" s="2660"/>
      <c r="AI1" s="2660"/>
      <c r="AJ1" s="2660"/>
      <c r="AK1" s="2660"/>
      <c r="AL1" s="2660"/>
      <c r="AM1" s="2660"/>
      <c r="AN1" s="2660"/>
      <c r="AO1" s="2660"/>
      <c r="AP1" s="2660"/>
      <c r="AQ1" s="2660"/>
      <c r="AR1" s="2660"/>
      <c r="AS1" s="2660"/>
      <c r="AT1" s="2660"/>
      <c r="AU1" s="2660"/>
      <c r="AV1" s="2660"/>
      <c r="AW1" s="2660"/>
      <c r="AX1" s="2660"/>
      <c r="AY1" s="2660"/>
      <c r="AZ1" s="2660"/>
      <c r="BA1" s="2660"/>
      <c r="BB1" s="2660"/>
      <c r="BC1" s="2660"/>
      <c r="BD1" s="2660"/>
      <c r="BE1" s="2660"/>
      <c r="BF1" s="2660"/>
      <c r="BG1" s="2660"/>
      <c r="BH1" s="2660"/>
      <c r="BI1" s="2660"/>
      <c r="BJ1" s="2660"/>
      <c r="BK1" s="2660"/>
      <c r="BL1" s="2660"/>
      <c r="BM1" s="2660"/>
      <c r="BN1" s="2661"/>
      <c r="BO1" s="1" t="s">
        <v>1</v>
      </c>
      <c r="BP1" s="2" t="s">
        <v>2</v>
      </c>
      <c r="BQ1" s="3"/>
      <c r="BR1" s="3"/>
      <c r="BS1" s="3"/>
      <c r="BT1" s="3"/>
      <c r="BU1" s="3"/>
      <c r="BV1" s="3"/>
      <c r="BW1" s="3"/>
      <c r="BX1" s="3"/>
      <c r="BY1" s="3"/>
      <c r="BZ1" s="3"/>
      <c r="CA1" s="3"/>
      <c r="CB1" s="3"/>
      <c r="CC1" s="3"/>
      <c r="CD1" s="3"/>
      <c r="CE1" s="3"/>
      <c r="CF1" s="3"/>
      <c r="CG1" s="3"/>
      <c r="CH1" s="3"/>
      <c r="CI1" s="3"/>
    </row>
    <row r="2" spans="1:87" ht="33" customHeight="1" x14ac:dyDescent="0.2">
      <c r="A2" s="2660"/>
      <c r="B2" s="2660"/>
      <c r="C2" s="2660"/>
      <c r="D2" s="2660"/>
      <c r="E2" s="2660"/>
      <c r="F2" s="2660"/>
      <c r="G2" s="2660"/>
      <c r="H2" s="2660"/>
      <c r="I2" s="2660"/>
      <c r="J2" s="2660"/>
      <c r="K2" s="2660"/>
      <c r="L2" s="2660"/>
      <c r="M2" s="2660"/>
      <c r="N2" s="2660"/>
      <c r="O2" s="2660"/>
      <c r="P2" s="2660"/>
      <c r="Q2" s="2660"/>
      <c r="R2" s="2660"/>
      <c r="S2" s="2660"/>
      <c r="T2" s="2660"/>
      <c r="U2" s="2660"/>
      <c r="V2" s="2660"/>
      <c r="W2" s="2660"/>
      <c r="X2" s="2660"/>
      <c r="Y2" s="2660"/>
      <c r="Z2" s="2660"/>
      <c r="AA2" s="2660"/>
      <c r="AB2" s="2660"/>
      <c r="AC2" s="2660"/>
      <c r="AD2" s="2660"/>
      <c r="AE2" s="2660"/>
      <c r="AF2" s="2660"/>
      <c r="AG2" s="2660"/>
      <c r="AH2" s="2660"/>
      <c r="AI2" s="2660"/>
      <c r="AJ2" s="2660"/>
      <c r="AK2" s="2660"/>
      <c r="AL2" s="2660"/>
      <c r="AM2" s="2660"/>
      <c r="AN2" s="2660"/>
      <c r="AO2" s="2660"/>
      <c r="AP2" s="2660"/>
      <c r="AQ2" s="2660"/>
      <c r="AR2" s="2660"/>
      <c r="AS2" s="2660"/>
      <c r="AT2" s="2660"/>
      <c r="AU2" s="2660"/>
      <c r="AV2" s="2660"/>
      <c r="AW2" s="2660"/>
      <c r="AX2" s="2660"/>
      <c r="AY2" s="2660"/>
      <c r="AZ2" s="2660"/>
      <c r="BA2" s="2660"/>
      <c r="BB2" s="2660"/>
      <c r="BC2" s="2660"/>
      <c r="BD2" s="2660"/>
      <c r="BE2" s="2660"/>
      <c r="BF2" s="2660"/>
      <c r="BG2" s="2660"/>
      <c r="BH2" s="2660"/>
      <c r="BI2" s="2660"/>
      <c r="BJ2" s="2660"/>
      <c r="BK2" s="2660"/>
      <c r="BL2" s="2660"/>
      <c r="BM2" s="2660"/>
      <c r="BN2" s="2661"/>
      <c r="BO2" s="1" t="s">
        <v>3</v>
      </c>
      <c r="BP2" s="2" t="s">
        <v>4</v>
      </c>
      <c r="BQ2" s="3"/>
      <c r="BR2" s="3"/>
      <c r="BS2" s="3"/>
      <c r="BT2" s="3"/>
      <c r="BU2" s="3"/>
      <c r="BV2" s="3"/>
      <c r="BW2" s="3"/>
      <c r="BX2" s="3"/>
      <c r="BY2" s="3"/>
      <c r="BZ2" s="3"/>
      <c r="CA2" s="3"/>
      <c r="CB2" s="3"/>
      <c r="CC2" s="3"/>
      <c r="CD2" s="3"/>
      <c r="CE2" s="3"/>
      <c r="CF2" s="3"/>
      <c r="CG2" s="3"/>
      <c r="CH2" s="3"/>
      <c r="CI2" s="3"/>
    </row>
    <row r="3" spans="1:87" ht="33" customHeight="1" x14ac:dyDescent="0.2">
      <c r="A3" s="2660"/>
      <c r="B3" s="2660"/>
      <c r="C3" s="2660"/>
      <c r="D3" s="2660"/>
      <c r="E3" s="2660"/>
      <c r="F3" s="2660"/>
      <c r="G3" s="2660"/>
      <c r="H3" s="2660"/>
      <c r="I3" s="2660"/>
      <c r="J3" s="2660"/>
      <c r="K3" s="2660"/>
      <c r="L3" s="2660"/>
      <c r="M3" s="2660"/>
      <c r="N3" s="2660"/>
      <c r="O3" s="2660"/>
      <c r="P3" s="2660"/>
      <c r="Q3" s="2660"/>
      <c r="R3" s="2660"/>
      <c r="S3" s="2660"/>
      <c r="T3" s="2660"/>
      <c r="U3" s="2660"/>
      <c r="V3" s="2660"/>
      <c r="W3" s="2660"/>
      <c r="X3" s="2660"/>
      <c r="Y3" s="2660"/>
      <c r="Z3" s="2660"/>
      <c r="AA3" s="2660"/>
      <c r="AB3" s="2660"/>
      <c r="AC3" s="2660"/>
      <c r="AD3" s="2660"/>
      <c r="AE3" s="2660"/>
      <c r="AF3" s="2660"/>
      <c r="AG3" s="2660"/>
      <c r="AH3" s="2660"/>
      <c r="AI3" s="2660"/>
      <c r="AJ3" s="2660"/>
      <c r="AK3" s="2660"/>
      <c r="AL3" s="2660"/>
      <c r="AM3" s="2660"/>
      <c r="AN3" s="2660"/>
      <c r="AO3" s="2660"/>
      <c r="AP3" s="2660"/>
      <c r="AQ3" s="2660"/>
      <c r="AR3" s="2660"/>
      <c r="AS3" s="2660"/>
      <c r="AT3" s="2660"/>
      <c r="AU3" s="2660"/>
      <c r="AV3" s="2660"/>
      <c r="AW3" s="2660"/>
      <c r="AX3" s="2660"/>
      <c r="AY3" s="2660"/>
      <c r="AZ3" s="2660"/>
      <c r="BA3" s="2660"/>
      <c r="BB3" s="2660"/>
      <c r="BC3" s="2660"/>
      <c r="BD3" s="2660"/>
      <c r="BE3" s="2660"/>
      <c r="BF3" s="2660"/>
      <c r="BG3" s="2660"/>
      <c r="BH3" s="2660"/>
      <c r="BI3" s="2660"/>
      <c r="BJ3" s="2660"/>
      <c r="BK3" s="2660"/>
      <c r="BL3" s="2660"/>
      <c r="BM3" s="2660"/>
      <c r="BN3" s="2661"/>
      <c r="BO3" s="1" t="s">
        <v>5</v>
      </c>
      <c r="BP3" s="5" t="s">
        <v>6</v>
      </c>
      <c r="BQ3" s="3"/>
      <c r="BR3" s="3"/>
      <c r="BS3" s="3"/>
      <c r="BT3" s="3"/>
      <c r="BU3" s="3"/>
      <c r="BV3" s="3"/>
      <c r="BW3" s="3"/>
      <c r="BX3" s="3"/>
      <c r="BY3" s="3"/>
      <c r="BZ3" s="3"/>
      <c r="CA3" s="3"/>
      <c r="CB3" s="3"/>
      <c r="CC3" s="3"/>
      <c r="CD3" s="3"/>
      <c r="CE3" s="3"/>
      <c r="CF3" s="3"/>
      <c r="CG3" s="3"/>
      <c r="CH3" s="3"/>
      <c r="CI3" s="3"/>
    </row>
    <row r="4" spans="1:87" ht="33" customHeight="1" x14ac:dyDescent="0.2">
      <c r="A4" s="2662"/>
      <c r="B4" s="2662"/>
      <c r="C4" s="2662"/>
      <c r="D4" s="2662"/>
      <c r="E4" s="2662"/>
      <c r="F4" s="2662"/>
      <c r="G4" s="2662"/>
      <c r="H4" s="2662"/>
      <c r="I4" s="2662"/>
      <c r="J4" s="2662"/>
      <c r="K4" s="2662"/>
      <c r="L4" s="2662"/>
      <c r="M4" s="2662"/>
      <c r="N4" s="2662"/>
      <c r="O4" s="2662"/>
      <c r="P4" s="2662"/>
      <c r="Q4" s="2662"/>
      <c r="R4" s="2662"/>
      <c r="S4" s="2662"/>
      <c r="T4" s="2662"/>
      <c r="U4" s="2662"/>
      <c r="V4" s="2662"/>
      <c r="W4" s="2662"/>
      <c r="X4" s="2662"/>
      <c r="Y4" s="2662"/>
      <c r="Z4" s="2662"/>
      <c r="AA4" s="2662"/>
      <c r="AB4" s="2662"/>
      <c r="AC4" s="2662"/>
      <c r="AD4" s="2662"/>
      <c r="AE4" s="2662"/>
      <c r="AF4" s="2662"/>
      <c r="AG4" s="2662"/>
      <c r="AH4" s="2662"/>
      <c r="AI4" s="2662"/>
      <c r="AJ4" s="2662"/>
      <c r="AK4" s="2662"/>
      <c r="AL4" s="2662"/>
      <c r="AM4" s="2662"/>
      <c r="AN4" s="2662"/>
      <c r="AO4" s="2662"/>
      <c r="AP4" s="2662"/>
      <c r="AQ4" s="2662"/>
      <c r="AR4" s="2662"/>
      <c r="AS4" s="2662"/>
      <c r="AT4" s="2662"/>
      <c r="AU4" s="2662"/>
      <c r="AV4" s="2662"/>
      <c r="AW4" s="2662"/>
      <c r="AX4" s="2662"/>
      <c r="AY4" s="2662"/>
      <c r="AZ4" s="2662"/>
      <c r="BA4" s="2662"/>
      <c r="BB4" s="2662"/>
      <c r="BC4" s="2662"/>
      <c r="BD4" s="2662"/>
      <c r="BE4" s="2662"/>
      <c r="BF4" s="2662"/>
      <c r="BG4" s="2662"/>
      <c r="BH4" s="2662"/>
      <c r="BI4" s="2662"/>
      <c r="BJ4" s="2662"/>
      <c r="BK4" s="2662"/>
      <c r="BL4" s="2662"/>
      <c r="BM4" s="2662"/>
      <c r="BN4" s="2663"/>
      <c r="BO4" s="1" t="s">
        <v>7</v>
      </c>
      <c r="BP4" s="6" t="s">
        <v>8</v>
      </c>
      <c r="BQ4" s="3"/>
      <c r="BR4" s="3"/>
      <c r="BS4" s="3"/>
      <c r="BT4" s="3"/>
      <c r="BU4" s="3"/>
      <c r="BV4" s="3"/>
      <c r="BW4" s="3"/>
      <c r="BX4" s="3"/>
      <c r="BY4" s="3"/>
      <c r="BZ4" s="3"/>
      <c r="CA4" s="3"/>
      <c r="CB4" s="3"/>
      <c r="CC4" s="3"/>
      <c r="CD4" s="3"/>
      <c r="CE4" s="3"/>
      <c r="CF4" s="3"/>
      <c r="CG4" s="3"/>
      <c r="CH4" s="3"/>
      <c r="CI4" s="3"/>
    </row>
    <row r="5" spans="1:87" ht="42" customHeight="1" x14ac:dyDescent="0.2">
      <c r="A5" s="2664" t="s">
        <v>9</v>
      </c>
      <c r="B5" s="2664"/>
      <c r="C5" s="2664"/>
      <c r="D5" s="2664"/>
      <c r="E5" s="2664"/>
      <c r="F5" s="2664"/>
      <c r="G5" s="2664"/>
      <c r="H5" s="2664"/>
      <c r="I5" s="2664"/>
      <c r="J5" s="2664"/>
      <c r="K5" s="2664"/>
      <c r="L5" s="7"/>
      <c r="M5" s="2666" t="s">
        <v>10</v>
      </c>
      <c r="N5" s="2666"/>
      <c r="O5" s="2666"/>
      <c r="P5" s="2666"/>
      <c r="Q5" s="2666"/>
      <c r="R5" s="2666"/>
      <c r="S5" s="2666"/>
      <c r="T5" s="2666"/>
      <c r="U5" s="2666"/>
      <c r="V5" s="2666"/>
      <c r="W5" s="2666"/>
      <c r="X5" s="2666"/>
      <c r="Y5" s="2666"/>
      <c r="Z5" s="2666"/>
      <c r="AA5" s="2666"/>
      <c r="AB5" s="2666"/>
      <c r="AC5" s="2666"/>
      <c r="AD5" s="2666"/>
      <c r="AE5" s="2666"/>
      <c r="AF5" s="2666"/>
      <c r="AG5" s="2666"/>
      <c r="AH5" s="2666"/>
      <c r="AI5" s="2666"/>
      <c r="AJ5" s="2666"/>
      <c r="AK5" s="2666"/>
      <c r="AL5" s="2666"/>
      <c r="AM5" s="2666"/>
      <c r="AN5" s="2666"/>
      <c r="AO5" s="2666"/>
      <c r="AP5" s="2666"/>
      <c r="AQ5" s="2666"/>
      <c r="AR5" s="2666"/>
      <c r="AS5" s="2666"/>
      <c r="AT5" s="2666"/>
      <c r="AU5" s="2666"/>
      <c r="AV5" s="2666"/>
      <c r="AW5" s="2666"/>
      <c r="AX5" s="2666"/>
      <c r="AY5" s="2666"/>
      <c r="AZ5" s="2666"/>
      <c r="BA5" s="2666"/>
      <c r="BB5" s="2666"/>
      <c r="BC5" s="2666"/>
      <c r="BD5" s="2666"/>
      <c r="BE5" s="2666"/>
      <c r="BF5" s="2666"/>
      <c r="BG5" s="2666"/>
      <c r="BH5" s="2666"/>
      <c r="BI5" s="2666"/>
      <c r="BJ5" s="2666"/>
      <c r="BK5" s="2666"/>
      <c r="BL5" s="2666"/>
      <c r="BM5" s="2666"/>
      <c r="BN5" s="2666"/>
      <c r="BO5" s="2666"/>
      <c r="BP5" s="2666"/>
      <c r="BQ5" s="3"/>
      <c r="BR5" s="3"/>
      <c r="BS5" s="3"/>
      <c r="BT5" s="3"/>
      <c r="BU5" s="3"/>
      <c r="BV5" s="3"/>
      <c r="BW5" s="3"/>
      <c r="BX5" s="3"/>
      <c r="BY5" s="3"/>
      <c r="BZ5" s="3"/>
      <c r="CA5" s="3"/>
      <c r="CB5" s="3"/>
      <c r="CC5" s="3"/>
      <c r="CD5" s="3"/>
      <c r="CE5" s="3"/>
      <c r="CF5" s="3"/>
      <c r="CG5" s="3"/>
      <c r="CH5" s="3"/>
      <c r="CI5" s="3"/>
    </row>
    <row r="6" spans="1:87" ht="42" customHeight="1" thickBot="1" x14ac:dyDescent="0.25">
      <c r="A6" s="2665"/>
      <c r="B6" s="2665"/>
      <c r="C6" s="2665"/>
      <c r="D6" s="2665"/>
      <c r="E6" s="2665"/>
      <c r="F6" s="2665"/>
      <c r="G6" s="2665"/>
      <c r="H6" s="2665"/>
      <c r="I6" s="2665"/>
      <c r="J6" s="2665"/>
      <c r="K6" s="2665"/>
      <c r="L6" s="8"/>
      <c r="M6" s="9"/>
      <c r="N6" s="10"/>
      <c r="O6" s="11"/>
      <c r="P6" s="8"/>
      <c r="Q6" s="10"/>
      <c r="R6" s="10"/>
      <c r="S6" s="10"/>
      <c r="T6" s="12"/>
      <c r="U6" s="13"/>
      <c r="V6" s="13"/>
      <c r="W6" s="13"/>
      <c r="X6" s="10"/>
      <c r="Y6" s="11"/>
      <c r="Z6" s="2667" t="s">
        <v>11</v>
      </c>
      <c r="AA6" s="2665"/>
      <c r="AB6" s="2665"/>
      <c r="AC6" s="2665"/>
      <c r="AD6" s="2665"/>
      <c r="AE6" s="2665"/>
      <c r="AF6" s="2665"/>
      <c r="AG6" s="2665"/>
      <c r="AH6" s="2665"/>
      <c r="AI6" s="2665"/>
      <c r="AJ6" s="2665"/>
      <c r="AK6" s="2665"/>
      <c r="AL6" s="2665"/>
      <c r="AM6" s="2665"/>
      <c r="AN6" s="2665"/>
      <c r="AO6" s="2665"/>
      <c r="AP6" s="2665"/>
      <c r="AQ6" s="2665"/>
      <c r="AR6" s="2665"/>
      <c r="AS6" s="2665"/>
      <c r="AT6" s="2665"/>
      <c r="AU6" s="2665"/>
      <c r="AV6" s="2665"/>
      <c r="AW6" s="2665"/>
      <c r="AX6" s="2665"/>
      <c r="AY6" s="2665"/>
      <c r="AZ6" s="2665"/>
      <c r="BA6" s="2665"/>
      <c r="BB6" s="2668"/>
      <c r="BC6" s="8"/>
      <c r="BD6" s="8"/>
      <c r="BE6" s="8"/>
      <c r="BF6" s="8"/>
      <c r="BG6" s="8"/>
      <c r="BH6" s="8"/>
      <c r="BI6" s="8"/>
      <c r="BJ6" s="11"/>
      <c r="BK6" s="11"/>
      <c r="BL6" s="8"/>
      <c r="BM6" s="8"/>
      <c r="BN6" s="8"/>
      <c r="BO6" s="8"/>
      <c r="BP6" s="14"/>
      <c r="BQ6" s="3"/>
      <c r="BR6" s="3"/>
      <c r="BS6" s="3"/>
      <c r="BT6" s="3"/>
      <c r="BU6" s="3"/>
      <c r="BV6" s="3"/>
      <c r="BW6" s="3"/>
      <c r="BX6" s="3"/>
      <c r="BY6" s="3"/>
      <c r="BZ6" s="3"/>
      <c r="CA6" s="3"/>
      <c r="CB6" s="3"/>
      <c r="CC6" s="3"/>
      <c r="CD6" s="3"/>
      <c r="CE6" s="3"/>
      <c r="CF6" s="3"/>
      <c r="CG6" s="3"/>
      <c r="CH6" s="3"/>
      <c r="CI6" s="3"/>
    </row>
    <row r="7" spans="1:87" ht="32.25" customHeight="1" x14ac:dyDescent="0.2">
      <c r="A7" s="2534" t="s">
        <v>12</v>
      </c>
      <c r="B7" s="2536" t="s">
        <v>13</v>
      </c>
      <c r="C7" s="2537"/>
      <c r="D7" s="2537" t="s">
        <v>12</v>
      </c>
      <c r="E7" s="2536" t="s">
        <v>14</v>
      </c>
      <c r="F7" s="2537"/>
      <c r="G7" s="2537" t="s">
        <v>12</v>
      </c>
      <c r="H7" s="15"/>
      <c r="I7" s="2536" t="s">
        <v>15</v>
      </c>
      <c r="J7" s="2516" t="s">
        <v>16</v>
      </c>
      <c r="K7" s="2536" t="s">
        <v>17</v>
      </c>
      <c r="L7" s="2537"/>
      <c r="M7" s="2516" t="s">
        <v>18</v>
      </c>
      <c r="N7" s="2516" t="s">
        <v>19</v>
      </c>
      <c r="O7" s="2658" t="s">
        <v>10</v>
      </c>
      <c r="P7" s="2562" t="s">
        <v>20</v>
      </c>
      <c r="Q7" s="2564" t="s">
        <v>21</v>
      </c>
      <c r="R7" s="2536" t="s">
        <v>22</v>
      </c>
      <c r="S7" s="2516" t="s">
        <v>23</v>
      </c>
      <c r="T7" s="2700" t="s">
        <v>24</v>
      </c>
      <c r="U7" s="2703" t="s">
        <v>21</v>
      </c>
      <c r="V7" s="16"/>
      <c r="W7" s="16"/>
      <c r="X7" s="17"/>
      <c r="Y7" s="2516" t="s">
        <v>25</v>
      </c>
      <c r="Z7" s="2551" t="s">
        <v>26</v>
      </c>
      <c r="AA7" s="2552"/>
      <c r="AB7" s="2552"/>
      <c r="AC7" s="2553"/>
      <c r="AD7" s="2554" t="s">
        <v>27</v>
      </c>
      <c r="AE7" s="2555"/>
      <c r="AF7" s="2555"/>
      <c r="AG7" s="2555"/>
      <c r="AH7" s="2555"/>
      <c r="AI7" s="2555"/>
      <c r="AJ7" s="2555"/>
      <c r="AK7" s="2556"/>
      <c r="AL7" s="2677" t="s">
        <v>28</v>
      </c>
      <c r="AM7" s="2678"/>
      <c r="AN7" s="2678"/>
      <c r="AO7" s="2678"/>
      <c r="AP7" s="2678"/>
      <c r="AQ7" s="2678"/>
      <c r="AR7" s="2678"/>
      <c r="AS7" s="2678"/>
      <c r="AT7" s="2678"/>
      <c r="AU7" s="2678"/>
      <c r="AV7" s="2678"/>
      <c r="AW7" s="2679"/>
      <c r="AX7" s="2680" t="s">
        <v>29</v>
      </c>
      <c r="AY7" s="2680"/>
      <c r="AZ7" s="2680"/>
      <c r="BA7" s="2680"/>
      <c r="BB7" s="2680"/>
      <c r="BC7" s="2680"/>
      <c r="BD7" s="2681" t="s">
        <v>30</v>
      </c>
      <c r="BE7" s="2682"/>
      <c r="BF7" s="2685" t="s">
        <v>31</v>
      </c>
      <c r="BG7" s="2686"/>
      <c r="BH7" s="2686"/>
      <c r="BI7" s="2686"/>
      <c r="BJ7" s="2686"/>
      <c r="BK7" s="2687"/>
      <c r="BL7" s="2541" t="s">
        <v>32</v>
      </c>
      <c r="BM7" s="2542"/>
      <c r="BN7" s="2541" t="s">
        <v>33</v>
      </c>
      <c r="BO7" s="2542"/>
      <c r="BP7" s="2671" t="s">
        <v>34</v>
      </c>
      <c r="BQ7" s="3"/>
      <c r="BR7" s="3"/>
      <c r="BS7" s="3"/>
      <c r="BT7" s="3"/>
      <c r="BU7" s="3"/>
      <c r="BV7" s="3"/>
      <c r="BW7" s="3"/>
      <c r="BX7" s="3"/>
      <c r="BY7" s="3"/>
      <c r="BZ7" s="3"/>
      <c r="CA7" s="3"/>
      <c r="CB7" s="3"/>
      <c r="CC7" s="3"/>
      <c r="CD7" s="3"/>
      <c r="CE7" s="3"/>
      <c r="CF7" s="3"/>
      <c r="CG7" s="3"/>
      <c r="CH7" s="3"/>
      <c r="CI7" s="3"/>
    </row>
    <row r="8" spans="1:87" ht="162" customHeight="1" x14ac:dyDescent="0.2">
      <c r="A8" s="2535"/>
      <c r="B8" s="2538"/>
      <c r="C8" s="2539"/>
      <c r="D8" s="2539"/>
      <c r="E8" s="2538"/>
      <c r="F8" s="2539"/>
      <c r="G8" s="2539"/>
      <c r="H8" s="18" t="s">
        <v>35</v>
      </c>
      <c r="I8" s="2538"/>
      <c r="J8" s="2517"/>
      <c r="K8" s="2705"/>
      <c r="L8" s="2706"/>
      <c r="M8" s="2517"/>
      <c r="N8" s="2517"/>
      <c r="O8" s="2659"/>
      <c r="P8" s="2563"/>
      <c r="Q8" s="2565"/>
      <c r="R8" s="2538"/>
      <c r="S8" s="2517"/>
      <c r="T8" s="2701"/>
      <c r="U8" s="2704"/>
      <c r="V8" s="19" t="s">
        <v>36</v>
      </c>
      <c r="W8" s="19" t="s">
        <v>37</v>
      </c>
      <c r="X8" s="20" t="s">
        <v>12</v>
      </c>
      <c r="Y8" s="2517"/>
      <c r="Z8" s="2673" t="s">
        <v>38</v>
      </c>
      <c r="AA8" s="2674"/>
      <c r="AB8" s="2675" t="s">
        <v>39</v>
      </c>
      <c r="AC8" s="2676"/>
      <c r="AD8" s="2673" t="s">
        <v>40</v>
      </c>
      <c r="AE8" s="2674"/>
      <c r="AF8" s="2673" t="s">
        <v>41</v>
      </c>
      <c r="AG8" s="2674"/>
      <c r="AH8" s="2673" t="s">
        <v>42</v>
      </c>
      <c r="AI8" s="2674"/>
      <c r="AJ8" s="2673" t="s">
        <v>43</v>
      </c>
      <c r="AK8" s="2674"/>
      <c r="AL8" s="2673" t="s">
        <v>44</v>
      </c>
      <c r="AM8" s="2674"/>
      <c r="AN8" s="2673" t="s">
        <v>45</v>
      </c>
      <c r="AO8" s="2674"/>
      <c r="AP8" s="2673" t="s">
        <v>46</v>
      </c>
      <c r="AQ8" s="2674"/>
      <c r="AR8" s="2673" t="s">
        <v>47</v>
      </c>
      <c r="AS8" s="2674"/>
      <c r="AT8" s="2673" t="s">
        <v>48</v>
      </c>
      <c r="AU8" s="2674"/>
      <c r="AV8" s="2673" t="s">
        <v>49</v>
      </c>
      <c r="AW8" s="2674"/>
      <c r="AX8" s="2692" t="s">
        <v>50</v>
      </c>
      <c r="AY8" s="2693"/>
      <c r="AZ8" s="2692" t="s">
        <v>51</v>
      </c>
      <c r="BA8" s="2693"/>
      <c r="BB8" s="2692" t="s">
        <v>52</v>
      </c>
      <c r="BC8" s="2693"/>
      <c r="BD8" s="2683"/>
      <c r="BE8" s="2684"/>
      <c r="BF8" s="2688" t="s">
        <v>53</v>
      </c>
      <c r="BG8" s="2694" t="s">
        <v>54</v>
      </c>
      <c r="BH8" s="2688" t="s">
        <v>55</v>
      </c>
      <c r="BI8" s="2689" t="s">
        <v>56</v>
      </c>
      <c r="BJ8" s="2688" t="s">
        <v>57</v>
      </c>
      <c r="BK8" s="2690" t="s">
        <v>58</v>
      </c>
      <c r="BL8" s="2669"/>
      <c r="BM8" s="2670"/>
      <c r="BN8" s="2543"/>
      <c r="BO8" s="2544"/>
      <c r="BP8" s="2672"/>
      <c r="BQ8" s="3"/>
      <c r="BR8" s="3"/>
      <c r="BS8" s="3"/>
      <c r="BT8" s="3"/>
      <c r="BU8" s="3"/>
      <c r="BV8" s="3"/>
      <c r="BW8" s="3"/>
      <c r="BX8" s="3"/>
      <c r="BY8" s="3"/>
      <c r="BZ8" s="3"/>
      <c r="CA8" s="3"/>
      <c r="CB8" s="3"/>
      <c r="CC8" s="3"/>
      <c r="CD8" s="3"/>
      <c r="CE8" s="3"/>
      <c r="CF8" s="3"/>
      <c r="CG8" s="3"/>
      <c r="CH8" s="3"/>
      <c r="CI8" s="3"/>
    </row>
    <row r="9" spans="1:87" ht="39" customHeight="1" x14ac:dyDescent="0.2">
      <c r="A9" s="21"/>
      <c r="B9" s="22"/>
      <c r="C9" s="23"/>
      <c r="D9" s="23"/>
      <c r="E9" s="22"/>
      <c r="F9" s="23"/>
      <c r="G9" s="23"/>
      <c r="H9" s="18"/>
      <c r="I9" s="22"/>
      <c r="J9" s="24"/>
      <c r="K9" s="24" t="s">
        <v>59</v>
      </c>
      <c r="L9" s="24" t="s">
        <v>60</v>
      </c>
      <c r="M9" s="24"/>
      <c r="N9" s="24"/>
      <c r="O9" s="25"/>
      <c r="P9" s="26"/>
      <c r="Q9" s="27"/>
      <c r="R9" s="22"/>
      <c r="S9" s="2540"/>
      <c r="T9" s="2702"/>
      <c r="U9" s="19"/>
      <c r="V9" s="19"/>
      <c r="W9" s="19"/>
      <c r="X9" s="20"/>
      <c r="Y9" s="2540"/>
      <c r="Z9" s="28" t="s">
        <v>61</v>
      </c>
      <c r="AA9" s="28" t="s">
        <v>60</v>
      </c>
      <c r="AB9" s="28" t="s">
        <v>61</v>
      </c>
      <c r="AC9" s="28" t="s">
        <v>60</v>
      </c>
      <c r="AD9" s="28" t="s">
        <v>61</v>
      </c>
      <c r="AE9" s="28" t="s">
        <v>60</v>
      </c>
      <c r="AF9" s="28" t="s">
        <v>61</v>
      </c>
      <c r="AG9" s="28" t="s">
        <v>60</v>
      </c>
      <c r="AH9" s="28" t="s">
        <v>61</v>
      </c>
      <c r="AI9" s="28" t="s">
        <v>60</v>
      </c>
      <c r="AJ9" s="28" t="s">
        <v>61</v>
      </c>
      <c r="AK9" s="28" t="s">
        <v>60</v>
      </c>
      <c r="AL9" s="28" t="s">
        <v>61</v>
      </c>
      <c r="AM9" s="28" t="s">
        <v>60</v>
      </c>
      <c r="AN9" s="28" t="s">
        <v>61</v>
      </c>
      <c r="AO9" s="28" t="s">
        <v>60</v>
      </c>
      <c r="AP9" s="28" t="s">
        <v>61</v>
      </c>
      <c r="AQ9" s="28" t="s">
        <v>60</v>
      </c>
      <c r="AR9" s="28" t="s">
        <v>61</v>
      </c>
      <c r="AS9" s="28" t="s">
        <v>60</v>
      </c>
      <c r="AT9" s="28" t="s">
        <v>61</v>
      </c>
      <c r="AU9" s="28" t="s">
        <v>60</v>
      </c>
      <c r="AV9" s="28" t="s">
        <v>61</v>
      </c>
      <c r="AW9" s="28" t="s">
        <v>60</v>
      </c>
      <c r="AX9" s="28" t="s">
        <v>61</v>
      </c>
      <c r="AY9" s="28" t="s">
        <v>60</v>
      </c>
      <c r="AZ9" s="28" t="s">
        <v>61</v>
      </c>
      <c r="BA9" s="28" t="s">
        <v>60</v>
      </c>
      <c r="BB9" s="28" t="s">
        <v>61</v>
      </c>
      <c r="BC9" s="28" t="s">
        <v>60</v>
      </c>
      <c r="BD9" s="29" t="s">
        <v>61</v>
      </c>
      <c r="BE9" s="29" t="s">
        <v>60</v>
      </c>
      <c r="BF9" s="2688"/>
      <c r="BG9" s="2694"/>
      <c r="BH9" s="2688"/>
      <c r="BI9" s="2689"/>
      <c r="BJ9" s="2688"/>
      <c r="BK9" s="2691"/>
      <c r="BL9" s="28" t="s">
        <v>61</v>
      </c>
      <c r="BM9" s="28" t="s">
        <v>60</v>
      </c>
      <c r="BN9" s="28" t="s">
        <v>61</v>
      </c>
      <c r="BO9" s="28" t="s">
        <v>60</v>
      </c>
      <c r="BP9" s="30"/>
      <c r="BQ9" s="3"/>
      <c r="BR9" s="3"/>
      <c r="BS9" s="3"/>
      <c r="BT9" s="3"/>
      <c r="BU9" s="3"/>
      <c r="BV9" s="3"/>
      <c r="BW9" s="3"/>
      <c r="BX9" s="3"/>
      <c r="BY9" s="3"/>
      <c r="BZ9" s="3"/>
      <c r="CA9" s="3"/>
      <c r="CB9" s="3"/>
      <c r="CC9" s="3"/>
      <c r="CD9" s="3"/>
      <c r="CE9" s="3"/>
      <c r="CF9" s="3"/>
      <c r="CG9" s="3"/>
      <c r="CH9" s="3"/>
      <c r="CI9" s="3"/>
    </row>
    <row r="10" spans="1:87" ht="27" customHeight="1" x14ac:dyDescent="0.2">
      <c r="A10" s="31">
        <v>4</v>
      </c>
      <c r="B10" s="32" t="s">
        <v>62</v>
      </c>
      <c r="C10" s="33"/>
      <c r="D10" s="34"/>
      <c r="E10" s="34"/>
      <c r="F10" s="34"/>
      <c r="G10" s="34"/>
      <c r="H10" s="34"/>
      <c r="I10" s="35"/>
      <c r="J10" s="34"/>
      <c r="K10" s="34"/>
      <c r="L10" s="34"/>
      <c r="M10" s="36"/>
      <c r="N10" s="37"/>
      <c r="O10" s="36"/>
      <c r="P10" s="38"/>
      <c r="Q10" s="39"/>
      <c r="R10" s="35"/>
      <c r="S10" s="35"/>
      <c r="T10" s="40"/>
      <c r="U10" s="41"/>
      <c r="V10" s="41"/>
      <c r="W10" s="41"/>
      <c r="X10" s="42"/>
      <c r="Y10" s="36"/>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6"/>
      <c r="BK10" s="36"/>
      <c r="BL10" s="43"/>
      <c r="BM10" s="43"/>
      <c r="BN10" s="43"/>
      <c r="BO10" s="43"/>
      <c r="BP10" s="44"/>
      <c r="BQ10" s="3"/>
      <c r="BR10" s="3"/>
      <c r="BS10" s="3"/>
      <c r="BT10" s="3"/>
      <c r="BU10" s="3"/>
      <c r="BV10" s="3"/>
      <c r="BW10" s="3"/>
      <c r="BX10" s="3"/>
      <c r="BY10" s="3"/>
      <c r="BZ10" s="3"/>
      <c r="CA10" s="3"/>
      <c r="CB10" s="3"/>
      <c r="CC10" s="3"/>
      <c r="CD10" s="3"/>
      <c r="CE10" s="3"/>
      <c r="CF10" s="3"/>
      <c r="CG10" s="3"/>
      <c r="CH10" s="3"/>
      <c r="CI10" s="3"/>
    </row>
    <row r="11" spans="1:87" s="3" customFormat="1" ht="27" customHeight="1" x14ac:dyDescent="0.2">
      <c r="A11" s="45"/>
      <c r="B11" s="46"/>
      <c r="C11" s="47"/>
      <c r="D11" s="48">
        <v>42</v>
      </c>
      <c r="E11" s="49" t="s">
        <v>63</v>
      </c>
      <c r="F11" s="50"/>
      <c r="G11" s="50"/>
      <c r="H11" s="51"/>
      <c r="I11" s="52"/>
      <c r="J11" s="51"/>
      <c r="K11" s="51"/>
      <c r="L11" s="51"/>
      <c r="M11" s="53"/>
      <c r="N11" s="54"/>
      <c r="O11" s="53"/>
      <c r="P11" s="55"/>
      <c r="Q11" s="56"/>
      <c r="R11" s="52"/>
      <c r="S11" s="52"/>
      <c r="T11" s="57"/>
      <c r="U11" s="58"/>
      <c r="V11" s="58"/>
      <c r="W11" s="58"/>
      <c r="X11" s="59"/>
      <c r="Y11" s="53"/>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3"/>
      <c r="BK11" s="53"/>
      <c r="BL11" s="60"/>
      <c r="BM11" s="60"/>
      <c r="BN11" s="60"/>
      <c r="BO11" s="60"/>
      <c r="BP11" s="61"/>
    </row>
    <row r="12" spans="1:87" s="71" customFormat="1" ht="118.5" customHeight="1" x14ac:dyDescent="0.2">
      <c r="A12" s="62"/>
      <c r="B12" s="63"/>
      <c r="C12" s="64"/>
      <c r="D12" s="65"/>
      <c r="E12" s="66"/>
      <c r="F12" s="67"/>
      <c r="G12" s="2695" t="s">
        <v>64</v>
      </c>
      <c r="H12" s="2620" t="s">
        <v>65</v>
      </c>
      <c r="I12" s="2698" t="s">
        <v>66</v>
      </c>
      <c r="J12" s="2608" t="s">
        <v>67</v>
      </c>
      <c r="K12" s="2699">
        <v>1</v>
      </c>
      <c r="L12" s="2699">
        <v>1</v>
      </c>
      <c r="M12" s="2714" t="s">
        <v>68</v>
      </c>
      <c r="N12" s="2626" t="s">
        <v>69</v>
      </c>
      <c r="O12" s="2698" t="s">
        <v>70</v>
      </c>
      <c r="P12" s="2715">
        <f>SUM(U12:U23)/Q12</f>
        <v>1</v>
      </c>
      <c r="Q12" s="2716">
        <f>SUM(U12:U23)</f>
        <v>102285179</v>
      </c>
      <c r="R12" s="2717" t="s">
        <v>71</v>
      </c>
      <c r="S12" s="2707" t="s">
        <v>72</v>
      </c>
      <c r="T12" s="68" t="s">
        <v>73</v>
      </c>
      <c r="U12" s="2287">
        <v>0</v>
      </c>
      <c r="V12" s="2287"/>
      <c r="W12" s="2287"/>
      <c r="X12" s="69">
        <v>88</v>
      </c>
      <c r="Y12" s="1998" t="s">
        <v>411</v>
      </c>
      <c r="Z12" s="2710">
        <v>295972</v>
      </c>
      <c r="AA12" s="2711">
        <f>Z12</f>
        <v>295972</v>
      </c>
      <c r="AB12" s="2710">
        <v>285580</v>
      </c>
      <c r="AC12" s="2711">
        <f>AB12</f>
        <v>285580</v>
      </c>
      <c r="AD12" s="2710">
        <v>135545</v>
      </c>
      <c r="AE12" s="2711">
        <f>AD12</f>
        <v>135545</v>
      </c>
      <c r="AF12" s="2710">
        <v>44254</v>
      </c>
      <c r="AG12" s="2711">
        <f>AF12</f>
        <v>44254</v>
      </c>
      <c r="AH12" s="2710">
        <v>309146</v>
      </c>
      <c r="AI12" s="2711">
        <f>AH12</f>
        <v>309146</v>
      </c>
      <c r="AJ12" s="2710">
        <v>92607</v>
      </c>
      <c r="AK12" s="2711">
        <f>AJ12</f>
        <v>92607</v>
      </c>
      <c r="AL12" s="2710">
        <v>2145</v>
      </c>
      <c r="AM12" s="2711">
        <f>AL12</f>
        <v>2145</v>
      </c>
      <c r="AN12" s="2710">
        <v>12718</v>
      </c>
      <c r="AO12" s="2711">
        <f>AN12</f>
        <v>12718</v>
      </c>
      <c r="AP12" s="2710">
        <v>26</v>
      </c>
      <c r="AQ12" s="2711">
        <f>AP12</f>
        <v>26</v>
      </c>
      <c r="AR12" s="2710">
        <v>37</v>
      </c>
      <c r="AS12" s="2711">
        <f>AR12</f>
        <v>37</v>
      </c>
      <c r="AT12" s="2710">
        <v>0</v>
      </c>
      <c r="AU12" s="2711">
        <f>AT12</f>
        <v>0</v>
      </c>
      <c r="AV12" s="2710">
        <v>0</v>
      </c>
      <c r="AW12" s="2711">
        <f>AV12</f>
        <v>0</v>
      </c>
      <c r="AX12" s="2710">
        <v>44350</v>
      </c>
      <c r="AY12" s="2711">
        <f>AX12</f>
        <v>44350</v>
      </c>
      <c r="AZ12" s="2710">
        <v>21944</v>
      </c>
      <c r="BA12" s="2711">
        <f>AZ12</f>
        <v>21944</v>
      </c>
      <c r="BB12" s="2710">
        <v>75687</v>
      </c>
      <c r="BC12" s="2711">
        <f>BB12</f>
        <v>75687</v>
      </c>
      <c r="BD12" s="2710">
        <v>581552</v>
      </c>
      <c r="BE12" s="2711">
        <f>BD12</f>
        <v>581552</v>
      </c>
      <c r="BF12" s="2711">
        <v>4</v>
      </c>
      <c r="BG12" s="2735">
        <f>SUM(V12:V23)</f>
        <v>98951650</v>
      </c>
      <c r="BH12" s="2735">
        <f>SUM(W12:W23)</f>
        <v>98951650</v>
      </c>
      <c r="BI12" s="2728">
        <f>BH12/BG12</f>
        <v>1</v>
      </c>
      <c r="BJ12" s="2731" t="s">
        <v>75</v>
      </c>
      <c r="BK12" s="2731" t="s">
        <v>76</v>
      </c>
      <c r="BL12" s="2734">
        <v>43832</v>
      </c>
      <c r="BM12" s="2734">
        <v>43907</v>
      </c>
      <c r="BN12" s="2655">
        <v>44195</v>
      </c>
      <c r="BO12" s="2655">
        <f>BN12</f>
        <v>44195</v>
      </c>
      <c r="BP12" s="2710" t="s">
        <v>77</v>
      </c>
    </row>
    <row r="13" spans="1:87" s="71" customFormat="1" ht="110.25" customHeight="1" x14ac:dyDescent="0.2">
      <c r="A13" s="62"/>
      <c r="B13" s="63"/>
      <c r="C13" s="64"/>
      <c r="D13" s="72"/>
      <c r="E13" s="66"/>
      <c r="F13" s="73"/>
      <c r="G13" s="2696"/>
      <c r="H13" s="2620"/>
      <c r="I13" s="2698"/>
      <c r="J13" s="2608"/>
      <c r="K13" s="2699"/>
      <c r="L13" s="2699"/>
      <c r="M13" s="2714"/>
      <c r="N13" s="2626"/>
      <c r="O13" s="2698"/>
      <c r="P13" s="2715"/>
      <c r="Q13" s="2716"/>
      <c r="R13" s="2717"/>
      <c r="S13" s="2708"/>
      <c r="T13" s="68" t="s">
        <v>78</v>
      </c>
      <c r="U13" s="2287">
        <v>0</v>
      </c>
      <c r="V13" s="2287"/>
      <c r="W13" s="2287"/>
      <c r="X13" s="69">
        <v>88</v>
      </c>
      <c r="Y13" s="1998" t="s">
        <v>411</v>
      </c>
      <c r="Z13" s="2710"/>
      <c r="AA13" s="2712"/>
      <c r="AB13" s="2710"/>
      <c r="AC13" s="2712"/>
      <c r="AD13" s="2710"/>
      <c r="AE13" s="2712"/>
      <c r="AF13" s="2710"/>
      <c r="AG13" s="2712"/>
      <c r="AH13" s="2710"/>
      <c r="AI13" s="2712"/>
      <c r="AJ13" s="2710"/>
      <c r="AK13" s="2712"/>
      <c r="AL13" s="2710"/>
      <c r="AM13" s="2712"/>
      <c r="AN13" s="2710"/>
      <c r="AO13" s="2712"/>
      <c r="AP13" s="2710"/>
      <c r="AQ13" s="2712"/>
      <c r="AR13" s="2710"/>
      <c r="AS13" s="2712"/>
      <c r="AT13" s="2710"/>
      <c r="AU13" s="2712"/>
      <c r="AV13" s="2710"/>
      <c r="AW13" s="2712"/>
      <c r="AX13" s="2710"/>
      <c r="AY13" s="2712"/>
      <c r="AZ13" s="2710"/>
      <c r="BA13" s="2712"/>
      <c r="BB13" s="2710"/>
      <c r="BC13" s="2712"/>
      <c r="BD13" s="2710"/>
      <c r="BE13" s="2712"/>
      <c r="BF13" s="2712"/>
      <c r="BG13" s="2736"/>
      <c r="BH13" s="2736"/>
      <c r="BI13" s="2729"/>
      <c r="BJ13" s="2732"/>
      <c r="BK13" s="2732"/>
      <c r="BL13" s="2734"/>
      <c r="BM13" s="2734"/>
      <c r="BN13" s="2656"/>
      <c r="BO13" s="2656"/>
      <c r="BP13" s="2710"/>
    </row>
    <row r="14" spans="1:87" s="71" customFormat="1" ht="151.5" customHeight="1" x14ac:dyDescent="0.2">
      <c r="A14" s="62"/>
      <c r="B14" s="63"/>
      <c r="C14" s="64"/>
      <c r="D14" s="72"/>
      <c r="E14" s="66"/>
      <c r="F14" s="73"/>
      <c r="G14" s="2696"/>
      <c r="H14" s="2620"/>
      <c r="I14" s="2698"/>
      <c r="J14" s="2608"/>
      <c r="K14" s="2699"/>
      <c r="L14" s="2699"/>
      <c r="M14" s="2714"/>
      <c r="N14" s="2626"/>
      <c r="O14" s="2698"/>
      <c r="P14" s="2715"/>
      <c r="Q14" s="2716"/>
      <c r="R14" s="2717"/>
      <c r="S14" s="2708"/>
      <c r="T14" s="68" t="s">
        <v>79</v>
      </c>
      <c r="U14" s="2287">
        <v>0</v>
      </c>
      <c r="V14" s="2287"/>
      <c r="W14" s="2287"/>
      <c r="X14" s="69">
        <v>88</v>
      </c>
      <c r="Y14" s="1998" t="s">
        <v>411</v>
      </c>
      <c r="Z14" s="2710"/>
      <c r="AA14" s="2712"/>
      <c r="AB14" s="2710"/>
      <c r="AC14" s="2712"/>
      <c r="AD14" s="2710"/>
      <c r="AE14" s="2712"/>
      <c r="AF14" s="2710"/>
      <c r="AG14" s="2712"/>
      <c r="AH14" s="2710"/>
      <c r="AI14" s="2712"/>
      <c r="AJ14" s="2710"/>
      <c r="AK14" s="2712"/>
      <c r="AL14" s="2710"/>
      <c r="AM14" s="2712"/>
      <c r="AN14" s="2710"/>
      <c r="AO14" s="2712"/>
      <c r="AP14" s="2710"/>
      <c r="AQ14" s="2712"/>
      <c r="AR14" s="2710"/>
      <c r="AS14" s="2712"/>
      <c r="AT14" s="2710"/>
      <c r="AU14" s="2712"/>
      <c r="AV14" s="2710"/>
      <c r="AW14" s="2712"/>
      <c r="AX14" s="2710"/>
      <c r="AY14" s="2712"/>
      <c r="AZ14" s="2710"/>
      <c r="BA14" s="2712"/>
      <c r="BB14" s="2710"/>
      <c r="BC14" s="2712"/>
      <c r="BD14" s="2710"/>
      <c r="BE14" s="2712"/>
      <c r="BF14" s="2712"/>
      <c r="BG14" s="2736"/>
      <c r="BH14" s="2736"/>
      <c r="BI14" s="2729"/>
      <c r="BJ14" s="2732"/>
      <c r="BK14" s="2732"/>
      <c r="BL14" s="2734"/>
      <c r="BM14" s="2734"/>
      <c r="BN14" s="2656"/>
      <c r="BO14" s="2656"/>
      <c r="BP14" s="2710"/>
    </row>
    <row r="15" spans="1:87" s="71" customFormat="1" ht="113.25" customHeight="1" x14ac:dyDescent="0.2">
      <c r="A15" s="62"/>
      <c r="B15" s="63"/>
      <c r="C15" s="64"/>
      <c r="D15" s="72"/>
      <c r="E15" s="66"/>
      <c r="F15" s="73"/>
      <c r="G15" s="2696"/>
      <c r="H15" s="2620"/>
      <c r="I15" s="2698"/>
      <c r="J15" s="2608"/>
      <c r="K15" s="2699"/>
      <c r="L15" s="2699"/>
      <c r="M15" s="2714"/>
      <c r="N15" s="2626"/>
      <c r="O15" s="2698"/>
      <c r="P15" s="2715"/>
      <c r="Q15" s="2716"/>
      <c r="R15" s="2717"/>
      <c r="S15" s="2708"/>
      <c r="T15" s="68" t="s">
        <v>80</v>
      </c>
      <c r="U15" s="2287">
        <v>0</v>
      </c>
      <c r="V15" s="2287"/>
      <c r="W15" s="2287"/>
      <c r="X15" s="69">
        <v>88</v>
      </c>
      <c r="Y15" s="1998" t="s">
        <v>411</v>
      </c>
      <c r="Z15" s="2710"/>
      <c r="AA15" s="2712"/>
      <c r="AB15" s="2710"/>
      <c r="AC15" s="2712"/>
      <c r="AD15" s="2710"/>
      <c r="AE15" s="2712"/>
      <c r="AF15" s="2710"/>
      <c r="AG15" s="2712"/>
      <c r="AH15" s="2710"/>
      <c r="AI15" s="2712"/>
      <c r="AJ15" s="2710"/>
      <c r="AK15" s="2712"/>
      <c r="AL15" s="2710"/>
      <c r="AM15" s="2712"/>
      <c r="AN15" s="2710"/>
      <c r="AO15" s="2712"/>
      <c r="AP15" s="2710"/>
      <c r="AQ15" s="2712"/>
      <c r="AR15" s="2710"/>
      <c r="AS15" s="2712"/>
      <c r="AT15" s="2710"/>
      <c r="AU15" s="2712"/>
      <c r="AV15" s="2710"/>
      <c r="AW15" s="2712"/>
      <c r="AX15" s="2710"/>
      <c r="AY15" s="2712"/>
      <c r="AZ15" s="2710"/>
      <c r="BA15" s="2712"/>
      <c r="BB15" s="2710"/>
      <c r="BC15" s="2712"/>
      <c r="BD15" s="2710"/>
      <c r="BE15" s="2712"/>
      <c r="BF15" s="2712"/>
      <c r="BG15" s="2736"/>
      <c r="BH15" s="2736"/>
      <c r="BI15" s="2729"/>
      <c r="BJ15" s="2732"/>
      <c r="BK15" s="2732"/>
      <c r="BL15" s="2734"/>
      <c r="BM15" s="2734"/>
      <c r="BN15" s="2656"/>
      <c r="BO15" s="2656"/>
      <c r="BP15" s="2710"/>
    </row>
    <row r="16" spans="1:87" s="71" customFormat="1" ht="65.25" customHeight="1" x14ac:dyDescent="0.2">
      <c r="A16" s="62"/>
      <c r="B16" s="63"/>
      <c r="C16" s="64"/>
      <c r="D16" s="72"/>
      <c r="E16" s="66"/>
      <c r="F16" s="73"/>
      <c r="G16" s="2696"/>
      <c r="H16" s="2620"/>
      <c r="I16" s="2698"/>
      <c r="J16" s="2608"/>
      <c r="K16" s="2699"/>
      <c r="L16" s="2699"/>
      <c r="M16" s="2714"/>
      <c r="N16" s="2626"/>
      <c r="O16" s="2698"/>
      <c r="P16" s="2715"/>
      <c r="Q16" s="2716"/>
      <c r="R16" s="2717"/>
      <c r="S16" s="2708"/>
      <c r="T16" s="68" t="s">
        <v>81</v>
      </c>
      <c r="U16" s="2287">
        <v>69460179</v>
      </c>
      <c r="V16" s="2287">
        <v>66126650</v>
      </c>
      <c r="W16" s="2287">
        <v>66126650</v>
      </c>
      <c r="X16" s="69">
        <v>88</v>
      </c>
      <c r="Y16" s="1998" t="s">
        <v>411</v>
      </c>
      <c r="Z16" s="2710"/>
      <c r="AA16" s="2712"/>
      <c r="AB16" s="2710"/>
      <c r="AC16" s="2712"/>
      <c r="AD16" s="2710"/>
      <c r="AE16" s="2712"/>
      <c r="AF16" s="2710"/>
      <c r="AG16" s="2712"/>
      <c r="AH16" s="2710"/>
      <c r="AI16" s="2712"/>
      <c r="AJ16" s="2710"/>
      <c r="AK16" s="2712"/>
      <c r="AL16" s="2710"/>
      <c r="AM16" s="2712"/>
      <c r="AN16" s="2710"/>
      <c r="AO16" s="2712"/>
      <c r="AP16" s="2710"/>
      <c r="AQ16" s="2712"/>
      <c r="AR16" s="2710"/>
      <c r="AS16" s="2712"/>
      <c r="AT16" s="2710"/>
      <c r="AU16" s="2712"/>
      <c r="AV16" s="2710"/>
      <c r="AW16" s="2712"/>
      <c r="AX16" s="2710"/>
      <c r="AY16" s="2712"/>
      <c r="AZ16" s="2710"/>
      <c r="BA16" s="2712"/>
      <c r="BB16" s="2710"/>
      <c r="BC16" s="2712"/>
      <c r="BD16" s="2710"/>
      <c r="BE16" s="2712"/>
      <c r="BF16" s="2712"/>
      <c r="BG16" s="2736"/>
      <c r="BH16" s="2736"/>
      <c r="BI16" s="2729"/>
      <c r="BJ16" s="2732"/>
      <c r="BK16" s="2732"/>
      <c r="BL16" s="2734"/>
      <c r="BM16" s="2734"/>
      <c r="BN16" s="2656"/>
      <c r="BO16" s="2656"/>
      <c r="BP16" s="2710"/>
    </row>
    <row r="17" spans="1:68" s="71" customFormat="1" ht="57" customHeight="1" x14ac:dyDescent="0.2">
      <c r="A17" s="62"/>
      <c r="B17" s="63"/>
      <c r="C17" s="64"/>
      <c r="D17" s="72"/>
      <c r="E17" s="66"/>
      <c r="F17" s="73"/>
      <c r="G17" s="2696"/>
      <c r="H17" s="2620"/>
      <c r="I17" s="2698"/>
      <c r="J17" s="2608"/>
      <c r="K17" s="2699"/>
      <c r="L17" s="2699"/>
      <c r="M17" s="2714"/>
      <c r="N17" s="2626"/>
      <c r="O17" s="2698"/>
      <c r="P17" s="2715"/>
      <c r="Q17" s="2716"/>
      <c r="R17" s="2717"/>
      <c r="S17" s="2708"/>
      <c r="T17" s="68" t="s">
        <v>82</v>
      </c>
      <c r="U17" s="2287">
        <v>0</v>
      </c>
      <c r="V17" s="2287"/>
      <c r="W17" s="2287"/>
      <c r="X17" s="69">
        <v>88</v>
      </c>
      <c r="Y17" s="1998" t="s">
        <v>411</v>
      </c>
      <c r="Z17" s="2710"/>
      <c r="AA17" s="2712"/>
      <c r="AB17" s="2710"/>
      <c r="AC17" s="2712"/>
      <c r="AD17" s="2710"/>
      <c r="AE17" s="2712"/>
      <c r="AF17" s="2710"/>
      <c r="AG17" s="2712"/>
      <c r="AH17" s="2710"/>
      <c r="AI17" s="2712"/>
      <c r="AJ17" s="2710"/>
      <c r="AK17" s="2712"/>
      <c r="AL17" s="2710"/>
      <c r="AM17" s="2712"/>
      <c r="AN17" s="2710"/>
      <c r="AO17" s="2712"/>
      <c r="AP17" s="2710"/>
      <c r="AQ17" s="2712"/>
      <c r="AR17" s="2710"/>
      <c r="AS17" s="2712"/>
      <c r="AT17" s="2710"/>
      <c r="AU17" s="2712"/>
      <c r="AV17" s="2710"/>
      <c r="AW17" s="2712"/>
      <c r="AX17" s="2710"/>
      <c r="AY17" s="2712"/>
      <c r="AZ17" s="2710"/>
      <c r="BA17" s="2712"/>
      <c r="BB17" s="2710"/>
      <c r="BC17" s="2712"/>
      <c r="BD17" s="2710"/>
      <c r="BE17" s="2712"/>
      <c r="BF17" s="2712"/>
      <c r="BG17" s="2736"/>
      <c r="BH17" s="2736"/>
      <c r="BI17" s="2729"/>
      <c r="BJ17" s="2732"/>
      <c r="BK17" s="2732"/>
      <c r="BL17" s="2734"/>
      <c r="BM17" s="2734"/>
      <c r="BN17" s="2656"/>
      <c r="BO17" s="2656"/>
      <c r="BP17" s="2710"/>
    </row>
    <row r="18" spans="1:68" s="71" customFormat="1" ht="49.5" customHeight="1" x14ac:dyDescent="0.2">
      <c r="A18" s="62"/>
      <c r="B18" s="63"/>
      <c r="C18" s="64"/>
      <c r="D18" s="72"/>
      <c r="E18" s="66"/>
      <c r="F18" s="73"/>
      <c r="G18" s="2696"/>
      <c r="H18" s="2620"/>
      <c r="I18" s="2698"/>
      <c r="J18" s="2608"/>
      <c r="K18" s="2699"/>
      <c r="L18" s="2699"/>
      <c r="M18" s="2714"/>
      <c r="N18" s="2626"/>
      <c r="O18" s="2698"/>
      <c r="P18" s="2715"/>
      <c r="Q18" s="2716"/>
      <c r="R18" s="2717"/>
      <c r="S18" s="2708"/>
      <c r="T18" s="68" t="s">
        <v>83</v>
      </c>
      <c r="U18" s="2287">
        <v>0</v>
      </c>
      <c r="V18" s="2287"/>
      <c r="W18" s="2287"/>
      <c r="X18" s="69">
        <v>88</v>
      </c>
      <c r="Y18" s="1998" t="s">
        <v>411</v>
      </c>
      <c r="Z18" s="2710"/>
      <c r="AA18" s="2712"/>
      <c r="AB18" s="2710"/>
      <c r="AC18" s="2712"/>
      <c r="AD18" s="2710"/>
      <c r="AE18" s="2712"/>
      <c r="AF18" s="2710"/>
      <c r="AG18" s="2712"/>
      <c r="AH18" s="2710"/>
      <c r="AI18" s="2712"/>
      <c r="AJ18" s="2710"/>
      <c r="AK18" s="2712"/>
      <c r="AL18" s="2710"/>
      <c r="AM18" s="2712"/>
      <c r="AN18" s="2710"/>
      <c r="AO18" s="2712"/>
      <c r="AP18" s="2710"/>
      <c r="AQ18" s="2712"/>
      <c r="AR18" s="2710"/>
      <c r="AS18" s="2712"/>
      <c r="AT18" s="2710"/>
      <c r="AU18" s="2712"/>
      <c r="AV18" s="2710"/>
      <c r="AW18" s="2712"/>
      <c r="AX18" s="2710"/>
      <c r="AY18" s="2712"/>
      <c r="AZ18" s="2710"/>
      <c r="BA18" s="2712"/>
      <c r="BB18" s="2710"/>
      <c r="BC18" s="2712"/>
      <c r="BD18" s="2710"/>
      <c r="BE18" s="2712"/>
      <c r="BF18" s="2712"/>
      <c r="BG18" s="2736"/>
      <c r="BH18" s="2736"/>
      <c r="BI18" s="2729"/>
      <c r="BJ18" s="2732"/>
      <c r="BK18" s="2732"/>
      <c r="BL18" s="2734"/>
      <c r="BM18" s="2734"/>
      <c r="BN18" s="2656"/>
      <c r="BO18" s="2656"/>
      <c r="BP18" s="2710"/>
    </row>
    <row r="19" spans="1:68" s="71" customFormat="1" ht="49.5" customHeight="1" x14ac:dyDescent="0.2">
      <c r="A19" s="62"/>
      <c r="B19" s="63"/>
      <c r="C19" s="64"/>
      <c r="D19" s="72"/>
      <c r="E19" s="66"/>
      <c r="F19" s="73"/>
      <c r="G19" s="2696"/>
      <c r="H19" s="2620"/>
      <c r="I19" s="2698"/>
      <c r="J19" s="2608"/>
      <c r="K19" s="2699"/>
      <c r="L19" s="2699"/>
      <c r="M19" s="2714"/>
      <c r="N19" s="2626"/>
      <c r="O19" s="2698"/>
      <c r="P19" s="2715"/>
      <c r="Q19" s="2716"/>
      <c r="R19" s="2717"/>
      <c r="S19" s="2708"/>
      <c r="T19" s="2718" t="s">
        <v>84</v>
      </c>
      <c r="U19" s="2287">
        <v>6425000</v>
      </c>
      <c r="V19" s="2287">
        <v>6425000</v>
      </c>
      <c r="W19" s="2287">
        <v>6425000</v>
      </c>
      <c r="X19" s="74">
        <v>20</v>
      </c>
      <c r="Y19" s="1998" t="s">
        <v>85</v>
      </c>
      <c r="Z19" s="2710"/>
      <c r="AA19" s="2712"/>
      <c r="AB19" s="2710"/>
      <c r="AC19" s="2712"/>
      <c r="AD19" s="2710"/>
      <c r="AE19" s="2712"/>
      <c r="AF19" s="2710"/>
      <c r="AG19" s="2712"/>
      <c r="AH19" s="2710"/>
      <c r="AI19" s="2712"/>
      <c r="AJ19" s="2710"/>
      <c r="AK19" s="2712"/>
      <c r="AL19" s="2710"/>
      <c r="AM19" s="2712"/>
      <c r="AN19" s="2710"/>
      <c r="AO19" s="2712"/>
      <c r="AP19" s="2710"/>
      <c r="AQ19" s="2712"/>
      <c r="AR19" s="2710"/>
      <c r="AS19" s="2712"/>
      <c r="AT19" s="2710"/>
      <c r="AU19" s="2712"/>
      <c r="AV19" s="2710"/>
      <c r="AW19" s="2712"/>
      <c r="AX19" s="2710"/>
      <c r="AY19" s="2712"/>
      <c r="AZ19" s="2710"/>
      <c r="BA19" s="2712"/>
      <c r="BB19" s="2710"/>
      <c r="BC19" s="2712"/>
      <c r="BD19" s="2710"/>
      <c r="BE19" s="2712"/>
      <c r="BF19" s="2712"/>
      <c r="BG19" s="2736"/>
      <c r="BH19" s="2736"/>
      <c r="BI19" s="2729"/>
      <c r="BJ19" s="2732"/>
      <c r="BK19" s="2732"/>
      <c r="BL19" s="2734"/>
      <c r="BM19" s="2734"/>
      <c r="BN19" s="2656"/>
      <c r="BO19" s="2656"/>
      <c r="BP19" s="2710"/>
    </row>
    <row r="20" spans="1:68" s="71" customFormat="1" ht="57" customHeight="1" x14ac:dyDescent="0.2">
      <c r="A20" s="62"/>
      <c r="B20" s="63"/>
      <c r="C20" s="64"/>
      <c r="D20" s="72"/>
      <c r="E20" s="66"/>
      <c r="F20" s="73"/>
      <c r="G20" s="2696"/>
      <c r="H20" s="2620"/>
      <c r="I20" s="2698"/>
      <c r="J20" s="2608"/>
      <c r="K20" s="2699"/>
      <c r="L20" s="2699"/>
      <c r="M20" s="2714"/>
      <c r="N20" s="2626"/>
      <c r="O20" s="2698"/>
      <c r="P20" s="2715"/>
      <c r="Q20" s="2716"/>
      <c r="R20" s="2717"/>
      <c r="S20" s="2708"/>
      <c r="T20" s="2719"/>
      <c r="U20" s="2287">
        <v>8400000</v>
      </c>
      <c r="V20" s="2287">
        <v>8400000</v>
      </c>
      <c r="W20" s="2287">
        <f>V20</f>
        <v>8400000</v>
      </c>
      <c r="X20" s="69">
        <v>88</v>
      </c>
      <c r="Y20" s="1998" t="s">
        <v>411</v>
      </c>
      <c r="Z20" s="2710"/>
      <c r="AA20" s="2712"/>
      <c r="AB20" s="2710"/>
      <c r="AC20" s="2712"/>
      <c r="AD20" s="2710"/>
      <c r="AE20" s="2712"/>
      <c r="AF20" s="2710"/>
      <c r="AG20" s="2712"/>
      <c r="AH20" s="2710"/>
      <c r="AI20" s="2712"/>
      <c r="AJ20" s="2710"/>
      <c r="AK20" s="2712"/>
      <c r="AL20" s="2710"/>
      <c r="AM20" s="2712"/>
      <c r="AN20" s="2710"/>
      <c r="AO20" s="2712"/>
      <c r="AP20" s="2710"/>
      <c r="AQ20" s="2712"/>
      <c r="AR20" s="2710"/>
      <c r="AS20" s="2712"/>
      <c r="AT20" s="2710"/>
      <c r="AU20" s="2712"/>
      <c r="AV20" s="2710"/>
      <c r="AW20" s="2712"/>
      <c r="AX20" s="2710"/>
      <c r="AY20" s="2712"/>
      <c r="AZ20" s="2710"/>
      <c r="BA20" s="2712"/>
      <c r="BB20" s="2710"/>
      <c r="BC20" s="2712"/>
      <c r="BD20" s="2710"/>
      <c r="BE20" s="2712"/>
      <c r="BF20" s="2712"/>
      <c r="BG20" s="2736"/>
      <c r="BH20" s="2736"/>
      <c r="BI20" s="2729"/>
      <c r="BJ20" s="2732"/>
      <c r="BK20" s="2732"/>
      <c r="BL20" s="2734"/>
      <c r="BM20" s="2734"/>
      <c r="BN20" s="2656"/>
      <c r="BO20" s="2656"/>
      <c r="BP20" s="2710"/>
    </row>
    <row r="21" spans="1:68" s="71" customFormat="1" ht="47.25" customHeight="1" x14ac:dyDescent="0.2">
      <c r="A21" s="62"/>
      <c r="B21" s="63"/>
      <c r="C21" s="64"/>
      <c r="D21" s="72"/>
      <c r="E21" s="66"/>
      <c r="F21" s="73"/>
      <c r="G21" s="2696"/>
      <c r="H21" s="2620"/>
      <c r="I21" s="2698"/>
      <c r="J21" s="2608"/>
      <c r="K21" s="2699"/>
      <c r="L21" s="2699"/>
      <c r="M21" s="2714"/>
      <c r="N21" s="2626"/>
      <c r="O21" s="2698"/>
      <c r="P21" s="2715"/>
      <c r="Q21" s="2716"/>
      <c r="R21" s="2717"/>
      <c r="S21" s="2708"/>
      <c r="T21" s="68" t="s">
        <v>86</v>
      </c>
      <c r="U21" s="2287">
        <v>0</v>
      </c>
      <c r="V21" s="2287"/>
      <c r="W21" s="2287"/>
      <c r="X21" s="74"/>
      <c r="Y21" s="70"/>
      <c r="Z21" s="2710"/>
      <c r="AA21" s="2712"/>
      <c r="AB21" s="2710"/>
      <c r="AC21" s="2712"/>
      <c r="AD21" s="2710"/>
      <c r="AE21" s="2712"/>
      <c r="AF21" s="2710"/>
      <c r="AG21" s="2712"/>
      <c r="AH21" s="2710"/>
      <c r="AI21" s="2712"/>
      <c r="AJ21" s="2710"/>
      <c r="AK21" s="2712"/>
      <c r="AL21" s="2710"/>
      <c r="AM21" s="2712"/>
      <c r="AN21" s="2710"/>
      <c r="AO21" s="2712"/>
      <c r="AP21" s="2710"/>
      <c r="AQ21" s="2712"/>
      <c r="AR21" s="2710"/>
      <c r="AS21" s="2712"/>
      <c r="AT21" s="2710"/>
      <c r="AU21" s="2712"/>
      <c r="AV21" s="2710"/>
      <c r="AW21" s="2712"/>
      <c r="AX21" s="2710"/>
      <c r="AY21" s="2712"/>
      <c r="AZ21" s="2710"/>
      <c r="BA21" s="2712"/>
      <c r="BB21" s="2710"/>
      <c r="BC21" s="2712"/>
      <c r="BD21" s="2710"/>
      <c r="BE21" s="2712"/>
      <c r="BF21" s="2712"/>
      <c r="BG21" s="2736"/>
      <c r="BH21" s="2736"/>
      <c r="BI21" s="2729"/>
      <c r="BJ21" s="2732"/>
      <c r="BK21" s="2732"/>
      <c r="BL21" s="2734"/>
      <c r="BM21" s="2734"/>
      <c r="BN21" s="2656"/>
      <c r="BO21" s="2656"/>
      <c r="BP21" s="2710"/>
    </row>
    <row r="22" spans="1:68" s="71" customFormat="1" ht="62.25" customHeight="1" x14ac:dyDescent="0.2">
      <c r="A22" s="62"/>
      <c r="B22" s="63"/>
      <c r="C22" s="64"/>
      <c r="D22" s="72"/>
      <c r="E22" s="66"/>
      <c r="F22" s="73"/>
      <c r="G22" s="2696"/>
      <c r="H22" s="2620"/>
      <c r="I22" s="2698"/>
      <c r="J22" s="2608"/>
      <c r="K22" s="2699"/>
      <c r="L22" s="2699"/>
      <c r="M22" s="2714"/>
      <c r="N22" s="2626"/>
      <c r="O22" s="2698"/>
      <c r="P22" s="2715"/>
      <c r="Q22" s="2716"/>
      <c r="R22" s="2717"/>
      <c r="S22" s="2708"/>
      <c r="T22" s="68" t="s">
        <v>87</v>
      </c>
      <c r="U22" s="2288">
        <v>10000000</v>
      </c>
      <c r="V22" s="2287">
        <v>10000000</v>
      </c>
      <c r="W22" s="2287">
        <f>V22</f>
        <v>10000000</v>
      </c>
      <c r="X22" s="69">
        <v>88</v>
      </c>
      <c r="Y22" s="1998" t="s">
        <v>411</v>
      </c>
      <c r="Z22" s="2710"/>
      <c r="AA22" s="2712"/>
      <c r="AB22" s="2710"/>
      <c r="AC22" s="2712"/>
      <c r="AD22" s="2710"/>
      <c r="AE22" s="2712"/>
      <c r="AF22" s="2710"/>
      <c r="AG22" s="2712"/>
      <c r="AH22" s="2710"/>
      <c r="AI22" s="2712"/>
      <c r="AJ22" s="2710"/>
      <c r="AK22" s="2712"/>
      <c r="AL22" s="2710"/>
      <c r="AM22" s="2712"/>
      <c r="AN22" s="2710"/>
      <c r="AO22" s="2712"/>
      <c r="AP22" s="2710"/>
      <c r="AQ22" s="2712"/>
      <c r="AR22" s="2710"/>
      <c r="AS22" s="2712"/>
      <c r="AT22" s="2710"/>
      <c r="AU22" s="2712"/>
      <c r="AV22" s="2710"/>
      <c r="AW22" s="2712"/>
      <c r="AX22" s="2710"/>
      <c r="AY22" s="2712"/>
      <c r="AZ22" s="2710"/>
      <c r="BA22" s="2712"/>
      <c r="BB22" s="2710"/>
      <c r="BC22" s="2712"/>
      <c r="BD22" s="2710"/>
      <c r="BE22" s="2712"/>
      <c r="BF22" s="2712"/>
      <c r="BG22" s="2736"/>
      <c r="BH22" s="2736"/>
      <c r="BI22" s="2729"/>
      <c r="BJ22" s="2732"/>
      <c r="BK22" s="2732"/>
      <c r="BL22" s="2734"/>
      <c r="BM22" s="2734"/>
      <c r="BN22" s="2656"/>
      <c r="BO22" s="2656"/>
      <c r="BP22" s="2710"/>
    </row>
    <row r="23" spans="1:68" s="3" customFormat="1" ht="54.75" customHeight="1" x14ac:dyDescent="0.2">
      <c r="A23" s="75"/>
      <c r="B23" s="76"/>
      <c r="C23" s="77"/>
      <c r="D23" s="78"/>
      <c r="E23" s="79"/>
      <c r="F23" s="80"/>
      <c r="G23" s="2697"/>
      <c r="H23" s="2620"/>
      <c r="I23" s="2698"/>
      <c r="J23" s="2608"/>
      <c r="K23" s="2699"/>
      <c r="L23" s="2699"/>
      <c r="M23" s="2714"/>
      <c r="N23" s="2626"/>
      <c r="O23" s="2698"/>
      <c r="P23" s="2715"/>
      <c r="Q23" s="2716"/>
      <c r="R23" s="2717"/>
      <c r="S23" s="2709"/>
      <c r="T23" s="68" t="s">
        <v>88</v>
      </c>
      <c r="U23" s="2288">
        <v>8000000</v>
      </c>
      <c r="V23" s="2288">
        <v>8000000</v>
      </c>
      <c r="W23" s="2288">
        <f>V23</f>
        <v>8000000</v>
      </c>
      <c r="X23" s="69">
        <v>88</v>
      </c>
      <c r="Y23" s="1998" t="s">
        <v>411</v>
      </c>
      <c r="Z23" s="2710"/>
      <c r="AA23" s="2713"/>
      <c r="AB23" s="2710"/>
      <c r="AC23" s="2713"/>
      <c r="AD23" s="2710"/>
      <c r="AE23" s="2713"/>
      <c r="AF23" s="2710"/>
      <c r="AG23" s="2713"/>
      <c r="AH23" s="2710"/>
      <c r="AI23" s="2713"/>
      <c r="AJ23" s="2710"/>
      <c r="AK23" s="2713"/>
      <c r="AL23" s="2710"/>
      <c r="AM23" s="2713"/>
      <c r="AN23" s="2710"/>
      <c r="AO23" s="2713"/>
      <c r="AP23" s="2710"/>
      <c r="AQ23" s="2713"/>
      <c r="AR23" s="2710"/>
      <c r="AS23" s="2713"/>
      <c r="AT23" s="2710"/>
      <c r="AU23" s="2713"/>
      <c r="AV23" s="2710"/>
      <c r="AW23" s="2713"/>
      <c r="AX23" s="2710"/>
      <c r="AY23" s="2713"/>
      <c r="AZ23" s="2710"/>
      <c r="BA23" s="2713"/>
      <c r="BB23" s="2710"/>
      <c r="BC23" s="2713"/>
      <c r="BD23" s="2710"/>
      <c r="BE23" s="2713"/>
      <c r="BF23" s="2713"/>
      <c r="BG23" s="2737"/>
      <c r="BH23" s="2737"/>
      <c r="BI23" s="2730"/>
      <c r="BJ23" s="2733"/>
      <c r="BK23" s="2733"/>
      <c r="BL23" s="2734"/>
      <c r="BM23" s="2734"/>
      <c r="BN23" s="2657"/>
      <c r="BO23" s="2657"/>
      <c r="BP23" s="2710"/>
    </row>
    <row r="24" spans="1:68" s="3" customFormat="1" ht="33.75" customHeight="1" x14ac:dyDescent="0.2">
      <c r="A24" s="75"/>
      <c r="B24" s="76"/>
      <c r="C24" s="77"/>
      <c r="D24" s="81">
        <v>45</v>
      </c>
      <c r="E24" s="48" t="s">
        <v>89</v>
      </c>
      <c r="F24" s="82"/>
      <c r="G24" s="83"/>
      <c r="H24" s="84"/>
      <c r="I24" s="85"/>
      <c r="J24" s="85"/>
      <c r="K24" s="86"/>
      <c r="L24" s="86"/>
      <c r="M24" s="85"/>
      <c r="N24" s="84"/>
      <c r="O24" s="85"/>
      <c r="P24" s="87"/>
      <c r="Q24" s="2284"/>
      <c r="R24" s="85"/>
      <c r="S24" s="85"/>
      <c r="T24" s="88"/>
      <c r="U24" s="2289"/>
      <c r="V24" s="2289"/>
      <c r="W24" s="2289"/>
      <c r="X24" s="89"/>
      <c r="Y24" s="85"/>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2310"/>
      <c r="BH24" s="2310"/>
      <c r="BI24" s="90"/>
      <c r="BJ24" s="91"/>
      <c r="BK24" s="91"/>
      <c r="BL24" s="90"/>
      <c r="BM24" s="90"/>
      <c r="BN24" s="90"/>
      <c r="BO24" s="90"/>
      <c r="BP24" s="92"/>
    </row>
    <row r="25" spans="1:68" s="3" customFormat="1" ht="75" customHeight="1" x14ac:dyDescent="0.2">
      <c r="A25" s="75"/>
      <c r="B25" s="76"/>
      <c r="C25" s="77"/>
      <c r="D25" s="93"/>
      <c r="E25" s="94"/>
      <c r="F25" s="95"/>
      <c r="G25" s="2583" t="s">
        <v>64</v>
      </c>
      <c r="H25" s="2721" t="s">
        <v>90</v>
      </c>
      <c r="I25" s="2724" t="s">
        <v>91</v>
      </c>
      <c r="J25" s="2725" t="s">
        <v>92</v>
      </c>
      <c r="K25" s="2581">
        <v>1</v>
      </c>
      <c r="L25" s="2581">
        <v>1</v>
      </c>
      <c r="M25" s="2727" t="s">
        <v>93</v>
      </c>
      <c r="N25" s="2583" t="s">
        <v>94</v>
      </c>
      <c r="O25" s="2741" t="s">
        <v>95</v>
      </c>
      <c r="P25" s="2587">
        <f>SUM(U25:U36)/Q25</f>
        <v>1</v>
      </c>
      <c r="Q25" s="2745">
        <f>SUM(U25:U36)</f>
        <v>153233333</v>
      </c>
      <c r="R25" s="2707" t="s">
        <v>96</v>
      </c>
      <c r="S25" s="2707" t="s">
        <v>97</v>
      </c>
      <c r="T25" s="68" t="s">
        <v>98</v>
      </c>
      <c r="U25" s="1473">
        <v>9807000</v>
      </c>
      <c r="V25" s="1473">
        <v>9807000</v>
      </c>
      <c r="W25" s="1473">
        <v>9807000</v>
      </c>
      <c r="X25" s="97">
        <v>20</v>
      </c>
      <c r="Y25" s="1998" t="s">
        <v>85</v>
      </c>
      <c r="Z25" s="2738">
        <v>295972</v>
      </c>
      <c r="AA25" s="2738">
        <v>295972</v>
      </c>
      <c r="AB25" s="2738">
        <v>285580</v>
      </c>
      <c r="AC25" s="2738">
        <v>285580</v>
      </c>
      <c r="AD25" s="2738">
        <v>135545</v>
      </c>
      <c r="AE25" s="2738">
        <v>135545</v>
      </c>
      <c r="AF25" s="2738">
        <v>44254</v>
      </c>
      <c r="AG25" s="2738">
        <v>44254</v>
      </c>
      <c r="AH25" s="2738">
        <v>309146</v>
      </c>
      <c r="AI25" s="2738">
        <v>309146</v>
      </c>
      <c r="AJ25" s="2738">
        <v>92607</v>
      </c>
      <c r="AK25" s="2738">
        <v>92607</v>
      </c>
      <c r="AL25" s="2738">
        <v>2145</v>
      </c>
      <c r="AM25" s="2738">
        <v>2145</v>
      </c>
      <c r="AN25" s="2738">
        <v>12718</v>
      </c>
      <c r="AO25" s="2738">
        <v>12718</v>
      </c>
      <c r="AP25" s="2738">
        <v>26</v>
      </c>
      <c r="AQ25" s="2738">
        <v>26</v>
      </c>
      <c r="AR25" s="2738">
        <v>37</v>
      </c>
      <c r="AS25" s="2738">
        <v>37</v>
      </c>
      <c r="AT25" s="2738">
        <v>0</v>
      </c>
      <c r="AU25" s="2738">
        <v>0</v>
      </c>
      <c r="AV25" s="2738">
        <v>0</v>
      </c>
      <c r="AW25" s="2738">
        <v>0</v>
      </c>
      <c r="AX25" s="2738">
        <v>44350</v>
      </c>
      <c r="AY25" s="2738">
        <v>44350</v>
      </c>
      <c r="AZ25" s="2738">
        <v>21944</v>
      </c>
      <c r="BA25" s="2738">
        <v>21944</v>
      </c>
      <c r="BB25" s="2738">
        <v>75687</v>
      </c>
      <c r="BC25" s="2738">
        <v>75687</v>
      </c>
      <c r="BD25" s="2738">
        <v>581552</v>
      </c>
      <c r="BE25" s="2738">
        <v>581552</v>
      </c>
      <c r="BF25" s="2738">
        <v>9</v>
      </c>
      <c r="BG25" s="2757">
        <f>SUM(V25:V36)</f>
        <v>153233333</v>
      </c>
      <c r="BH25" s="2757">
        <f>SUM(W25:W36)</f>
        <v>116085333</v>
      </c>
      <c r="BI25" s="2587">
        <f>BH25/BG25</f>
        <v>0.75757232925293094</v>
      </c>
      <c r="BJ25" s="2615" t="s">
        <v>99</v>
      </c>
      <c r="BK25" s="2615" t="s">
        <v>100</v>
      </c>
      <c r="BL25" s="2753">
        <v>43832</v>
      </c>
      <c r="BM25" s="2753">
        <v>43880</v>
      </c>
      <c r="BN25" s="2631">
        <v>44195</v>
      </c>
      <c r="BO25" s="2631">
        <f>BN25</f>
        <v>44195</v>
      </c>
      <c r="BP25" s="2738" t="s">
        <v>101</v>
      </c>
    </row>
    <row r="26" spans="1:68" s="3" customFormat="1" ht="75" customHeight="1" x14ac:dyDescent="0.2">
      <c r="A26" s="75"/>
      <c r="B26" s="76"/>
      <c r="C26" s="77"/>
      <c r="D26" s="99"/>
      <c r="E26" s="100"/>
      <c r="F26" s="77"/>
      <c r="G26" s="2584"/>
      <c r="H26" s="2722"/>
      <c r="I26" s="2724"/>
      <c r="J26" s="2725"/>
      <c r="K26" s="2582"/>
      <c r="L26" s="2582"/>
      <c r="M26" s="2727"/>
      <c r="N26" s="2584"/>
      <c r="O26" s="2742"/>
      <c r="P26" s="2588"/>
      <c r="Q26" s="2746"/>
      <c r="R26" s="2708"/>
      <c r="S26" s="2708"/>
      <c r="T26" s="68" t="s">
        <v>102</v>
      </c>
      <c r="U26" s="1473">
        <v>4230400</v>
      </c>
      <c r="V26" s="1473">
        <v>4230400</v>
      </c>
      <c r="W26" s="1473">
        <v>4230400</v>
      </c>
      <c r="X26" s="97">
        <v>20</v>
      </c>
      <c r="Y26" s="1998" t="s">
        <v>85</v>
      </c>
      <c r="Z26" s="2739"/>
      <c r="AA26" s="2739"/>
      <c r="AB26" s="2739"/>
      <c r="AC26" s="2739"/>
      <c r="AD26" s="2739"/>
      <c r="AE26" s="2739"/>
      <c r="AF26" s="2739"/>
      <c r="AG26" s="2739"/>
      <c r="AH26" s="2739"/>
      <c r="AI26" s="2739"/>
      <c r="AJ26" s="2739"/>
      <c r="AK26" s="2739"/>
      <c r="AL26" s="2739"/>
      <c r="AM26" s="2739"/>
      <c r="AN26" s="2739"/>
      <c r="AO26" s="2739"/>
      <c r="AP26" s="2739"/>
      <c r="AQ26" s="2739"/>
      <c r="AR26" s="2739"/>
      <c r="AS26" s="2739"/>
      <c r="AT26" s="2739"/>
      <c r="AU26" s="2739"/>
      <c r="AV26" s="2739"/>
      <c r="AW26" s="2739"/>
      <c r="AX26" s="2739"/>
      <c r="AY26" s="2739"/>
      <c r="AZ26" s="2739"/>
      <c r="BA26" s="2739"/>
      <c r="BB26" s="2739"/>
      <c r="BC26" s="2739"/>
      <c r="BD26" s="2739"/>
      <c r="BE26" s="2739"/>
      <c r="BF26" s="2739"/>
      <c r="BG26" s="2758"/>
      <c r="BH26" s="2758"/>
      <c r="BI26" s="2588"/>
      <c r="BJ26" s="2616"/>
      <c r="BK26" s="2616"/>
      <c r="BL26" s="2754"/>
      <c r="BM26" s="2754"/>
      <c r="BN26" s="2632"/>
      <c r="BO26" s="2632"/>
      <c r="BP26" s="2739"/>
    </row>
    <row r="27" spans="1:68" s="3" customFormat="1" ht="52.5" customHeight="1" x14ac:dyDescent="0.2">
      <c r="A27" s="75"/>
      <c r="B27" s="76"/>
      <c r="C27" s="77"/>
      <c r="D27" s="99"/>
      <c r="E27" s="100"/>
      <c r="F27" s="77"/>
      <c r="G27" s="2584"/>
      <c r="H27" s="2722"/>
      <c r="I27" s="2724"/>
      <c r="J27" s="2725"/>
      <c r="K27" s="2582"/>
      <c r="L27" s="2582"/>
      <c r="M27" s="2727"/>
      <c r="N27" s="2584"/>
      <c r="O27" s="2742"/>
      <c r="P27" s="2588"/>
      <c r="Q27" s="2746"/>
      <c r="R27" s="2708"/>
      <c r="S27" s="2708"/>
      <c r="T27" s="68" t="s">
        <v>103</v>
      </c>
      <c r="U27" s="1473">
        <v>10821424</v>
      </c>
      <c r="V27" s="1473">
        <v>10821424</v>
      </c>
      <c r="W27" s="1473">
        <v>10821424</v>
      </c>
      <c r="X27" s="97">
        <v>20</v>
      </c>
      <c r="Y27" s="1998" t="s">
        <v>85</v>
      </c>
      <c r="Z27" s="2739"/>
      <c r="AA27" s="2739"/>
      <c r="AB27" s="2739"/>
      <c r="AC27" s="2739"/>
      <c r="AD27" s="2739"/>
      <c r="AE27" s="2739"/>
      <c r="AF27" s="2739"/>
      <c r="AG27" s="2739"/>
      <c r="AH27" s="2739"/>
      <c r="AI27" s="2739"/>
      <c r="AJ27" s="2739"/>
      <c r="AK27" s="2739"/>
      <c r="AL27" s="2739"/>
      <c r="AM27" s="2739"/>
      <c r="AN27" s="2739"/>
      <c r="AO27" s="2739"/>
      <c r="AP27" s="2739"/>
      <c r="AQ27" s="2739"/>
      <c r="AR27" s="2739"/>
      <c r="AS27" s="2739"/>
      <c r="AT27" s="2739"/>
      <c r="AU27" s="2739"/>
      <c r="AV27" s="2739"/>
      <c r="AW27" s="2739"/>
      <c r="AX27" s="2739"/>
      <c r="AY27" s="2739"/>
      <c r="AZ27" s="2739"/>
      <c r="BA27" s="2739"/>
      <c r="BB27" s="2739"/>
      <c r="BC27" s="2739"/>
      <c r="BD27" s="2739"/>
      <c r="BE27" s="2739"/>
      <c r="BF27" s="2739"/>
      <c r="BG27" s="2758"/>
      <c r="BH27" s="2758"/>
      <c r="BI27" s="2588"/>
      <c r="BJ27" s="2616"/>
      <c r="BK27" s="2616"/>
      <c r="BL27" s="2754"/>
      <c r="BM27" s="2754"/>
      <c r="BN27" s="2632"/>
      <c r="BO27" s="2632"/>
      <c r="BP27" s="2739"/>
    </row>
    <row r="28" spans="1:68" s="3" customFormat="1" ht="39" customHeight="1" x14ac:dyDescent="0.2">
      <c r="A28" s="75"/>
      <c r="B28" s="76"/>
      <c r="C28" s="77"/>
      <c r="D28" s="99"/>
      <c r="E28" s="100"/>
      <c r="F28" s="77"/>
      <c r="G28" s="2584"/>
      <c r="H28" s="2722"/>
      <c r="I28" s="2724"/>
      <c r="J28" s="2725"/>
      <c r="K28" s="2582"/>
      <c r="L28" s="2582"/>
      <c r="M28" s="2727"/>
      <c r="N28" s="2584"/>
      <c r="O28" s="2742"/>
      <c r="P28" s="2588"/>
      <c r="Q28" s="2746"/>
      <c r="R28" s="2708"/>
      <c r="S28" s="2708"/>
      <c r="T28" s="68" t="s">
        <v>104</v>
      </c>
      <c r="U28" s="1473">
        <v>1680000</v>
      </c>
      <c r="V28" s="1473">
        <v>1680000</v>
      </c>
      <c r="W28" s="1473">
        <v>1680000</v>
      </c>
      <c r="X28" s="97">
        <v>20</v>
      </c>
      <c r="Y28" s="1998" t="s">
        <v>85</v>
      </c>
      <c r="Z28" s="2739"/>
      <c r="AA28" s="2739"/>
      <c r="AB28" s="2739"/>
      <c r="AC28" s="2739"/>
      <c r="AD28" s="2739"/>
      <c r="AE28" s="2739"/>
      <c r="AF28" s="2739"/>
      <c r="AG28" s="2739"/>
      <c r="AH28" s="2739"/>
      <c r="AI28" s="2739"/>
      <c r="AJ28" s="2739"/>
      <c r="AK28" s="2739"/>
      <c r="AL28" s="2739"/>
      <c r="AM28" s="2739"/>
      <c r="AN28" s="2739"/>
      <c r="AO28" s="2739"/>
      <c r="AP28" s="2739"/>
      <c r="AQ28" s="2739"/>
      <c r="AR28" s="2739"/>
      <c r="AS28" s="2739"/>
      <c r="AT28" s="2739"/>
      <c r="AU28" s="2739"/>
      <c r="AV28" s="2739"/>
      <c r="AW28" s="2739"/>
      <c r="AX28" s="2739"/>
      <c r="AY28" s="2739"/>
      <c r="AZ28" s="2739"/>
      <c r="BA28" s="2739"/>
      <c r="BB28" s="2739"/>
      <c r="BC28" s="2739"/>
      <c r="BD28" s="2739"/>
      <c r="BE28" s="2739"/>
      <c r="BF28" s="2739"/>
      <c r="BG28" s="2758"/>
      <c r="BH28" s="2758"/>
      <c r="BI28" s="2588"/>
      <c r="BJ28" s="2616"/>
      <c r="BK28" s="2616"/>
      <c r="BL28" s="2754"/>
      <c r="BM28" s="2754"/>
      <c r="BN28" s="2632"/>
      <c r="BO28" s="2632"/>
      <c r="BP28" s="2739"/>
    </row>
    <row r="29" spans="1:68" s="3" customFormat="1" ht="51" customHeight="1" x14ac:dyDescent="0.2">
      <c r="A29" s="75"/>
      <c r="B29" s="76"/>
      <c r="C29" s="77"/>
      <c r="D29" s="99"/>
      <c r="E29" s="100"/>
      <c r="F29" s="77"/>
      <c r="G29" s="2584"/>
      <c r="H29" s="2722"/>
      <c r="I29" s="2724"/>
      <c r="J29" s="2725"/>
      <c r="K29" s="2582"/>
      <c r="L29" s="2582"/>
      <c r="M29" s="2727"/>
      <c r="N29" s="2584"/>
      <c r="O29" s="2742"/>
      <c r="P29" s="2588"/>
      <c r="Q29" s="2746"/>
      <c r="R29" s="2708"/>
      <c r="S29" s="2708"/>
      <c r="T29" s="68" t="s">
        <v>105</v>
      </c>
      <c r="U29" s="1473">
        <v>5040000</v>
      </c>
      <c r="V29" s="1473">
        <v>5040000</v>
      </c>
      <c r="W29" s="1473">
        <v>5040000</v>
      </c>
      <c r="X29" s="97">
        <v>20</v>
      </c>
      <c r="Y29" s="1998" t="s">
        <v>85</v>
      </c>
      <c r="Z29" s="2739"/>
      <c r="AA29" s="2739"/>
      <c r="AB29" s="2739"/>
      <c r="AC29" s="2739"/>
      <c r="AD29" s="2739"/>
      <c r="AE29" s="2739"/>
      <c r="AF29" s="2739"/>
      <c r="AG29" s="2739"/>
      <c r="AH29" s="2739"/>
      <c r="AI29" s="2739"/>
      <c r="AJ29" s="2739"/>
      <c r="AK29" s="2739"/>
      <c r="AL29" s="2739"/>
      <c r="AM29" s="2739"/>
      <c r="AN29" s="2739"/>
      <c r="AO29" s="2739"/>
      <c r="AP29" s="2739"/>
      <c r="AQ29" s="2739"/>
      <c r="AR29" s="2739"/>
      <c r="AS29" s="2739"/>
      <c r="AT29" s="2739"/>
      <c r="AU29" s="2739"/>
      <c r="AV29" s="2739"/>
      <c r="AW29" s="2739"/>
      <c r="AX29" s="2739"/>
      <c r="AY29" s="2739"/>
      <c r="AZ29" s="2739"/>
      <c r="BA29" s="2739"/>
      <c r="BB29" s="2739"/>
      <c r="BC29" s="2739"/>
      <c r="BD29" s="2739"/>
      <c r="BE29" s="2739"/>
      <c r="BF29" s="2739"/>
      <c r="BG29" s="2758"/>
      <c r="BH29" s="2758"/>
      <c r="BI29" s="2588"/>
      <c r="BJ29" s="2616"/>
      <c r="BK29" s="2616"/>
      <c r="BL29" s="2754"/>
      <c r="BM29" s="2754"/>
      <c r="BN29" s="2632"/>
      <c r="BO29" s="2632"/>
      <c r="BP29" s="2739"/>
    </row>
    <row r="30" spans="1:68" s="3" customFormat="1" ht="40.5" customHeight="1" x14ac:dyDescent="0.2">
      <c r="A30" s="75"/>
      <c r="B30" s="76"/>
      <c r="C30" s="77"/>
      <c r="D30" s="99"/>
      <c r="E30" s="100"/>
      <c r="F30" s="77"/>
      <c r="G30" s="2584"/>
      <c r="H30" s="2722"/>
      <c r="I30" s="2724"/>
      <c r="J30" s="2725"/>
      <c r="K30" s="2582"/>
      <c r="L30" s="2582"/>
      <c r="M30" s="2727"/>
      <c r="N30" s="2584"/>
      <c r="O30" s="2742"/>
      <c r="P30" s="2588"/>
      <c r="Q30" s="2746"/>
      <c r="R30" s="2708"/>
      <c r="S30" s="2708"/>
      <c r="T30" s="68" t="s">
        <v>106</v>
      </c>
      <c r="U30" s="1473">
        <v>13014000</v>
      </c>
      <c r="V30" s="1473">
        <v>13014000</v>
      </c>
      <c r="W30" s="1473">
        <v>13014000</v>
      </c>
      <c r="X30" s="97">
        <v>20</v>
      </c>
      <c r="Y30" s="1998" t="s">
        <v>85</v>
      </c>
      <c r="Z30" s="2739"/>
      <c r="AA30" s="2739"/>
      <c r="AB30" s="2739"/>
      <c r="AC30" s="2739"/>
      <c r="AD30" s="2739"/>
      <c r="AE30" s="2739"/>
      <c r="AF30" s="2739"/>
      <c r="AG30" s="2739"/>
      <c r="AH30" s="2739"/>
      <c r="AI30" s="2739"/>
      <c r="AJ30" s="2739"/>
      <c r="AK30" s="2739"/>
      <c r="AL30" s="2739"/>
      <c r="AM30" s="2739"/>
      <c r="AN30" s="2739"/>
      <c r="AO30" s="2739"/>
      <c r="AP30" s="2739"/>
      <c r="AQ30" s="2739"/>
      <c r="AR30" s="2739"/>
      <c r="AS30" s="2739"/>
      <c r="AT30" s="2739"/>
      <c r="AU30" s="2739"/>
      <c r="AV30" s="2739"/>
      <c r="AW30" s="2739"/>
      <c r="AX30" s="2739"/>
      <c r="AY30" s="2739"/>
      <c r="AZ30" s="2739"/>
      <c r="BA30" s="2739"/>
      <c r="BB30" s="2739"/>
      <c r="BC30" s="2739"/>
      <c r="BD30" s="2739"/>
      <c r="BE30" s="2739"/>
      <c r="BF30" s="2739"/>
      <c r="BG30" s="2758"/>
      <c r="BH30" s="2758"/>
      <c r="BI30" s="2588"/>
      <c r="BJ30" s="2616"/>
      <c r="BK30" s="2616"/>
      <c r="BL30" s="2754"/>
      <c r="BM30" s="2754"/>
      <c r="BN30" s="2632"/>
      <c r="BO30" s="2632"/>
      <c r="BP30" s="2739"/>
    </row>
    <row r="31" spans="1:68" s="3" customFormat="1" ht="75" customHeight="1" x14ac:dyDescent="0.2">
      <c r="A31" s="75"/>
      <c r="B31" s="76"/>
      <c r="C31" s="77"/>
      <c r="D31" s="99"/>
      <c r="E31" s="100"/>
      <c r="F31" s="77"/>
      <c r="G31" s="2584"/>
      <c r="H31" s="2722"/>
      <c r="I31" s="2724"/>
      <c r="J31" s="2725"/>
      <c r="K31" s="2582"/>
      <c r="L31" s="2582"/>
      <c r="M31" s="2727"/>
      <c r="N31" s="2584"/>
      <c r="O31" s="2742"/>
      <c r="P31" s="2588"/>
      <c r="Q31" s="2746"/>
      <c r="R31" s="2708"/>
      <c r="S31" s="2708"/>
      <c r="T31" s="68" t="s">
        <v>107</v>
      </c>
      <c r="U31" s="1473">
        <v>13568283</v>
      </c>
      <c r="V31" s="1473">
        <v>13568283</v>
      </c>
      <c r="W31" s="1473">
        <v>13568283</v>
      </c>
      <c r="X31" s="97">
        <v>20</v>
      </c>
      <c r="Y31" s="1998" t="s">
        <v>85</v>
      </c>
      <c r="Z31" s="2739"/>
      <c r="AA31" s="2739"/>
      <c r="AB31" s="2739"/>
      <c r="AC31" s="2739"/>
      <c r="AD31" s="2739"/>
      <c r="AE31" s="2739"/>
      <c r="AF31" s="2739"/>
      <c r="AG31" s="2739"/>
      <c r="AH31" s="2739"/>
      <c r="AI31" s="2739"/>
      <c r="AJ31" s="2739"/>
      <c r="AK31" s="2739"/>
      <c r="AL31" s="2739"/>
      <c r="AM31" s="2739"/>
      <c r="AN31" s="2739"/>
      <c r="AO31" s="2739"/>
      <c r="AP31" s="2739"/>
      <c r="AQ31" s="2739"/>
      <c r="AR31" s="2739"/>
      <c r="AS31" s="2739"/>
      <c r="AT31" s="2739"/>
      <c r="AU31" s="2739"/>
      <c r="AV31" s="2739"/>
      <c r="AW31" s="2739"/>
      <c r="AX31" s="2739"/>
      <c r="AY31" s="2739"/>
      <c r="AZ31" s="2739"/>
      <c r="BA31" s="2739"/>
      <c r="BB31" s="2739"/>
      <c r="BC31" s="2739"/>
      <c r="BD31" s="2739"/>
      <c r="BE31" s="2739"/>
      <c r="BF31" s="2739"/>
      <c r="BG31" s="2758"/>
      <c r="BH31" s="2758"/>
      <c r="BI31" s="2588"/>
      <c r="BJ31" s="2616"/>
      <c r="BK31" s="2616"/>
      <c r="BL31" s="2754"/>
      <c r="BM31" s="2754"/>
      <c r="BN31" s="2632"/>
      <c r="BO31" s="2632"/>
      <c r="BP31" s="2739"/>
    </row>
    <row r="32" spans="1:68" s="3" customFormat="1" ht="75" customHeight="1" x14ac:dyDescent="0.2">
      <c r="A32" s="75"/>
      <c r="B32" s="76"/>
      <c r="C32" s="77"/>
      <c r="D32" s="99"/>
      <c r="E32" s="100"/>
      <c r="F32" s="77"/>
      <c r="G32" s="2584"/>
      <c r="H32" s="2722"/>
      <c r="I32" s="2724"/>
      <c r="J32" s="2725"/>
      <c r="K32" s="2582"/>
      <c r="L32" s="2582"/>
      <c r="M32" s="2727"/>
      <c r="N32" s="2584"/>
      <c r="O32" s="2742"/>
      <c r="P32" s="2588"/>
      <c r="Q32" s="2746"/>
      <c r="R32" s="2708"/>
      <c r="S32" s="2708"/>
      <c r="T32" s="68" t="s">
        <v>108</v>
      </c>
      <c r="U32" s="1473">
        <v>27555226</v>
      </c>
      <c r="V32" s="1473">
        <v>27555226</v>
      </c>
      <c r="W32" s="1473">
        <v>27555226</v>
      </c>
      <c r="X32" s="97">
        <v>20</v>
      </c>
      <c r="Y32" s="1998" t="s">
        <v>85</v>
      </c>
      <c r="Z32" s="2739"/>
      <c r="AA32" s="2739"/>
      <c r="AB32" s="2739"/>
      <c r="AC32" s="2739"/>
      <c r="AD32" s="2739"/>
      <c r="AE32" s="2739"/>
      <c r="AF32" s="2739"/>
      <c r="AG32" s="2739"/>
      <c r="AH32" s="2739"/>
      <c r="AI32" s="2739"/>
      <c r="AJ32" s="2739"/>
      <c r="AK32" s="2739"/>
      <c r="AL32" s="2739"/>
      <c r="AM32" s="2739"/>
      <c r="AN32" s="2739"/>
      <c r="AO32" s="2739"/>
      <c r="AP32" s="2739"/>
      <c r="AQ32" s="2739"/>
      <c r="AR32" s="2739"/>
      <c r="AS32" s="2739"/>
      <c r="AT32" s="2739"/>
      <c r="AU32" s="2739"/>
      <c r="AV32" s="2739"/>
      <c r="AW32" s="2739"/>
      <c r="AX32" s="2739"/>
      <c r="AY32" s="2739"/>
      <c r="AZ32" s="2739"/>
      <c r="BA32" s="2739"/>
      <c r="BB32" s="2739"/>
      <c r="BC32" s="2739"/>
      <c r="BD32" s="2739"/>
      <c r="BE32" s="2739"/>
      <c r="BF32" s="2739"/>
      <c r="BG32" s="2758"/>
      <c r="BH32" s="2758"/>
      <c r="BI32" s="2588"/>
      <c r="BJ32" s="2616"/>
      <c r="BK32" s="2616"/>
      <c r="BL32" s="2754"/>
      <c r="BM32" s="2754"/>
      <c r="BN32" s="2632"/>
      <c r="BO32" s="2632"/>
      <c r="BP32" s="2739"/>
    </row>
    <row r="33" spans="1:68" s="3" customFormat="1" ht="51" customHeight="1" x14ac:dyDescent="0.2">
      <c r="A33" s="75"/>
      <c r="B33" s="76"/>
      <c r="C33" s="77"/>
      <c r="D33" s="99"/>
      <c r="E33" s="100"/>
      <c r="F33" s="77"/>
      <c r="G33" s="2584"/>
      <c r="H33" s="2722"/>
      <c r="I33" s="2724"/>
      <c r="J33" s="2725"/>
      <c r="K33" s="2582"/>
      <c r="L33" s="2582"/>
      <c r="M33" s="2727"/>
      <c r="N33" s="2584"/>
      <c r="O33" s="2742"/>
      <c r="P33" s="2588"/>
      <c r="Q33" s="2746"/>
      <c r="R33" s="2708"/>
      <c r="S33" s="2708"/>
      <c r="T33" s="68" t="s">
        <v>109</v>
      </c>
      <c r="U33" s="1473">
        <v>14430000</v>
      </c>
      <c r="V33" s="1473">
        <v>14430000</v>
      </c>
      <c r="W33" s="1473">
        <v>14430000</v>
      </c>
      <c r="X33" s="97">
        <v>20</v>
      </c>
      <c r="Y33" s="1998" t="s">
        <v>85</v>
      </c>
      <c r="Z33" s="2739"/>
      <c r="AA33" s="2739"/>
      <c r="AB33" s="2739"/>
      <c r="AC33" s="2739"/>
      <c r="AD33" s="2739"/>
      <c r="AE33" s="2739"/>
      <c r="AF33" s="2739"/>
      <c r="AG33" s="2739"/>
      <c r="AH33" s="2739"/>
      <c r="AI33" s="2739"/>
      <c r="AJ33" s="2739"/>
      <c r="AK33" s="2739"/>
      <c r="AL33" s="2739"/>
      <c r="AM33" s="2739"/>
      <c r="AN33" s="2739"/>
      <c r="AO33" s="2739"/>
      <c r="AP33" s="2739"/>
      <c r="AQ33" s="2739"/>
      <c r="AR33" s="2739"/>
      <c r="AS33" s="2739"/>
      <c r="AT33" s="2739"/>
      <c r="AU33" s="2739"/>
      <c r="AV33" s="2739"/>
      <c r="AW33" s="2739"/>
      <c r="AX33" s="2739"/>
      <c r="AY33" s="2739"/>
      <c r="AZ33" s="2739"/>
      <c r="BA33" s="2739"/>
      <c r="BB33" s="2739"/>
      <c r="BC33" s="2739"/>
      <c r="BD33" s="2739"/>
      <c r="BE33" s="2739"/>
      <c r="BF33" s="2739"/>
      <c r="BG33" s="2758"/>
      <c r="BH33" s="2758"/>
      <c r="BI33" s="2588"/>
      <c r="BJ33" s="2616"/>
      <c r="BK33" s="2616"/>
      <c r="BL33" s="2754"/>
      <c r="BM33" s="2754"/>
      <c r="BN33" s="2632"/>
      <c r="BO33" s="2632"/>
      <c r="BP33" s="2739"/>
    </row>
    <row r="34" spans="1:68" s="3" customFormat="1" ht="75" customHeight="1" x14ac:dyDescent="0.2">
      <c r="A34" s="75"/>
      <c r="B34" s="76"/>
      <c r="C34" s="77"/>
      <c r="D34" s="99"/>
      <c r="E34" s="100"/>
      <c r="F34" s="77"/>
      <c r="G34" s="2584"/>
      <c r="H34" s="2722"/>
      <c r="I34" s="2724"/>
      <c r="J34" s="2725"/>
      <c r="K34" s="2582"/>
      <c r="L34" s="2582"/>
      <c r="M34" s="2727"/>
      <c r="N34" s="2584"/>
      <c r="O34" s="2742"/>
      <c r="P34" s="2588"/>
      <c r="Q34" s="2746"/>
      <c r="R34" s="2708"/>
      <c r="S34" s="2708"/>
      <c r="T34" s="68" t="s">
        <v>110</v>
      </c>
      <c r="U34" s="1473">
        <v>4200000</v>
      </c>
      <c r="V34" s="1473">
        <v>4200000</v>
      </c>
      <c r="W34" s="1473">
        <v>4200000</v>
      </c>
      <c r="X34" s="97">
        <v>20</v>
      </c>
      <c r="Y34" s="1998" t="s">
        <v>85</v>
      </c>
      <c r="Z34" s="2739"/>
      <c r="AA34" s="2739"/>
      <c r="AB34" s="2739"/>
      <c r="AC34" s="2739"/>
      <c r="AD34" s="2739"/>
      <c r="AE34" s="2739"/>
      <c r="AF34" s="2739"/>
      <c r="AG34" s="2739"/>
      <c r="AH34" s="2739"/>
      <c r="AI34" s="2739"/>
      <c r="AJ34" s="2739"/>
      <c r="AK34" s="2739"/>
      <c r="AL34" s="2739"/>
      <c r="AM34" s="2739"/>
      <c r="AN34" s="2739"/>
      <c r="AO34" s="2739"/>
      <c r="AP34" s="2739"/>
      <c r="AQ34" s="2739"/>
      <c r="AR34" s="2739"/>
      <c r="AS34" s="2739"/>
      <c r="AT34" s="2739"/>
      <c r="AU34" s="2739"/>
      <c r="AV34" s="2739"/>
      <c r="AW34" s="2739"/>
      <c r="AX34" s="2739"/>
      <c r="AY34" s="2739"/>
      <c r="AZ34" s="2739"/>
      <c r="BA34" s="2739"/>
      <c r="BB34" s="2739"/>
      <c r="BC34" s="2739"/>
      <c r="BD34" s="2739"/>
      <c r="BE34" s="2739"/>
      <c r="BF34" s="2739"/>
      <c r="BG34" s="2758"/>
      <c r="BH34" s="2758"/>
      <c r="BI34" s="2588"/>
      <c r="BJ34" s="2616"/>
      <c r="BK34" s="2616"/>
      <c r="BL34" s="2754"/>
      <c r="BM34" s="2754"/>
      <c r="BN34" s="2632"/>
      <c r="BO34" s="2632"/>
      <c r="BP34" s="2739"/>
    </row>
    <row r="35" spans="1:68" s="3" customFormat="1" ht="74.25" customHeight="1" x14ac:dyDescent="0.2">
      <c r="A35" s="75"/>
      <c r="B35" s="76"/>
      <c r="C35" s="77"/>
      <c r="D35" s="99"/>
      <c r="E35" s="100"/>
      <c r="F35" s="77"/>
      <c r="G35" s="2584"/>
      <c r="H35" s="2722"/>
      <c r="I35" s="2724"/>
      <c r="J35" s="2725"/>
      <c r="K35" s="2582"/>
      <c r="L35" s="2582"/>
      <c r="M35" s="2727"/>
      <c r="N35" s="2584"/>
      <c r="O35" s="2742"/>
      <c r="P35" s="2588"/>
      <c r="Q35" s="2746"/>
      <c r="R35" s="2708"/>
      <c r="S35" s="2708"/>
      <c r="T35" s="68" t="s">
        <v>111</v>
      </c>
      <c r="U35" s="1473">
        <v>9387000</v>
      </c>
      <c r="V35" s="1473">
        <v>9387000</v>
      </c>
      <c r="W35" s="1473">
        <v>9387000</v>
      </c>
      <c r="X35" s="97">
        <v>20</v>
      </c>
      <c r="Y35" s="1998" t="s">
        <v>85</v>
      </c>
      <c r="Z35" s="2739"/>
      <c r="AA35" s="2739"/>
      <c r="AB35" s="2739"/>
      <c r="AC35" s="2739"/>
      <c r="AD35" s="2739"/>
      <c r="AE35" s="2739"/>
      <c r="AF35" s="2739"/>
      <c r="AG35" s="2739"/>
      <c r="AH35" s="2739"/>
      <c r="AI35" s="2739"/>
      <c r="AJ35" s="2739"/>
      <c r="AK35" s="2739"/>
      <c r="AL35" s="2739"/>
      <c r="AM35" s="2739"/>
      <c r="AN35" s="2739"/>
      <c r="AO35" s="2739"/>
      <c r="AP35" s="2739"/>
      <c r="AQ35" s="2739"/>
      <c r="AR35" s="2739"/>
      <c r="AS35" s="2739"/>
      <c r="AT35" s="2739"/>
      <c r="AU35" s="2739"/>
      <c r="AV35" s="2739"/>
      <c r="AW35" s="2739"/>
      <c r="AX35" s="2739"/>
      <c r="AY35" s="2739"/>
      <c r="AZ35" s="2739"/>
      <c r="BA35" s="2739"/>
      <c r="BB35" s="2739"/>
      <c r="BC35" s="2739"/>
      <c r="BD35" s="2739"/>
      <c r="BE35" s="2739"/>
      <c r="BF35" s="2739"/>
      <c r="BG35" s="2758"/>
      <c r="BH35" s="2758"/>
      <c r="BI35" s="2588"/>
      <c r="BJ35" s="2616"/>
      <c r="BK35" s="2616"/>
      <c r="BL35" s="2754"/>
      <c r="BM35" s="2754"/>
      <c r="BN35" s="2632"/>
      <c r="BO35" s="2632"/>
      <c r="BP35" s="2739"/>
    </row>
    <row r="36" spans="1:68" s="3" customFormat="1" ht="42.75" customHeight="1" x14ac:dyDescent="0.2">
      <c r="A36" s="75"/>
      <c r="B36" s="76"/>
      <c r="C36" s="77"/>
      <c r="D36" s="99"/>
      <c r="E36" s="100"/>
      <c r="F36" s="77"/>
      <c r="G36" s="2720"/>
      <c r="H36" s="2723"/>
      <c r="I36" s="2724"/>
      <c r="J36" s="2725"/>
      <c r="K36" s="2726"/>
      <c r="L36" s="2726"/>
      <c r="M36" s="2727"/>
      <c r="N36" s="2720"/>
      <c r="O36" s="2743"/>
      <c r="P36" s="2744"/>
      <c r="Q36" s="2747"/>
      <c r="R36" s="2709"/>
      <c r="S36" s="2709"/>
      <c r="T36" s="68" t="s">
        <v>112</v>
      </c>
      <c r="U36" s="1473">
        <v>39500000</v>
      </c>
      <c r="V36" s="2290">
        <f>U36</f>
        <v>39500000</v>
      </c>
      <c r="W36" s="2290">
        <v>2352000</v>
      </c>
      <c r="X36" s="97">
        <v>20</v>
      </c>
      <c r="Y36" s="1998" t="s">
        <v>85</v>
      </c>
      <c r="Z36" s="2740"/>
      <c r="AA36" s="2740"/>
      <c r="AB36" s="2740"/>
      <c r="AC36" s="2740"/>
      <c r="AD36" s="2740"/>
      <c r="AE36" s="2740"/>
      <c r="AF36" s="2740"/>
      <c r="AG36" s="2740"/>
      <c r="AH36" s="2740"/>
      <c r="AI36" s="2740"/>
      <c r="AJ36" s="2740"/>
      <c r="AK36" s="2740"/>
      <c r="AL36" s="2740"/>
      <c r="AM36" s="2740"/>
      <c r="AN36" s="2740"/>
      <c r="AO36" s="2740"/>
      <c r="AP36" s="2740"/>
      <c r="AQ36" s="2740"/>
      <c r="AR36" s="2740"/>
      <c r="AS36" s="2740"/>
      <c r="AT36" s="2740"/>
      <c r="AU36" s="2740"/>
      <c r="AV36" s="2740"/>
      <c r="AW36" s="2740"/>
      <c r="AX36" s="2740"/>
      <c r="AY36" s="2740"/>
      <c r="AZ36" s="2740"/>
      <c r="BA36" s="2740"/>
      <c r="BB36" s="2740"/>
      <c r="BC36" s="2740"/>
      <c r="BD36" s="2740"/>
      <c r="BE36" s="2740"/>
      <c r="BF36" s="2740"/>
      <c r="BG36" s="2759"/>
      <c r="BH36" s="2759"/>
      <c r="BI36" s="2744"/>
      <c r="BJ36" s="2752"/>
      <c r="BK36" s="2752"/>
      <c r="BL36" s="2755"/>
      <c r="BM36" s="2755"/>
      <c r="BN36" s="2756"/>
      <c r="BO36" s="2756"/>
      <c r="BP36" s="2740"/>
    </row>
    <row r="37" spans="1:68" s="3" customFormat="1" ht="43.5" customHeight="1" x14ac:dyDescent="0.2">
      <c r="A37" s="75"/>
      <c r="B37" s="76"/>
      <c r="C37" s="77"/>
      <c r="D37" s="99"/>
      <c r="E37" s="100"/>
      <c r="F37" s="77"/>
      <c r="G37" s="2748"/>
      <c r="H37" s="2592" t="s">
        <v>90</v>
      </c>
      <c r="I37" s="2724" t="s">
        <v>91</v>
      </c>
      <c r="J37" s="2725" t="s">
        <v>92</v>
      </c>
      <c r="K37" s="2581">
        <v>4</v>
      </c>
      <c r="L37" s="2581">
        <v>4</v>
      </c>
      <c r="M37" s="2751" t="s">
        <v>113</v>
      </c>
      <c r="N37" s="2583" t="s">
        <v>114</v>
      </c>
      <c r="O37" s="2741" t="s">
        <v>115</v>
      </c>
      <c r="P37" s="2760">
        <f>SUM(U37:U44)/Q37</f>
        <v>1</v>
      </c>
      <c r="Q37" s="2762">
        <f>SUM(U37:U44)</f>
        <v>93916667</v>
      </c>
      <c r="R37" s="2707" t="s">
        <v>116</v>
      </c>
      <c r="S37" s="2707" t="s">
        <v>117</v>
      </c>
      <c r="T37" s="68" t="s">
        <v>118</v>
      </c>
      <c r="U37" s="2291">
        <v>18000000</v>
      </c>
      <c r="V37" s="2292">
        <f>11200000-1586667</f>
        <v>9613333</v>
      </c>
      <c r="W37" s="2292">
        <f>V37</f>
        <v>9613333</v>
      </c>
      <c r="X37" s="69">
        <v>88</v>
      </c>
      <c r="Y37" s="1998" t="s">
        <v>411</v>
      </c>
      <c r="Z37" s="2765">
        <v>295972</v>
      </c>
      <c r="AA37" s="2738">
        <v>295972</v>
      </c>
      <c r="AB37" s="2738">
        <v>285580</v>
      </c>
      <c r="AC37" s="2738">
        <v>285580</v>
      </c>
      <c r="AD37" s="2738">
        <v>135545</v>
      </c>
      <c r="AE37" s="2738">
        <v>135545</v>
      </c>
      <c r="AF37" s="2738">
        <v>44254</v>
      </c>
      <c r="AG37" s="2738">
        <v>44254</v>
      </c>
      <c r="AH37" s="2738">
        <v>309146</v>
      </c>
      <c r="AI37" s="2738">
        <v>309146</v>
      </c>
      <c r="AJ37" s="2738">
        <v>92607</v>
      </c>
      <c r="AK37" s="2738">
        <v>92607</v>
      </c>
      <c r="AL37" s="2738">
        <v>2145</v>
      </c>
      <c r="AM37" s="2738">
        <v>2145</v>
      </c>
      <c r="AN37" s="2738">
        <v>12718</v>
      </c>
      <c r="AO37" s="2738">
        <v>12718</v>
      </c>
      <c r="AP37" s="2738">
        <v>26</v>
      </c>
      <c r="AQ37" s="2738">
        <v>26</v>
      </c>
      <c r="AR37" s="2738">
        <v>37</v>
      </c>
      <c r="AS37" s="2738">
        <v>37</v>
      </c>
      <c r="AT37" s="2738">
        <v>0</v>
      </c>
      <c r="AU37" s="2738">
        <v>0</v>
      </c>
      <c r="AV37" s="2738">
        <v>0</v>
      </c>
      <c r="AW37" s="2738">
        <v>0</v>
      </c>
      <c r="AX37" s="2738">
        <v>44350</v>
      </c>
      <c r="AY37" s="2738">
        <v>44350</v>
      </c>
      <c r="AZ37" s="2738">
        <v>21944</v>
      </c>
      <c r="BA37" s="2738">
        <v>21944</v>
      </c>
      <c r="BB37" s="2738">
        <v>75687</v>
      </c>
      <c r="BC37" s="2738">
        <v>75687</v>
      </c>
      <c r="BD37" s="2738">
        <v>581552</v>
      </c>
      <c r="BE37" s="2738">
        <v>581552</v>
      </c>
      <c r="BF37" s="2738">
        <v>6</v>
      </c>
      <c r="BG37" s="2757">
        <f>SUM(V37:V44)</f>
        <v>67393455</v>
      </c>
      <c r="BH37" s="2757">
        <f>SUM(W37:W44)</f>
        <v>67393455</v>
      </c>
      <c r="BI37" s="2587">
        <f>BH37/BG37</f>
        <v>1</v>
      </c>
      <c r="BJ37" s="2615" t="s">
        <v>75</v>
      </c>
      <c r="BK37" s="2615" t="s">
        <v>76</v>
      </c>
      <c r="BL37" s="2753">
        <v>43832</v>
      </c>
      <c r="BM37" s="2753">
        <v>43885</v>
      </c>
      <c r="BN37" s="2631">
        <v>44195</v>
      </c>
      <c r="BO37" s="2631">
        <v>44193</v>
      </c>
      <c r="BP37" s="2738" t="s">
        <v>77</v>
      </c>
    </row>
    <row r="38" spans="1:68" s="3" customFormat="1" ht="43.5" customHeight="1" x14ac:dyDescent="0.2">
      <c r="A38" s="75"/>
      <c r="B38" s="76"/>
      <c r="C38" s="77"/>
      <c r="D38" s="99"/>
      <c r="E38" s="100"/>
      <c r="F38" s="77"/>
      <c r="G38" s="2749"/>
      <c r="H38" s="2592"/>
      <c r="I38" s="2724"/>
      <c r="J38" s="2725"/>
      <c r="K38" s="2582"/>
      <c r="L38" s="2582"/>
      <c r="M38" s="2751"/>
      <c r="N38" s="2584"/>
      <c r="O38" s="2742"/>
      <c r="P38" s="2761"/>
      <c r="Q38" s="2763"/>
      <c r="R38" s="2708"/>
      <c r="S38" s="2708"/>
      <c r="T38" s="68" t="s">
        <v>119</v>
      </c>
      <c r="U38" s="2291">
        <v>18000000</v>
      </c>
      <c r="V38" s="2292">
        <v>10500000</v>
      </c>
      <c r="W38" s="2292">
        <f>V38</f>
        <v>10500000</v>
      </c>
      <c r="X38" s="69">
        <v>88</v>
      </c>
      <c r="Y38" s="1998" t="s">
        <v>411</v>
      </c>
      <c r="Z38" s="2649"/>
      <c r="AA38" s="2739"/>
      <c r="AB38" s="2739"/>
      <c r="AC38" s="2739"/>
      <c r="AD38" s="2739"/>
      <c r="AE38" s="2739"/>
      <c r="AF38" s="2739"/>
      <c r="AG38" s="2739"/>
      <c r="AH38" s="2739"/>
      <c r="AI38" s="2739"/>
      <c r="AJ38" s="2739"/>
      <c r="AK38" s="2739"/>
      <c r="AL38" s="2739"/>
      <c r="AM38" s="2739"/>
      <c r="AN38" s="2739"/>
      <c r="AO38" s="2739"/>
      <c r="AP38" s="2739"/>
      <c r="AQ38" s="2739"/>
      <c r="AR38" s="2739"/>
      <c r="AS38" s="2739"/>
      <c r="AT38" s="2739"/>
      <c r="AU38" s="2739"/>
      <c r="AV38" s="2739"/>
      <c r="AW38" s="2739"/>
      <c r="AX38" s="2739"/>
      <c r="AY38" s="2739"/>
      <c r="AZ38" s="2739"/>
      <c r="BA38" s="2739"/>
      <c r="BB38" s="2739"/>
      <c r="BC38" s="2739"/>
      <c r="BD38" s="2739"/>
      <c r="BE38" s="2739"/>
      <c r="BF38" s="2739"/>
      <c r="BG38" s="2758"/>
      <c r="BH38" s="2758"/>
      <c r="BI38" s="2588"/>
      <c r="BJ38" s="2616"/>
      <c r="BK38" s="2616"/>
      <c r="BL38" s="2754"/>
      <c r="BM38" s="2754"/>
      <c r="BN38" s="2632"/>
      <c r="BO38" s="2632"/>
      <c r="BP38" s="2739"/>
    </row>
    <row r="39" spans="1:68" s="3" customFormat="1" ht="43.5" customHeight="1" x14ac:dyDescent="0.2">
      <c r="A39" s="75"/>
      <c r="B39" s="76"/>
      <c r="C39" s="77"/>
      <c r="D39" s="99"/>
      <c r="E39" s="100"/>
      <c r="F39" s="77"/>
      <c r="G39" s="2749"/>
      <c r="H39" s="2592"/>
      <c r="I39" s="2724"/>
      <c r="J39" s="2725"/>
      <c r="K39" s="2582"/>
      <c r="L39" s="2582"/>
      <c r="M39" s="2751"/>
      <c r="N39" s="2584"/>
      <c r="O39" s="2742"/>
      <c r="P39" s="2761"/>
      <c r="Q39" s="2763"/>
      <c r="R39" s="2708"/>
      <c r="S39" s="2708"/>
      <c r="T39" s="68" t="s">
        <v>120</v>
      </c>
      <c r="U39" s="2291">
        <v>0</v>
      </c>
      <c r="V39" s="2292">
        <v>0</v>
      </c>
      <c r="W39" s="2292">
        <v>0</v>
      </c>
      <c r="X39" s="97"/>
      <c r="Y39" s="70"/>
      <c r="Z39" s="2649"/>
      <c r="AA39" s="2739"/>
      <c r="AB39" s="2739"/>
      <c r="AC39" s="2739"/>
      <c r="AD39" s="2739"/>
      <c r="AE39" s="2739"/>
      <c r="AF39" s="2739"/>
      <c r="AG39" s="2739"/>
      <c r="AH39" s="2739"/>
      <c r="AI39" s="2739"/>
      <c r="AJ39" s="2739"/>
      <c r="AK39" s="2739"/>
      <c r="AL39" s="2739"/>
      <c r="AM39" s="2739"/>
      <c r="AN39" s="2739"/>
      <c r="AO39" s="2739"/>
      <c r="AP39" s="2739"/>
      <c r="AQ39" s="2739"/>
      <c r="AR39" s="2739"/>
      <c r="AS39" s="2739"/>
      <c r="AT39" s="2739"/>
      <c r="AU39" s="2739"/>
      <c r="AV39" s="2739"/>
      <c r="AW39" s="2739"/>
      <c r="AX39" s="2739"/>
      <c r="AY39" s="2739"/>
      <c r="AZ39" s="2739"/>
      <c r="BA39" s="2739"/>
      <c r="BB39" s="2739"/>
      <c r="BC39" s="2739"/>
      <c r="BD39" s="2739"/>
      <c r="BE39" s="2739"/>
      <c r="BF39" s="2739"/>
      <c r="BG39" s="2758"/>
      <c r="BH39" s="2758"/>
      <c r="BI39" s="2588"/>
      <c r="BJ39" s="2616"/>
      <c r="BK39" s="2616"/>
      <c r="BL39" s="2754"/>
      <c r="BM39" s="2754"/>
      <c r="BN39" s="2632"/>
      <c r="BO39" s="2632"/>
      <c r="BP39" s="2739"/>
    </row>
    <row r="40" spans="1:68" s="3" customFormat="1" ht="43.5" customHeight="1" x14ac:dyDescent="0.2">
      <c r="A40" s="75"/>
      <c r="B40" s="76"/>
      <c r="C40" s="77"/>
      <c r="D40" s="99"/>
      <c r="E40" s="100"/>
      <c r="F40" s="77"/>
      <c r="G40" s="2749"/>
      <c r="H40" s="2592"/>
      <c r="I40" s="2724"/>
      <c r="J40" s="2725"/>
      <c r="K40" s="2582"/>
      <c r="L40" s="2582"/>
      <c r="M40" s="2751"/>
      <c r="N40" s="2584"/>
      <c r="O40" s="2742"/>
      <c r="P40" s="2761"/>
      <c r="Q40" s="2763"/>
      <c r="R40" s="2708"/>
      <c r="S40" s="2708"/>
      <c r="T40" s="103" t="s">
        <v>121</v>
      </c>
      <c r="U40" s="2291">
        <v>0</v>
      </c>
      <c r="V40" s="2292">
        <v>0</v>
      </c>
      <c r="W40" s="2292">
        <v>0</v>
      </c>
      <c r="X40" s="97"/>
      <c r="Y40" s="70"/>
      <c r="Z40" s="2649"/>
      <c r="AA40" s="2739"/>
      <c r="AB40" s="2739"/>
      <c r="AC40" s="2739"/>
      <c r="AD40" s="2739"/>
      <c r="AE40" s="2739"/>
      <c r="AF40" s="2739"/>
      <c r="AG40" s="2739"/>
      <c r="AH40" s="2739"/>
      <c r="AI40" s="2739"/>
      <c r="AJ40" s="2739"/>
      <c r="AK40" s="2739"/>
      <c r="AL40" s="2739"/>
      <c r="AM40" s="2739"/>
      <c r="AN40" s="2739"/>
      <c r="AO40" s="2739"/>
      <c r="AP40" s="2739"/>
      <c r="AQ40" s="2739"/>
      <c r="AR40" s="2739"/>
      <c r="AS40" s="2739"/>
      <c r="AT40" s="2739"/>
      <c r="AU40" s="2739"/>
      <c r="AV40" s="2739"/>
      <c r="AW40" s="2739"/>
      <c r="AX40" s="2739"/>
      <c r="AY40" s="2739"/>
      <c r="AZ40" s="2739"/>
      <c r="BA40" s="2739"/>
      <c r="BB40" s="2739"/>
      <c r="BC40" s="2739"/>
      <c r="BD40" s="2739"/>
      <c r="BE40" s="2739"/>
      <c r="BF40" s="2739"/>
      <c r="BG40" s="2758"/>
      <c r="BH40" s="2758"/>
      <c r="BI40" s="2588"/>
      <c r="BJ40" s="2616"/>
      <c r="BK40" s="2616"/>
      <c r="BL40" s="2754"/>
      <c r="BM40" s="2754"/>
      <c r="BN40" s="2632"/>
      <c r="BO40" s="2632"/>
      <c r="BP40" s="2739"/>
    </row>
    <row r="41" spans="1:68" s="3" customFormat="1" ht="43.5" customHeight="1" x14ac:dyDescent="0.2">
      <c r="A41" s="75"/>
      <c r="B41" s="76"/>
      <c r="C41" s="77"/>
      <c r="D41" s="99"/>
      <c r="E41" s="100"/>
      <c r="F41" s="77"/>
      <c r="G41" s="2749"/>
      <c r="H41" s="2592"/>
      <c r="I41" s="2724"/>
      <c r="J41" s="2725"/>
      <c r="K41" s="2582"/>
      <c r="L41" s="2582"/>
      <c r="M41" s="2751"/>
      <c r="N41" s="2584"/>
      <c r="O41" s="2742"/>
      <c r="P41" s="2761"/>
      <c r="Q41" s="2763"/>
      <c r="R41" s="2708"/>
      <c r="S41" s="2764"/>
      <c r="T41" s="2767" t="s">
        <v>122</v>
      </c>
      <c r="U41" s="2293">
        <v>6450000</v>
      </c>
      <c r="V41" s="2292">
        <v>6450000</v>
      </c>
      <c r="W41" s="2292">
        <v>6450000</v>
      </c>
      <c r="X41" s="97">
        <v>20</v>
      </c>
      <c r="Y41" s="1998" t="s">
        <v>85</v>
      </c>
      <c r="Z41" s="2649"/>
      <c r="AA41" s="2739"/>
      <c r="AB41" s="2739"/>
      <c r="AC41" s="2739"/>
      <c r="AD41" s="2739"/>
      <c r="AE41" s="2739"/>
      <c r="AF41" s="2739"/>
      <c r="AG41" s="2739"/>
      <c r="AH41" s="2739"/>
      <c r="AI41" s="2739"/>
      <c r="AJ41" s="2739"/>
      <c r="AK41" s="2739"/>
      <c r="AL41" s="2739"/>
      <c r="AM41" s="2739"/>
      <c r="AN41" s="2739"/>
      <c r="AO41" s="2739"/>
      <c r="AP41" s="2739"/>
      <c r="AQ41" s="2739"/>
      <c r="AR41" s="2739"/>
      <c r="AS41" s="2739"/>
      <c r="AT41" s="2739"/>
      <c r="AU41" s="2739"/>
      <c r="AV41" s="2739"/>
      <c r="AW41" s="2739"/>
      <c r="AX41" s="2739"/>
      <c r="AY41" s="2739"/>
      <c r="AZ41" s="2739"/>
      <c r="BA41" s="2739"/>
      <c r="BB41" s="2739"/>
      <c r="BC41" s="2739"/>
      <c r="BD41" s="2739"/>
      <c r="BE41" s="2739"/>
      <c r="BF41" s="2739"/>
      <c r="BG41" s="2758"/>
      <c r="BH41" s="2758"/>
      <c r="BI41" s="2588"/>
      <c r="BJ41" s="2616"/>
      <c r="BK41" s="2616"/>
      <c r="BL41" s="2754"/>
      <c r="BM41" s="2754"/>
      <c r="BN41" s="2632"/>
      <c r="BO41" s="2632"/>
      <c r="BP41" s="2739"/>
    </row>
    <row r="42" spans="1:68" s="3" customFormat="1" ht="43.5" customHeight="1" x14ac:dyDescent="0.2">
      <c r="A42" s="75"/>
      <c r="B42" s="76"/>
      <c r="C42" s="77"/>
      <c r="D42" s="99"/>
      <c r="E42" s="100"/>
      <c r="F42" s="77"/>
      <c r="G42" s="2749"/>
      <c r="H42" s="2592"/>
      <c r="I42" s="2724"/>
      <c r="J42" s="2725"/>
      <c r="K42" s="2582"/>
      <c r="L42" s="2582"/>
      <c r="M42" s="2751"/>
      <c r="N42" s="2584"/>
      <c r="O42" s="2742"/>
      <c r="P42" s="2761"/>
      <c r="Q42" s="2763"/>
      <c r="R42" s="2708"/>
      <c r="S42" s="2764"/>
      <c r="T42" s="2767"/>
      <c r="U42" s="2293">
        <v>33250000</v>
      </c>
      <c r="V42" s="2292">
        <v>23688455</v>
      </c>
      <c r="W42" s="2292">
        <f>V42</f>
        <v>23688455</v>
      </c>
      <c r="X42" s="69">
        <v>88</v>
      </c>
      <c r="Y42" s="1998" t="s">
        <v>411</v>
      </c>
      <c r="Z42" s="2649"/>
      <c r="AA42" s="2739"/>
      <c r="AB42" s="2739"/>
      <c r="AC42" s="2739"/>
      <c r="AD42" s="2739"/>
      <c r="AE42" s="2739"/>
      <c r="AF42" s="2739"/>
      <c r="AG42" s="2739"/>
      <c r="AH42" s="2739"/>
      <c r="AI42" s="2739"/>
      <c r="AJ42" s="2739"/>
      <c r="AK42" s="2739"/>
      <c r="AL42" s="2739"/>
      <c r="AM42" s="2739"/>
      <c r="AN42" s="2739"/>
      <c r="AO42" s="2739"/>
      <c r="AP42" s="2739"/>
      <c r="AQ42" s="2739"/>
      <c r="AR42" s="2739"/>
      <c r="AS42" s="2739"/>
      <c r="AT42" s="2739"/>
      <c r="AU42" s="2739"/>
      <c r="AV42" s="2739"/>
      <c r="AW42" s="2739"/>
      <c r="AX42" s="2739"/>
      <c r="AY42" s="2739"/>
      <c r="AZ42" s="2739"/>
      <c r="BA42" s="2739"/>
      <c r="BB42" s="2739"/>
      <c r="BC42" s="2739"/>
      <c r="BD42" s="2739"/>
      <c r="BE42" s="2739"/>
      <c r="BF42" s="2739"/>
      <c r="BG42" s="2758"/>
      <c r="BH42" s="2758"/>
      <c r="BI42" s="2588"/>
      <c r="BJ42" s="2616"/>
      <c r="BK42" s="2616"/>
      <c r="BL42" s="2754"/>
      <c r="BM42" s="2754"/>
      <c r="BN42" s="2632"/>
      <c r="BO42" s="2632"/>
      <c r="BP42" s="2739"/>
    </row>
    <row r="43" spans="1:68" s="3" customFormat="1" ht="43.5" customHeight="1" x14ac:dyDescent="0.2">
      <c r="A43" s="75"/>
      <c r="B43" s="76"/>
      <c r="C43" s="77"/>
      <c r="D43" s="99"/>
      <c r="E43" s="100"/>
      <c r="F43" s="77"/>
      <c r="G43" s="2749"/>
      <c r="H43" s="2592"/>
      <c r="I43" s="2724"/>
      <c r="J43" s="2725"/>
      <c r="K43" s="2582"/>
      <c r="L43" s="2582"/>
      <c r="M43" s="2751"/>
      <c r="N43" s="2584"/>
      <c r="O43" s="2742"/>
      <c r="P43" s="2761"/>
      <c r="Q43" s="2763"/>
      <c r="R43" s="2708"/>
      <c r="S43" s="2764"/>
      <c r="T43" s="2767" t="s">
        <v>123</v>
      </c>
      <c r="U43" s="2293">
        <v>10750000</v>
      </c>
      <c r="V43" s="2292">
        <v>9675000</v>
      </c>
      <c r="W43" s="2292">
        <f>V43</f>
        <v>9675000</v>
      </c>
      <c r="X43" s="69">
        <v>88</v>
      </c>
      <c r="Y43" s="1998" t="s">
        <v>411</v>
      </c>
      <c r="Z43" s="2649"/>
      <c r="AA43" s="2739"/>
      <c r="AB43" s="2739"/>
      <c r="AC43" s="2739"/>
      <c r="AD43" s="2739"/>
      <c r="AE43" s="2739"/>
      <c r="AF43" s="2739"/>
      <c r="AG43" s="2739"/>
      <c r="AH43" s="2739"/>
      <c r="AI43" s="2739"/>
      <c r="AJ43" s="2739"/>
      <c r="AK43" s="2739"/>
      <c r="AL43" s="2739"/>
      <c r="AM43" s="2739"/>
      <c r="AN43" s="2739"/>
      <c r="AO43" s="2739"/>
      <c r="AP43" s="2739"/>
      <c r="AQ43" s="2739"/>
      <c r="AR43" s="2739"/>
      <c r="AS43" s="2739"/>
      <c r="AT43" s="2739"/>
      <c r="AU43" s="2739"/>
      <c r="AV43" s="2739"/>
      <c r="AW43" s="2739"/>
      <c r="AX43" s="2739"/>
      <c r="AY43" s="2739"/>
      <c r="AZ43" s="2739"/>
      <c r="BA43" s="2739"/>
      <c r="BB43" s="2739"/>
      <c r="BC43" s="2739"/>
      <c r="BD43" s="2739"/>
      <c r="BE43" s="2739"/>
      <c r="BF43" s="2739"/>
      <c r="BG43" s="2758"/>
      <c r="BH43" s="2758"/>
      <c r="BI43" s="2588"/>
      <c r="BJ43" s="2616"/>
      <c r="BK43" s="2616"/>
      <c r="BL43" s="2754"/>
      <c r="BM43" s="2754"/>
      <c r="BN43" s="2632"/>
      <c r="BO43" s="2632"/>
      <c r="BP43" s="2739"/>
    </row>
    <row r="44" spans="1:68" s="3" customFormat="1" ht="43.5" customHeight="1" x14ac:dyDescent="0.2">
      <c r="A44" s="75"/>
      <c r="B44" s="76"/>
      <c r="C44" s="77"/>
      <c r="D44" s="99"/>
      <c r="E44" s="100"/>
      <c r="F44" s="77"/>
      <c r="G44" s="2750"/>
      <c r="H44" s="2592"/>
      <c r="I44" s="2724"/>
      <c r="J44" s="2725"/>
      <c r="K44" s="2726"/>
      <c r="L44" s="2726"/>
      <c r="M44" s="2751"/>
      <c r="N44" s="2584"/>
      <c r="O44" s="2742"/>
      <c r="P44" s="2761"/>
      <c r="Q44" s="2763"/>
      <c r="R44" s="2708"/>
      <c r="S44" s="2764"/>
      <c r="T44" s="2767"/>
      <c r="U44" s="2293">
        <v>7466667</v>
      </c>
      <c r="V44" s="2291">
        <v>7466667</v>
      </c>
      <c r="W44" s="2291">
        <v>7466667</v>
      </c>
      <c r="X44" s="97">
        <v>20</v>
      </c>
      <c r="Y44" s="1998" t="s">
        <v>85</v>
      </c>
      <c r="Z44" s="2766"/>
      <c r="AA44" s="2740"/>
      <c r="AB44" s="2740"/>
      <c r="AC44" s="2740"/>
      <c r="AD44" s="2740"/>
      <c r="AE44" s="2740"/>
      <c r="AF44" s="2740"/>
      <c r="AG44" s="2740"/>
      <c r="AH44" s="2740"/>
      <c r="AI44" s="2740"/>
      <c r="AJ44" s="2740"/>
      <c r="AK44" s="2740"/>
      <c r="AL44" s="2740"/>
      <c r="AM44" s="2740"/>
      <c r="AN44" s="2740"/>
      <c r="AO44" s="2740"/>
      <c r="AP44" s="2740"/>
      <c r="AQ44" s="2740"/>
      <c r="AR44" s="2740"/>
      <c r="AS44" s="2740"/>
      <c r="AT44" s="2740"/>
      <c r="AU44" s="2740"/>
      <c r="AV44" s="2740"/>
      <c r="AW44" s="2740"/>
      <c r="AX44" s="2740"/>
      <c r="AY44" s="2740"/>
      <c r="AZ44" s="2740"/>
      <c r="BA44" s="2740"/>
      <c r="BB44" s="2740"/>
      <c r="BC44" s="2740"/>
      <c r="BD44" s="2740"/>
      <c r="BE44" s="2740"/>
      <c r="BF44" s="2740"/>
      <c r="BG44" s="2759"/>
      <c r="BH44" s="2759"/>
      <c r="BI44" s="2744"/>
      <c r="BJ44" s="2752"/>
      <c r="BK44" s="2752"/>
      <c r="BL44" s="2755"/>
      <c r="BM44" s="2755"/>
      <c r="BN44" s="2756"/>
      <c r="BO44" s="2756"/>
      <c r="BP44" s="2740"/>
    </row>
    <row r="45" spans="1:68" s="3" customFormat="1" ht="64.5" customHeight="1" x14ac:dyDescent="0.2">
      <c r="A45" s="75"/>
      <c r="B45" s="76"/>
      <c r="C45" s="77"/>
      <c r="D45" s="99"/>
      <c r="E45" s="100"/>
      <c r="F45" s="77"/>
      <c r="G45" s="2773" t="s">
        <v>64</v>
      </c>
      <c r="H45" s="2776" t="s">
        <v>125</v>
      </c>
      <c r="I45" s="2778" t="s">
        <v>126</v>
      </c>
      <c r="J45" s="2780" t="s">
        <v>127</v>
      </c>
      <c r="K45" s="2782">
        <v>1</v>
      </c>
      <c r="L45" s="2782">
        <v>1</v>
      </c>
      <c r="M45" s="2768" t="s">
        <v>128</v>
      </c>
      <c r="N45" s="2583" t="s">
        <v>129</v>
      </c>
      <c r="O45" s="2741" t="s">
        <v>130</v>
      </c>
      <c r="P45" s="2760">
        <f>SUM(U45:U52)/Q45</f>
        <v>1</v>
      </c>
      <c r="Q45" s="2762">
        <f>SUM(U45:U52)</f>
        <v>24906666</v>
      </c>
      <c r="R45" s="2707" t="s">
        <v>131</v>
      </c>
      <c r="S45" s="2707" t="s">
        <v>132</v>
      </c>
      <c r="T45" s="2784" t="s">
        <v>133</v>
      </c>
      <c r="U45" s="2292">
        <v>1974000</v>
      </c>
      <c r="V45" s="2292">
        <v>1974000</v>
      </c>
      <c r="W45" s="2292">
        <v>1974000</v>
      </c>
      <c r="X45" s="97">
        <v>20</v>
      </c>
      <c r="Y45" s="1998" t="s">
        <v>85</v>
      </c>
      <c r="Z45" s="2738">
        <v>295972</v>
      </c>
      <c r="AA45" s="2738">
        <f>Z45</f>
        <v>295972</v>
      </c>
      <c r="AB45" s="2738">
        <v>285580</v>
      </c>
      <c r="AC45" s="2738">
        <f>AB45</f>
        <v>285580</v>
      </c>
      <c r="AD45" s="2738">
        <v>135545</v>
      </c>
      <c r="AE45" s="2738">
        <f>AD45</f>
        <v>135545</v>
      </c>
      <c r="AF45" s="2738">
        <v>44254</v>
      </c>
      <c r="AG45" s="2738">
        <f>AF45</f>
        <v>44254</v>
      </c>
      <c r="AH45" s="2738">
        <v>309146</v>
      </c>
      <c r="AI45" s="2738">
        <f>AH45</f>
        <v>309146</v>
      </c>
      <c r="AJ45" s="2738">
        <v>92607</v>
      </c>
      <c r="AK45" s="2738">
        <f>AJ45</f>
        <v>92607</v>
      </c>
      <c r="AL45" s="2738">
        <v>2145</v>
      </c>
      <c r="AM45" s="2738">
        <f>AL45</f>
        <v>2145</v>
      </c>
      <c r="AN45" s="2738">
        <v>12718</v>
      </c>
      <c r="AO45" s="2738">
        <f>AN45</f>
        <v>12718</v>
      </c>
      <c r="AP45" s="2738">
        <v>26</v>
      </c>
      <c r="AQ45" s="2738">
        <f>AP45</f>
        <v>26</v>
      </c>
      <c r="AR45" s="2738">
        <v>37</v>
      </c>
      <c r="AS45" s="2738">
        <f>AR45</f>
        <v>37</v>
      </c>
      <c r="AT45" s="2738">
        <v>0</v>
      </c>
      <c r="AU45" s="2738">
        <f>AT45</f>
        <v>0</v>
      </c>
      <c r="AV45" s="2789">
        <v>0</v>
      </c>
      <c r="AW45" s="2738">
        <f>AV45</f>
        <v>0</v>
      </c>
      <c r="AX45" s="2738">
        <v>44350</v>
      </c>
      <c r="AY45" s="2738">
        <f>AX45</f>
        <v>44350</v>
      </c>
      <c r="AZ45" s="2738">
        <v>21944</v>
      </c>
      <c r="BA45" s="2738">
        <f>AZ45</f>
        <v>21944</v>
      </c>
      <c r="BB45" s="2738">
        <v>75687</v>
      </c>
      <c r="BC45" s="2738">
        <f>BB45</f>
        <v>75687</v>
      </c>
      <c r="BD45" s="2738">
        <v>581552</v>
      </c>
      <c r="BE45" s="2738">
        <f>BD45</f>
        <v>581552</v>
      </c>
      <c r="BF45" s="2738">
        <v>3</v>
      </c>
      <c r="BG45" s="2757">
        <f>SUM(V45:V52)</f>
        <v>24866666</v>
      </c>
      <c r="BH45" s="2757">
        <f>SUM(W45:W52)</f>
        <v>24866666</v>
      </c>
      <c r="BI45" s="2587">
        <f>BH45/BG45</f>
        <v>1</v>
      </c>
      <c r="BJ45" s="2615" t="s">
        <v>75</v>
      </c>
      <c r="BK45" s="2615" t="s">
        <v>76</v>
      </c>
      <c r="BL45" s="2753">
        <v>43832</v>
      </c>
      <c r="BM45" s="2753">
        <v>43885</v>
      </c>
      <c r="BN45" s="2631">
        <v>44195</v>
      </c>
      <c r="BO45" s="2631">
        <v>44193</v>
      </c>
      <c r="BP45" s="2738" t="s">
        <v>77</v>
      </c>
    </row>
    <row r="46" spans="1:68" s="3" customFormat="1" ht="64.5" customHeight="1" x14ac:dyDescent="0.2">
      <c r="A46" s="75"/>
      <c r="B46" s="76"/>
      <c r="C46" s="77"/>
      <c r="D46" s="99"/>
      <c r="E46" s="100"/>
      <c r="F46" s="77"/>
      <c r="G46" s="2774"/>
      <c r="H46" s="2777"/>
      <c r="I46" s="2779"/>
      <c r="J46" s="2781"/>
      <c r="K46" s="2782"/>
      <c r="L46" s="2782"/>
      <c r="M46" s="2768"/>
      <c r="N46" s="2584"/>
      <c r="O46" s="2742"/>
      <c r="P46" s="2761"/>
      <c r="Q46" s="2763"/>
      <c r="R46" s="2708"/>
      <c r="S46" s="2708"/>
      <c r="T46" s="2785"/>
      <c r="U46" s="2292">
        <v>9000000</v>
      </c>
      <c r="V46" s="2292">
        <v>9000000</v>
      </c>
      <c r="W46" s="2292">
        <v>9000000</v>
      </c>
      <c r="X46" s="69">
        <v>88</v>
      </c>
      <c r="Y46" s="1998" t="s">
        <v>411</v>
      </c>
      <c r="Z46" s="2739"/>
      <c r="AA46" s="2739"/>
      <c r="AB46" s="2739"/>
      <c r="AC46" s="2739"/>
      <c r="AD46" s="2739"/>
      <c r="AE46" s="2739"/>
      <c r="AF46" s="2739"/>
      <c r="AG46" s="2739"/>
      <c r="AH46" s="2739"/>
      <c r="AI46" s="2739"/>
      <c r="AJ46" s="2739"/>
      <c r="AK46" s="2739"/>
      <c r="AL46" s="2739"/>
      <c r="AM46" s="2739"/>
      <c r="AN46" s="2739"/>
      <c r="AO46" s="2739"/>
      <c r="AP46" s="2739"/>
      <c r="AQ46" s="2739"/>
      <c r="AR46" s="2739"/>
      <c r="AS46" s="2739"/>
      <c r="AT46" s="2739"/>
      <c r="AU46" s="2739"/>
      <c r="AV46" s="2790"/>
      <c r="AW46" s="2739"/>
      <c r="AX46" s="2739"/>
      <c r="AY46" s="2739"/>
      <c r="AZ46" s="2739"/>
      <c r="BA46" s="2739"/>
      <c r="BB46" s="2739"/>
      <c r="BC46" s="2739"/>
      <c r="BD46" s="2739"/>
      <c r="BE46" s="2739"/>
      <c r="BF46" s="2739"/>
      <c r="BG46" s="2758"/>
      <c r="BH46" s="2758"/>
      <c r="BI46" s="2588"/>
      <c r="BJ46" s="2616"/>
      <c r="BK46" s="2616"/>
      <c r="BL46" s="2754"/>
      <c r="BM46" s="2754"/>
      <c r="BN46" s="2632"/>
      <c r="BO46" s="2632"/>
      <c r="BP46" s="2739"/>
    </row>
    <row r="47" spans="1:68" s="3" customFormat="1" ht="64.5" customHeight="1" x14ac:dyDescent="0.2">
      <c r="A47" s="75"/>
      <c r="B47" s="76"/>
      <c r="C47" s="77"/>
      <c r="D47" s="99"/>
      <c r="E47" s="100"/>
      <c r="F47" s="77"/>
      <c r="G47" s="2774"/>
      <c r="H47" s="2777"/>
      <c r="I47" s="2779"/>
      <c r="J47" s="2781"/>
      <c r="K47" s="2782"/>
      <c r="L47" s="2782"/>
      <c r="M47" s="2768"/>
      <c r="N47" s="2584"/>
      <c r="O47" s="2742"/>
      <c r="P47" s="2761"/>
      <c r="Q47" s="2763"/>
      <c r="R47" s="2708"/>
      <c r="S47" s="2708"/>
      <c r="T47" s="2799" t="s">
        <v>135</v>
      </c>
      <c r="U47" s="2292">
        <v>3948000</v>
      </c>
      <c r="V47" s="2292">
        <v>3948000</v>
      </c>
      <c r="W47" s="2292">
        <v>3948000</v>
      </c>
      <c r="X47" s="97">
        <v>20</v>
      </c>
      <c r="Y47" s="1998" t="s">
        <v>85</v>
      </c>
      <c r="Z47" s="2739"/>
      <c r="AA47" s="2739"/>
      <c r="AB47" s="2739"/>
      <c r="AC47" s="2739"/>
      <c r="AD47" s="2739"/>
      <c r="AE47" s="2739"/>
      <c r="AF47" s="2739"/>
      <c r="AG47" s="2739"/>
      <c r="AH47" s="2739"/>
      <c r="AI47" s="2739"/>
      <c r="AJ47" s="2739"/>
      <c r="AK47" s="2739"/>
      <c r="AL47" s="2739"/>
      <c r="AM47" s="2739"/>
      <c r="AN47" s="2739"/>
      <c r="AO47" s="2739"/>
      <c r="AP47" s="2739"/>
      <c r="AQ47" s="2739"/>
      <c r="AR47" s="2739"/>
      <c r="AS47" s="2739"/>
      <c r="AT47" s="2739"/>
      <c r="AU47" s="2739"/>
      <c r="AV47" s="2790"/>
      <c r="AW47" s="2739"/>
      <c r="AX47" s="2739"/>
      <c r="AY47" s="2739"/>
      <c r="AZ47" s="2739"/>
      <c r="BA47" s="2739"/>
      <c r="BB47" s="2739"/>
      <c r="BC47" s="2739"/>
      <c r="BD47" s="2739"/>
      <c r="BE47" s="2739"/>
      <c r="BF47" s="2739"/>
      <c r="BG47" s="2758"/>
      <c r="BH47" s="2758"/>
      <c r="BI47" s="2588"/>
      <c r="BJ47" s="2616"/>
      <c r="BK47" s="2616"/>
      <c r="BL47" s="2754"/>
      <c r="BM47" s="2754"/>
      <c r="BN47" s="2632"/>
      <c r="BO47" s="2632"/>
      <c r="BP47" s="2739"/>
    </row>
    <row r="48" spans="1:68" s="3" customFormat="1" ht="64.5" customHeight="1" x14ac:dyDescent="0.2">
      <c r="A48" s="75"/>
      <c r="B48" s="76"/>
      <c r="C48" s="77"/>
      <c r="D48" s="99"/>
      <c r="E48" s="100"/>
      <c r="F48" s="77"/>
      <c r="G48" s="2774"/>
      <c r="H48" s="2777"/>
      <c r="I48" s="2779"/>
      <c r="J48" s="2781"/>
      <c r="K48" s="2782"/>
      <c r="L48" s="2782"/>
      <c r="M48" s="2768"/>
      <c r="N48" s="2584"/>
      <c r="O48" s="2742"/>
      <c r="P48" s="2761"/>
      <c r="Q48" s="2763"/>
      <c r="R48" s="2708"/>
      <c r="S48" s="2708"/>
      <c r="T48" s="2785"/>
      <c r="U48" s="2292">
        <v>9000000</v>
      </c>
      <c r="V48" s="2292">
        <f>8400000+560000</f>
        <v>8960000</v>
      </c>
      <c r="W48" s="2292">
        <f>V48</f>
        <v>8960000</v>
      </c>
      <c r="X48" s="69">
        <v>88</v>
      </c>
      <c r="Y48" s="1998" t="s">
        <v>411</v>
      </c>
      <c r="Z48" s="2739"/>
      <c r="AA48" s="2739"/>
      <c r="AB48" s="2739"/>
      <c r="AC48" s="2739"/>
      <c r="AD48" s="2739"/>
      <c r="AE48" s="2739"/>
      <c r="AF48" s="2739"/>
      <c r="AG48" s="2739"/>
      <c r="AH48" s="2739"/>
      <c r="AI48" s="2739"/>
      <c r="AJ48" s="2739"/>
      <c r="AK48" s="2739"/>
      <c r="AL48" s="2739"/>
      <c r="AM48" s="2739"/>
      <c r="AN48" s="2739"/>
      <c r="AO48" s="2739"/>
      <c r="AP48" s="2739"/>
      <c r="AQ48" s="2739"/>
      <c r="AR48" s="2739"/>
      <c r="AS48" s="2739"/>
      <c r="AT48" s="2739"/>
      <c r="AU48" s="2739"/>
      <c r="AV48" s="2790"/>
      <c r="AW48" s="2739"/>
      <c r="AX48" s="2739"/>
      <c r="AY48" s="2739"/>
      <c r="AZ48" s="2739"/>
      <c r="BA48" s="2739"/>
      <c r="BB48" s="2739"/>
      <c r="BC48" s="2739"/>
      <c r="BD48" s="2739"/>
      <c r="BE48" s="2739"/>
      <c r="BF48" s="2739"/>
      <c r="BG48" s="2758"/>
      <c r="BH48" s="2758"/>
      <c r="BI48" s="2588"/>
      <c r="BJ48" s="2616"/>
      <c r="BK48" s="2616"/>
      <c r="BL48" s="2754"/>
      <c r="BM48" s="2754"/>
      <c r="BN48" s="2632"/>
      <c r="BO48" s="2632"/>
      <c r="BP48" s="2739"/>
    </row>
    <row r="49" spans="1:68" s="3" customFormat="1" ht="64.5" customHeight="1" x14ac:dyDescent="0.2">
      <c r="A49" s="75"/>
      <c r="B49" s="76"/>
      <c r="C49" s="77"/>
      <c r="D49" s="99"/>
      <c r="E49" s="100"/>
      <c r="F49" s="77"/>
      <c r="G49" s="2774"/>
      <c r="H49" s="2777"/>
      <c r="I49" s="2779"/>
      <c r="J49" s="2781"/>
      <c r="K49" s="2782"/>
      <c r="L49" s="2782"/>
      <c r="M49" s="2768"/>
      <c r="N49" s="2584"/>
      <c r="O49" s="2742"/>
      <c r="P49" s="2761"/>
      <c r="Q49" s="2763"/>
      <c r="R49" s="2708"/>
      <c r="S49" s="2708"/>
      <c r="T49" s="68" t="s">
        <v>136</v>
      </c>
      <c r="U49" s="2292">
        <v>0</v>
      </c>
      <c r="V49" s="2292"/>
      <c r="W49" s="2292"/>
      <c r="X49" s="69">
        <v>88</v>
      </c>
      <c r="Y49" s="1998" t="s">
        <v>411</v>
      </c>
      <c r="Z49" s="2739"/>
      <c r="AA49" s="2739"/>
      <c r="AB49" s="2739"/>
      <c r="AC49" s="2739"/>
      <c r="AD49" s="2739"/>
      <c r="AE49" s="2739"/>
      <c r="AF49" s="2739"/>
      <c r="AG49" s="2739"/>
      <c r="AH49" s="2739"/>
      <c r="AI49" s="2739"/>
      <c r="AJ49" s="2739"/>
      <c r="AK49" s="2739"/>
      <c r="AL49" s="2739"/>
      <c r="AM49" s="2739"/>
      <c r="AN49" s="2739"/>
      <c r="AO49" s="2739"/>
      <c r="AP49" s="2739"/>
      <c r="AQ49" s="2739"/>
      <c r="AR49" s="2739"/>
      <c r="AS49" s="2739"/>
      <c r="AT49" s="2739"/>
      <c r="AU49" s="2739"/>
      <c r="AV49" s="2790"/>
      <c r="AW49" s="2739"/>
      <c r="AX49" s="2739"/>
      <c r="AY49" s="2739"/>
      <c r="AZ49" s="2739"/>
      <c r="BA49" s="2739"/>
      <c r="BB49" s="2739"/>
      <c r="BC49" s="2739"/>
      <c r="BD49" s="2739"/>
      <c r="BE49" s="2739"/>
      <c r="BF49" s="2739"/>
      <c r="BG49" s="2758"/>
      <c r="BH49" s="2758"/>
      <c r="BI49" s="2588"/>
      <c r="BJ49" s="2616"/>
      <c r="BK49" s="2616"/>
      <c r="BL49" s="2754"/>
      <c r="BM49" s="2754"/>
      <c r="BN49" s="2632"/>
      <c r="BO49" s="2632"/>
      <c r="BP49" s="2739"/>
    </row>
    <row r="50" spans="1:68" s="3" customFormat="1" ht="64.5" customHeight="1" x14ac:dyDescent="0.2">
      <c r="A50" s="75"/>
      <c r="B50" s="76"/>
      <c r="C50" s="77"/>
      <c r="D50" s="99"/>
      <c r="E50" s="100"/>
      <c r="F50" s="77"/>
      <c r="G50" s="2774"/>
      <c r="H50" s="2777"/>
      <c r="I50" s="2779"/>
      <c r="J50" s="2781"/>
      <c r="K50" s="2782"/>
      <c r="L50" s="2782"/>
      <c r="M50" s="2768"/>
      <c r="N50" s="2584"/>
      <c r="O50" s="2742"/>
      <c r="P50" s="2761"/>
      <c r="Q50" s="2763"/>
      <c r="R50" s="2708"/>
      <c r="S50" s="2708"/>
      <c r="T50" s="68" t="s">
        <v>137</v>
      </c>
      <c r="U50" s="2292">
        <v>0</v>
      </c>
      <c r="V50" s="2292"/>
      <c r="W50" s="2292"/>
      <c r="X50" s="69">
        <v>88</v>
      </c>
      <c r="Y50" s="1998" t="s">
        <v>411</v>
      </c>
      <c r="Z50" s="2739"/>
      <c r="AA50" s="2739"/>
      <c r="AB50" s="2739"/>
      <c r="AC50" s="2739"/>
      <c r="AD50" s="2739"/>
      <c r="AE50" s="2739"/>
      <c r="AF50" s="2739"/>
      <c r="AG50" s="2739"/>
      <c r="AH50" s="2739"/>
      <c r="AI50" s="2739"/>
      <c r="AJ50" s="2739"/>
      <c r="AK50" s="2739"/>
      <c r="AL50" s="2739"/>
      <c r="AM50" s="2739"/>
      <c r="AN50" s="2739"/>
      <c r="AO50" s="2739"/>
      <c r="AP50" s="2739"/>
      <c r="AQ50" s="2739"/>
      <c r="AR50" s="2739"/>
      <c r="AS50" s="2739"/>
      <c r="AT50" s="2739"/>
      <c r="AU50" s="2739"/>
      <c r="AV50" s="2790"/>
      <c r="AW50" s="2739"/>
      <c r="AX50" s="2739"/>
      <c r="AY50" s="2739"/>
      <c r="AZ50" s="2739"/>
      <c r="BA50" s="2739"/>
      <c r="BB50" s="2739"/>
      <c r="BC50" s="2739"/>
      <c r="BD50" s="2739"/>
      <c r="BE50" s="2739"/>
      <c r="BF50" s="2739"/>
      <c r="BG50" s="2758"/>
      <c r="BH50" s="2758"/>
      <c r="BI50" s="2588"/>
      <c r="BJ50" s="2616"/>
      <c r="BK50" s="2616"/>
      <c r="BL50" s="2754"/>
      <c r="BM50" s="2754"/>
      <c r="BN50" s="2632"/>
      <c r="BO50" s="2632"/>
      <c r="BP50" s="2739"/>
    </row>
    <row r="51" spans="1:68" s="3" customFormat="1" ht="64.5" customHeight="1" x14ac:dyDescent="0.2">
      <c r="A51" s="75"/>
      <c r="B51" s="76"/>
      <c r="C51" s="77"/>
      <c r="D51" s="99"/>
      <c r="E51" s="100"/>
      <c r="F51" s="77"/>
      <c r="G51" s="2774"/>
      <c r="H51" s="2777"/>
      <c r="I51" s="2779"/>
      <c r="J51" s="2781"/>
      <c r="K51" s="2782"/>
      <c r="L51" s="2782"/>
      <c r="M51" s="2768"/>
      <c r="N51" s="2584"/>
      <c r="O51" s="2742"/>
      <c r="P51" s="2761"/>
      <c r="Q51" s="2763"/>
      <c r="R51" s="2708"/>
      <c r="S51" s="2708"/>
      <c r="T51" s="68" t="s">
        <v>138</v>
      </c>
      <c r="U51" s="2294">
        <v>0</v>
      </c>
      <c r="V51" s="2292"/>
      <c r="W51" s="2292"/>
      <c r="X51" s="69">
        <v>88</v>
      </c>
      <c r="Y51" s="1998" t="s">
        <v>411</v>
      </c>
      <c r="Z51" s="2739"/>
      <c r="AA51" s="2739"/>
      <c r="AB51" s="2739"/>
      <c r="AC51" s="2739"/>
      <c r="AD51" s="2739"/>
      <c r="AE51" s="2739"/>
      <c r="AF51" s="2739"/>
      <c r="AG51" s="2739"/>
      <c r="AH51" s="2739"/>
      <c r="AI51" s="2739"/>
      <c r="AJ51" s="2739"/>
      <c r="AK51" s="2739"/>
      <c r="AL51" s="2739"/>
      <c r="AM51" s="2739"/>
      <c r="AN51" s="2739"/>
      <c r="AO51" s="2739"/>
      <c r="AP51" s="2739"/>
      <c r="AQ51" s="2739"/>
      <c r="AR51" s="2739"/>
      <c r="AS51" s="2739"/>
      <c r="AT51" s="2739"/>
      <c r="AU51" s="2739"/>
      <c r="AV51" s="2790"/>
      <c r="AW51" s="2739"/>
      <c r="AX51" s="2739"/>
      <c r="AY51" s="2739"/>
      <c r="AZ51" s="2739"/>
      <c r="BA51" s="2739"/>
      <c r="BB51" s="2739"/>
      <c r="BC51" s="2739"/>
      <c r="BD51" s="2739"/>
      <c r="BE51" s="2739"/>
      <c r="BF51" s="2739"/>
      <c r="BG51" s="2758"/>
      <c r="BH51" s="2758"/>
      <c r="BI51" s="2588"/>
      <c r="BJ51" s="2616"/>
      <c r="BK51" s="2616"/>
      <c r="BL51" s="2754"/>
      <c r="BM51" s="2754"/>
      <c r="BN51" s="2632"/>
      <c r="BO51" s="2632"/>
      <c r="BP51" s="2739"/>
    </row>
    <row r="52" spans="1:68" s="3" customFormat="1" ht="64.5" customHeight="1" x14ac:dyDescent="0.2">
      <c r="A52" s="75"/>
      <c r="B52" s="76"/>
      <c r="C52" s="77"/>
      <c r="D52" s="99"/>
      <c r="E52" s="100"/>
      <c r="F52" s="77"/>
      <c r="G52" s="2775"/>
      <c r="H52" s="2777"/>
      <c r="I52" s="2779"/>
      <c r="J52" s="2781"/>
      <c r="K52" s="2783"/>
      <c r="L52" s="2783"/>
      <c r="M52" s="2769"/>
      <c r="N52" s="2720"/>
      <c r="O52" s="2743"/>
      <c r="P52" s="2770"/>
      <c r="Q52" s="2771"/>
      <c r="R52" s="2772"/>
      <c r="S52" s="2772"/>
      <c r="T52" s="104" t="s">
        <v>139</v>
      </c>
      <c r="U52" s="2295">
        <v>984666</v>
      </c>
      <c r="V52" s="2295">
        <v>984666</v>
      </c>
      <c r="W52" s="2295">
        <v>984666</v>
      </c>
      <c r="X52" s="97">
        <v>20</v>
      </c>
      <c r="Y52" s="1998" t="s">
        <v>85</v>
      </c>
      <c r="Z52" s="2740"/>
      <c r="AA52" s="2740"/>
      <c r="AB52" s="2740"/>
      <c r="AC52" s="2740"/>
      <c r="AD52" s="2740"/>
      <c r="AE52" s="2740"/>
      <c r="AF52" s="2740"/>
      <c r="AG52" s="2740"/>
      <c r="AH52" s="2740"/>
      <c r="AI52" s="2740"/>
      <c r="AJ52" s="2740"/>
      <c r="AK52" s="2740"/>
      <c r="AL52" s="2740"/>
      <c r="AM52" s="2740"/>
      <c r="AN52" s="2740"/>
      <c r="AO52" s="2740"/>
      <c r="AP52" s="2740"/>
      <c r="AQ52" s="2740"/>
      <c r="AR52" s="2740"/>
      <c r="AS52" s="2740"/>
      <c r="AT52" s="2740"/>
      <c r="AU52" s="2740"/>
      <c r="AV52" s="2791"/>
      <c r="AW52" s="2740"/>
      <c r="AX52" s="2740"/>
      <c r="AY52" s="2740"/>
      <c r="AZ52" s="2740"/>
      <c r="BA52" s="2740"/>
      <c r="BB52" s="2740"/>
      <c r="BC52" s="2740"/>
      <c r="BD52" s="2740"/>
      <c r="BE52" s="2740"/>
      <c r="BF52" s="2740"/>
      <c r="BG52" s="2759"/>
      <c r="BH52" s="2759"/>
      <c r="BI52" s="2744"/>
      <c r="BJ52" s="2752"/>
      <c r="BK52" s="2752"/>
      <c r="BL52" s="2755"/>
      <c r="BM52" s="2755"/>
      <c r="BN52" s="2756"/>
      <c r="BO52" s="2756"/>
      <c r="BP52" s="2740"/>
    </row>
    <row r="53" spans="1:68" s="3" customFormat="1" ht="70.5" customHeight="1" x14ac:dyDescent="0.2">
      <c r="A53" s="75"/>
      <c r="B53" s="76"/>
      <c r="C53" s="77"/>
      <c r="D53" s="99"/>
      <c r="E53" s="100"/>
      <c r="F53" s="77"/>
      <c r="G53" s="2773" t="s">
        <v>64</v>
      </c>
      <c r="H53" s="2620" t="s">
        <v>140</v>
      </c>
      <c r="I53" s="2787" t="s">
        <v>141</v>
      </c>
      <c r="J53" s="2608" t="s">
        <v>142</v>
      </c>
      <c r="K53" s="2625">
        <v>1</v>
      </c>
      <c r="L53" s="2625">
        <v>1</v>
      </c>
      <c r="M53" s="2792" t="s">
        <v>143</v>
      </c>
      <c r="N53" s="2793" t="s">
        <v>144</v>
      </c>
      <c r="O53" s="2608" t="s">
        <v>145</v>
      </c>
      <c r="P53" s="2587">
        <f>SUM(U53:U70)/Q53</f>
        <v>1</v>
      </c>
      <c r="Q53" s="2796">
        <f>SUM(U53:U70)</f>
        <v>148786666</v>
      </c>
      <c r="R53" s="2608" t="s">
        <v>146</v>
      </c>
      <c r="S53" s="2608" t="s">
        <v>147</v>
      </c>
      <c r="T53" s="105" t="s">
        <v>148</v>
      </c>
      <c r="U53" s="2295">
        <v>12000000</v>
      </c>
      <c r="V53" s="2295">
        <v>10000000</v>
      </c>
      <c r="W53" s="2295">
        <f>V53</f>
        <v>10000000</v>
      </c>
      <c r="X53" s="69">
        <v>88</v>
      </c>
      <c r="Y53" s="1998" t="s">
        <v>411</v>
      </c>
      <c r="Z53" s="2738">
        <v>295972</v>
      </c>
      <c r="AA53" s="2738">
        <f>Z53</f>
        <v>295972</v>
      </c>
      <c r="AB53" s="2738">
        <v>285580</v>
      </c>
      <c r="AC53" s="2738">
        <f>AB53</f>
        <v>285580</v>
      </c>
      <c r="AD53" s="2738">
        <v>135545</v>
      </c>
      <c r="AE53" s="2738">
        <f>AD53</f>
        <v>135545</v>
      </c>
      <c r="AF53" s="2738">
        <v>44254</v>
      </c>
      <c r="AG53" s="2738">
        <f>AF53</f>
        <v>44254</v>
      </c>
      <c r="AH53" s="2738">
        <v>309146</v>
      </c>
      <c r="AI53" s="2738">
        <f>AH53</f>
        <v>309146</v>
      </c>
      <c r="AJ53" s="2738">
        <v>92607</v>
      </c>
      <c r="AK53" s="2738">
        <f>AJ53</f>
        <v>92607</v>
      </c>
      <c r="AL53" s="2738">
        <v>2145</v>
      </c>
      <c r="AM53" s="2738">
        <f>AL53</f>
        <v>2145</v>
      </c>
      <c r="AN53" s="2738">
        <v>12718</v>
      </c>
      <c r="AO53" s="2738">
        <f>AN53</f>
        <v>12718</v>
      </c>
      <c r="AP53" s="2738">
        <v>26</v>
      </c>
      <c r="AQ53" s="2738">
        <f>AP53</f>
        <v>26</v>
      </c>
      <c r="AR53" s="2738">
        <v>37</v>
      </c>
      <c r="AS53" s="2738">
        <f>AR53</f>
        <v>37</v>
      </c>
      <c r="AT53" s="2738">
        <v>0</v>
      </c>
      <c r="AU53" s="2738">
        <f>AT53</f>
        <v>0</v>
      </c>
      <c r="AV53" s="2738">
        <v>0</v>
      </c>
      <c r="AW53" s="2738">
        <f>AV53</f>
        <v>0</v>
      </c>
      <c r="AX53" s="2738">
        <v>44350</v>
      </c>
      <c r="AY53" s="2738">
        <f>AX53</f>
        <v>44350</v>
      </c>
      <c r="AZ53" s="2738">
        <v>21944</v>
      </c>
      <c r="BA53" s="2738">
        <f>AZ53</f>
        <v>21944</v>
      </c>
      <c r="BB53" s="2738">
        <v>75687</v>
      </c>
      <c r="BC53" s="2738">
        <f>BB53</f>
        <v>75687</v>
      </c>
      <c r="BD53" s="2738">
        <v>581552</v>
      </c>
      <c r="BE53" s="2738">
        <f>BD53</f>
        <v>581552</v>
      </c>
      <c r="BF53" s="2738">
        <v>14</v>
      </c>
      <c r="BG53" s="2757">
        <f>SUM(V53:V70)</f>
        <v>143693333</v>
      </c>
      <c r="BH53" s="2757">
        <f>SUM(W53:W70)</f>
        <v>143693333</v>
      </c>
      <c r="BI53" s="2587">
        <f>BH53/BG53</f>
        <v>1</v>
      </c>
      <c r="BJ53" s="2615" t="s">
        <v>75</v>
      </c>
      <c r="BK53" s="2615" t="s">
        <v>149</v>
      </c>
      <c r="BL53" s="2753">
        <v>43854</v>
      </c>
      <c r="BM53" s="2753">
        <v>43857</v>
      </c>
      <c r="BN53" s="2631">
        <v>44195</v>
      </c>
      <c r="BO53" s="2631">
        <v>44193</v>
      </c>
      <c r="BP53" s="2738" t="s">
        <v>77</v>
      </c>
    </row>
    <row r="54" spans="1:68" s="3" customFormat="1" ht="70.5" customHeight="1" x14ac:dyDescent="0.2">
      <c r="A54" s="75"/>
      <c r="B54" s="76"/>
      <c r="C54" s="77"/>
      <c r="D54" s="99"/>
      <c r="E54" s="100"/>
      <c r="F54" s="77"/>
      <c r="G54" s="2774"/>
      <c r="H54" s="2620"/>
      <c r="I54" s="2787"/>
      <c r="J54" s="2608"/>
      <c r="K54" s="2625"/>
      <c r="L54" s="2625"/>
      <c r="M54" s="2792"/>
      <c r="N54" s="2794"/>
      <c r="O54" s="2608"/>
      <c r="P54" s="2588"/>
      <c r="Q54" s="2797"/>
      <c r="R54" s="2608"/>
      <c r="S54" s="2608"/>
      <c r="T54" s="2803" t="s">
        <v>150</v>
      </c>
      <c r="U54" s="2295">
        <v>7350000</v>
      </c>
      <c r="V54" s="2295">
        <v>7350000</v>
      </c>
      <c r="W54" s="2295">
        <v>7350000</v>
      </c>
      <c r="X54" s="97">
        <v>20</v>
      </c>
      <c r="Y54" s="1998" t="s">
        <v>85</v>
      </c>
      <c r="Z54" s="2739"/>
      <c r="AA54" s="2739"/>
      <c r="AB54" s="2739"/>
      <c r="AC54" s="2739"/>
      <c r="AD54" s="2739"/>
      <c r="AE54" s="2739"/>
      <c r="AF54" s="2739"/>
      <c r="AG54" s="2739"/>
      <c r="AH54" s="2739"/>
      <c r="AI54" s="2739"/>
      <c r="AJ54" s="2739"/>
      <c r="AK54" s="2739"/>
      <c r="AL54" s="2739"/>
      <c r="AM54" s="2739"/>
      <c r="AN54" s="2739"/>
      <c r="AO54" s="2739"/>
      <c r="AP54" s="2739"/>
      <c r="AQ54" s="2739"/>
      <c r="AR54" s="2739"/>
      <c r="AS54" s="2739"/>
      <c r="AT54" s="2739"/>
      <c r="AU54" s="2739"/>
      <c r="AV54" s="2739"/>
      <c r="AW54" s="2739"/>
      <c r="AX54" s="2739"/>
      <c r="AY54" s="2739"/>
      <c r="AZ54" s="2739"/>
      <c r="BA54" s="2739"/>
      <c r="BB54" s="2739"/>
      <c r="BC54" s="2739"/>
      <c r="BD54" s="2739"/>
      <c r="BE54" s="2739"/>
      <c r="BF54" s="2739"/>
      <c r="BG54" s="2758"/>
      <c r="BH54" s="2758"/>
      <c r="BI54" s="2588"/>
      <c r="BJ54" s="2616"/>
      <c r="BK54" s="2616"/>
      <c r="BL54" s="2754"/>
      <c r="BM54" s="2754"/>
      <c r="BN54" s="2632"/>
      <c r="BO54" s="2632"/>
      <c r="BP54" s="2739"/>
    </row>
    <row r="55" spans="1:68" s="3" customFormat="1" ht="70.5" customHeight="1" x14ac:dyDescent="0.2">
      <c r="A55" s="75"/>
      <c r="B55" s="76"/>
      <c r="C55" s="77"/>
      <c r="D55" s="99"/>
      <c r="E55" s="100"/>
      <c r="F55" s="77"/>
      <c r="G55" s="2774"/>
      <c r="H55" s="2620"/>
      <c r="I55" s="2698"/>
      <c r="J55" s="2608"/>
      <c r="K55" s="2625"/>
      <c r="L55" s="2625"/>
      <c r="M55" s="2792"/>
      <c r="N55" s="2794"/>
      <c r="O55" s="2608"/>
      <c r="P55" s="2588"/>
      <c r="Q55" s="2797"/>
      <c r="R55" s="2608"/>
      <c r="S55" s="2608"/>
      <c r="T55" s="2804"/>
      <c r="U55" s="2296">
        <f>15750000+1500000</f>
        <v>17250000</v>
      </c>
      <c r="V55" s="2297">
        <v>17156667</v>
      </c>
      <c r="W55" s="2297">
        <f>V55</f>
        <v>17156667</v>
      </c>
      <c r="X55" s="69">
        <v>88</v>
      </c>
      <c r="Y55" s="1998" t="s">
        <v>411</v>
      </c>
      <c r="Z55" s="2739"/>
      <c r="AA55" s="2739"/>
      <c r="AB55" s="2739"/>
      <c r="AC55" s="2739"/>
      <c r="AD55" s="2739"/>
      <c r="AE55" s="2739"/>
      <c r="AF55" s="2739"/>
      <c r="AG55" s="2739"/>
      <c r="AH55" s="2739"/>
      <c r="AI55" s="2739"/>
      <c r="AJ55" s="2739"/>
      <c r="AK55" s="2739"/>
      <c r="AL55" s="2739"/>
      <c r="AM55" s="2739"/>
      <c r="AN55" s="2739"/>
      <c r="AO55" s="2739"/>
      <c r="AP55" s="2739"/>
      <c r="AQ55" s="2739"/>
      <c r="AR55" s="2739"/>
      <c r="AS55" s="2739"/>
      <c r="AT55" s="2739"/>
      <c r="AU55" s="2739"/>
      <c r="AV55" s="2739"/>
      <c r="AW55" s="2739"/>
      <c r="AX55" s="2739"/>
      <c r="AY55" s="2739"/>
      <c r="AZ55" s="2739"/>
      <c r="BA55" s="2739"/>
      <c r="BB55" s="2739"/>
      <c r="BC55" s="2739"/>
      <c r="BD55" s="2739"/>
      <c r="BE55" s="2739"/>
      <c r="BF55" s="2739"/>
      <c r="BG55" s="2758"/>
      <c r="BH55" s="2758"/>
      <c r="BI55" s="2588"/>
      <c r="BJ55" s="2616"/>
      <c r="BK55" s="2616"/>
      <c r="BL55" s="2754"/>
      <c r="BM55" s="2754"/>
      <c r="BN55" s="2632"/>
      <c r="BO55" s="2632"/>
      <c r="BP55" s="2739"/>
    </row>
    <row r="56" spans="1:68" s="3" customFormat="1" ht="83.25" customHeight="1" x14ac:dyDescent="0.2">
      <c r="A56" s="75"/>
      <c r="B56" s="76"/>
      <c r="C56" s="77"/>
      <c r="D56" s="99"/>
      <c r="E56" s="100"/>
      <c r="F56" s="77"/>
      <c r="G56" s="2774"/>
      <c r="H56" s="2620"/>
      <c r="I56" s="2698"/>
      <c r="J56" s="2608"/>
      <c r="K56" s="2625"/>
      <c r="L56" s="2625"/>
      <c r="M56" s="2792"/>
      <c r="N56" s="2794"/>
      <c r="O56" s="2608"/>
      <c r="P56" s="2588"/>
      <c r="Q56" s="2797"/>
      <c r="R56" s="2608"/>
      <c r="S56" s="2608"/>
      <c r="T56" s="2805" t="s">
        <v>151</v>
      </c>
      <c r="U56" s="2295">
        <v>23400000</v>
      </c>
      <c r="V56" s="2297">
        <v>23400000</v>
      </c>
      <c r="W56" s="2297">
        <v>23400000</v>
      </c>
      <c r="X56" s="97">
        <v>20</v>
      </c>
      <c r="Y56" s="1998" t="s">
        <v>85</v>
      </c>
      <c r="Z56" s="2739"/>
      <c r="AA56" s="2739"/>
      <c r="AB56" s="2739"/>
      <c r="AC56" s="2739"/>
      <c r="AD56" s="2739"/>
      <c r="AE56" s="2739"/>
      <c r="AF56" s="2739"/>
      <c r="AG56" s="2739"/>
      <c r="AH56" s="2739"/>
      <c r="AI56" s="2739"/>
      <c r="AJ56" s="2739"/>
      <c r="AK56" s="2739"/>
      <c r="AL56" s="2739"/>
      <c r="AM56" s="2739"/>
      <c r="AN56" s="2739"/>
      <c r="AO56" s="2739"/>
      <c r="AP56" s="2739"/>
      <c r="AQ56" s="2739"/>
      <c r="AR56" s="2739"/>
      <c r="AS56" s="2739"/>
      <c r="AT56" s="2739"/>
      <c r="AU56" s="2739"/>
      <c r="AV56" s="2739"/>
      <c r="AW56" s="2739"/>
      <c r="AX56" s="2739"/>
      <c r="AY56" s="2739"/>
      <c r="AZ56" s="2739"/>
      <c r="BA56" s="2739"/>
      <c r="BB56" s="2739"/>
      <c r="BC56" s="2739"/>
      <c r="BD56" s="2739"/>
      <c r="BE56" s="2739"/>
      <c r="BF56" s="2739"/>
      <c r="BG56" s="2758"/>
      <c r="BH56" s="2758"/>
      <c r="BI56" s="2588"/>
      <c r="BJ56" s="2616"/>
      <c r="BK56" s="2616"/>
      <c r="BL56" s="2754"/>
      <c r="BM56" s="2754"/>
      <c r="BN56" s="2632"/>
      <c r="BO56" s="2632"/>
      <c r="BP56" s="2739"/>
    </row>
    <row r="57" spans="1:68" s="3" customFormat="1" ht="83.25" customHeight="1" x14ac:dyDescent="0.2">
      <c r="A57" s="75"/>
      <c r="B57" s="76"/>
      <c r="C57" s="77"/>
      <c r="D57" s="99"/>
      <c r="E57" s="100"/>
      <c r="F57" s="77"/>
      <c r="G57" s="2774"/>
      <c r="H57" s="2620"/>
      <c r="I57" s="2698"/>
      <c r="J57" s="2608"/>
      <c r="K57" s="2625"/>
      <c r="L57" s="2625"/>
      <c r="M57" s="2792"/>
      <c r="N57" s="2794"/>
      <c r="O57" s="2608"/>
      <c r="P57" s="2588"/>
      <c r="Q57" s="2797"/>
      <c r="R57" s="2608"/>
      <c r="S57" s="2608"/>
      <c r="T57" s="2806"/>
      <c r="U57" s="2295">
        <v>18950000</v>
      </c>
      <c r="V57" s="2297">
        <v>17620000</v>
      </c>
      <c r="W57" s="2297">
        <f>V57</f>
        <v>17620000</v>
      </c>
      <c r="X57" s="69">
        <v>88</v>
      </c>
      <c r="Y57" s="1998" t="s">
        <v>411</v>
      </c>
      <c r="Z57" s="2739"/>
      <c r="AA57" s="2739"/>
      <c r="AB57" s="2739"/>
      <c r="AC57" s="2739"/>
      <c r="AD57" s="2739"/>
      <c r="AE57" s="2739"/>
      <c r="AF57" s="2739"/>
      <c r="AG57" s="2739"/>
      <c r="AH57" s="2739"/>
      <c r="AI57" s="2739"/>
      <c r="AJ57" s="2739"/>
      <c r="AK57" s="2739"/>
      <c r="AL57" s="2739"/>
      <c r="AM57" s="2739"/>
      <c r="AN57" s="2739"/>
      <c r="AO57" s="2739"/>
      <c r="AP57" s="2739"/>
      <c r="AQ57" s="2739"/>
      <c r="AR57" s="2739"/>
      <c r="AS57" s="2739"/>
      <c r="AT57" s="2739"/>
      <c r="AU57" s="2739"/>
      <c r="AV57" s="2739"/>
      <c r="AW57" s="2739"/>
      <c r="AX57" s="2739"/>
      <c r="AY57" s="2739"/>
      <c r="AZ57" s="2739"/>
      <c r="BA57" s="2739"/>
      <c r="BB57" s="2739"/>
      <c r="BC57" s="2739"/>
      <c r="BD57" s="2739"/>
      <c r="BE57" s="2739"/>
      <c r="BF57" s="2739"/>
      <c r="BG57" s="2758"/>
      <c r="BH57" s="2758"/>
      <c r="BI57" s="2588"/>
      <c r="BJ57" s="2616"/>
      <c r="BK57" s="2616"/>
      <c r="BL57" s="2754"/>
      <c r="BM57" s="2754"/>
      <c r="BN57" s="2632"/>
      <c r="BO57" s="2632"/>
      <c r="BP57" s="2739"/>
    </row>
    <row r="58" spans="1:68" s="3" customFormat="1" ht="57.75" customHeight="1" x14ac:dyDescent="0.2">
      <c r="A58" s="75"/>
      <c r="B58" s="76"/>
      <c r="C58" s="77"/>
      <c r="D58" s="99"/>
      <c r="E58" s="100"/>
      <c r="F58" s="77"/>
      <c r="G58" s="2774"/>
      <c r="H58" s="2620"/>
      <c r="I58" s="2698"/>
      <c r="J58" s="2608"/>
      <c r="K58" s="2625"/>
      <c r="L58" s="2625"/>
      <c r="M58" s="2792"/>
      <c r="N58" s="2794"/>
      <c r="O58" s="2608"/>
      <c r="P58" s="2588"/>
      <c r="Q58" s="2797"/>
      <c r="R58" s="2608"/>
      <c r="S58" s="2608"/>
      <c r="T58" s="2807" t="s">
        <v>152</v>
      </c>
      <c r="U58" s="2298">
        <v>9583333</v>
      </c>
      <c r="V58" s="2298">
        <v>9583333</v>
      </c>
      <c r="W58" s="2298">
        <v>9583333</v>
      </c>
      <c r="X58" s="97">
        <v>20</v>
      </c>
      <c r="Y58" s="1998" t="s">
        <v>85</v>
      </c>
      <c r="Z58" s="2739"/>
      <c r="AA58" s="2739"/>
      <c r="AB58" s="2739"/>
      <c r="AC58" s="2739"/>
      <c r="AD58" s="2739"/>
      <c r="AE58" s="2739"/>
      <c r="AF58" s="2739"/>
      <c r="AG58" s="2739"/>
      <c r="AH58" s="2739"/>
      <c r="AI58" s="2739"/>
      <c r="AJ58" s="2739"/>
      <c r="AK58" s="2739"/>
      <c r="AL58" s="2739"/>
      <c r="AM58" s="2739"/>
      <c r="AN58" s="2739"/>
      <c r="AO58" s="2739"/>
      <c r="AP58" s="2739"/>
      <c r="AQ58" s="2739"/>
      <c r="AR58" s="2739"/>
      <c r="AS58" s="2739"/>
      <c r="AT58" s="2739"/>
      <c r="AU58" s="2739"/>
      <c r="AV58" s="2739"/>
      <c r="AW58" s="2739"/>
      <c r="AX58" s="2739"/>
      <c r="AY58" s="2739"/>
      <c r="AZ58" s="2739"/>
      <c r="BA58" s="2739"/>
      <c r="BB58" s="2739"/>
      <c r="BC58" s="2739"/>
      <c r="BD58" s="2739"/>
      <c r="BE58" s="2739"/>
      <c r="BF58" s="2739"/>
      <c r="BG58" s="2758"/>
      <c r="BH58" s="2758"/>
      <c r="BI58" s="2588"/>
      <c r="BJ58" s="2616"/>
      <c r="BK58" s="2616"/>
      <c r="BL58" s="2754"/>
      <c r="BM58" s="2754"/>
      <c r="BN58" s="2632"/>
      <c r="BO58" s="2632"/>
      <c r="BP58" s="2739"/>
    </row>
    <row r="59" spans="1:68" s="3" customFormat="1" ht="57.75" customHeight="1" x14ac:dyDescent="0.2">
      <c r="A59" s="75"/>
      <c r="B59" s="76"/>
      <c r="C59" s="77"/>
      <c r="D59" s="99"/>
      <c r="E59" s="100"/>
      <c r="F59" s="77"/>
      <c r="G59" s="2774"/>
      <c r="H59" s="2620"/>
      <c r="I59" s="2698"/>
      <c r="J59" s="2608"/>
      <c r="K59" s="2625"/>
      <c r="L59" s="2625"/>
      <c r="M59" s="2792"/>
      <c r="N59" s="2794"/>
      <c r="O59" s="2608"/>
      <c r="P59" s="2588"/>
      <c r="Q59" s="2797"/>
      <c r="R59" s="2608"/>
      <c r="S59" s="2608"/>
      <c r="T59" s="2808"/>
      <c r="U59" s="2298">
        <f>17416667-7950000</f>
        <v>9466667</v>
      </c>
      <c r="V59" s="2297">
        <v>8850000</v>
      </c>
      <c r="W59" s="2297">
        <f>V59</f>
        <v>8850000</v>
      </c>
      <c r="X59" s="69">
        <v>88</v>
      </c>
      <c r="Y59" s="1998" t="s">
        <v>411</v>
      </c>
      <c r="Z59" s="2739"/>
      <c r="AA59" s="2739"/>
      <c r="AB59" s="2739"/>
      <c r="AC59" s="2739"/>
      <c r="AD59" s="2739"/>
      <c r="AE59" s="2739"/>
      <c r="AF59" s="2739"/>
      <c r="AG59" s="2739"/>
      <c r="AH59" s="2739"/>
      <c r="AI59" s="2739"/>
      <c r="AJ59" s="2739"/>
      <c r="AK59" s="2739"/>
      <c r="AL59" s="2739"/>
      <c r="AM59" s="2739"/>
      <c r="AN59" s="2739"/>
      <c r="AO59" s="2739"/>
      <c r="AP59" s="2739"/>
      <c r="AQ59" s="2739"/>
      <c r="AR59" s="2739"/>
      <c r="AS59" s="2739"/>
      <c r="AT59" s="2739"/>
      <c r="AU59" s="2739"/>
      <c r="AV59" s="2739"/>
      <c r="AW59" s="2739"/>
      <c r="AX59" s="2739"/>
      <c r="AY59" s="2739"/>
      <c r="AZ59" s="2739"/>
      <c r="BA59" s="2739"/>
      <c r="BB59" s="2739"/>
      <c r="BC59" s="2739"/>
      <c r="BD59" s="2739"/>
      <c r="BE59" s="2739"/>
      <c r="BF59" s="2739"/>
      <c r="BG59" s="2758"/>
      <c r="BH59" s="2758"/>
      <c r="BI59" s="2588"/>
      <c r="BJ59" s="2616"/>
      <c r="BK59" s="2616"/>
      <c r="BL59" s="2754"/>
      <c r="BM59" s="2754"/>
      <c r="BN59" s="2632"/>
      <c r="BO59" s="2632"/>
      <c r="BP59" s="2739"/>
    </row>
    <row r="60" spans="1:68" s="3" customFormat="1" ht="70.5" customHeight="1" x14ac:dyDescent="0.2">
      <c r="A60" s="75"/>
      <c r="B60" s="76"/>
      <c r="C60" s="77"/>
      <c r="D60" s="99"/>
      <c r="E60" s="100"/>
      <c r="F60" s="77"/>
      <c r="G60" s="2774"/>
      <c r="H60" s="2620"/>
      <c r="I60" s="2698"/>
      <c r="J60" s="2608"/>
      <c r="K60" s="2625"/>
      <c r="L60" s="2625"/>
      <c r="M60" s="2792"/>
      <c r="N60" s="2794"/>
      <c r="O60" s="2608"/>
      <c r="P60" s="2588"/>
      <c r="Q60" s="2797"/>
      <c r="R60" s="2608"/>
      <c r="S60" s="2608"/>
      <c r="T60" s="2807" t="s">
        <v>153</v>
      </c>
      <c r="U60" s="2298">
        <v>9450000</v>
      </c>
      <c r="V60" s="2298">
        <v>9450000</v>
      </c>
      <c r="W60" s="2298">
        <v>9450000</v>
      </c>
      <c r="X60" s="97">
        <v>20</v>
      </c>
      <c r="Y60" s="1998" t="s">
        <v>85</v>
      </c>
      <c r="Z60" s="2739"/>
      <c r="AA60" s="2739"/>
      <c r="AB60" s="2739"/>
      <c r="AC60" s="2739"/>
      <c r="AD60" s="2739"/>
      <c r="AE60" s="2739"/>
      <c r="AF60" s="2739"/>
      <c r="AG60" s="2739"/>
      <c r="AH60" s="2739"/>
      <c r="AI60" s="2739"/>
      <c r="AJ60" s="2739"/>
      <c r="AK60" s="2739"/>
      <c r="AL60" s="2739"/>
      <c r="AM60" s="2739"/>
      <c r="AN60" s="2739"/>
      <c r="AO60" s="2739"/>
      <c r="AP60" s="2739"/>
      <c r="AQ60" s="2739"/>
      <c r="AR60" s="2739"/>
      <c r="AS60" s="2739"/>
      <c r="AT60" s="2739"/>
      <c r="AU60" s="2739"/>
      <c r="AV60" s="2739"/>
      <c r="AW60" s="2739"/>
      <c r="AX60" s="2739"/>
      <c r="AY60" s="2739"/>
      <c r="AZ60" s="2739"/>
      <c r="BA60" s="2739"/>
      <c r="BB60" s="2739"/>
      <c r="BC60" s="2739"/>
      <c r="BD60" s="2739"/>
      <c r="BE60" s="2739"/>
      <c r="BF60" s="2739"/>
      <c r="BG60" s="2758"/>
      <c r="BH60" s="2758"/>
      <c r="BI60" s="2588"/>
      <c r="BJ60" s="2616"/>
      <c r="BK60" s="2616"/>
      <c r="BL60" s="2754"/>
      <c r="BM60" s="2754"/>
      <c r="BN60" s="2632"/>
      <c r="BO60" s="2632"/>
      <c r="BP60" s="2739"/>
    </row>
    <row r="61" spans="1:68" s="3" customFormat="1" ht="70.5" customHeight="1" x14ac:dyDescent="0.2">
      <c r="A61" s="75"/>
      <c r="B61" s="76"/>
      <c r="C61" s="77"/>
      <c r="D61" s="99"/>
      <c r="E61" s="100"/>
      <c r="F61" s="77"/>
      <c r="G61" s="2774"/>
      <c r="H61" s="2620"/>
      <c r="I61" s="2698"/>
      <c r="J61" s="2608"/>
      <c r="K61" s="2625"/>
      <c r="L61" s="2625"/>
      <c r="M61" s="2792"/>
      <c r="N61" s="2794"/>
      <c r="O61" s="2608"/>
      <c r="P61" s="2588"/>
      <c r="Q61" s="2797"/>
      <c r="R61" s="2608"/>
      <c r="S61" s="2608"/>
      <c r="T61" s="2808"/>
      <c r="U61" s="2298">
        <v>12450000</v>
      </c>
      <c r="V61" s="2297">
        <v>12450000</v>
      </c>
      <c r="W61" s="2297">
        <f>V61</f>
        <v>12450000</v>
      </c>
      <c r="X61" s="69">
        <v>88</v>
      </c>
      <c r="Y61" s="1998" t="s">
        <v>411</v>
      </c>
      <c r="Z61" s="2739"/>
      <c r="AA61" s="2739"/>
      <c r="AB61" s="2739"/>
      <c r="AC61" s="2739"/>
      <c r="AD61" s="2739"/>
      <c r="AE61" s="2739"/>
      <c r="AF61" s="2739"/>
      <c r="AG61" s="2739"/>
      <c r="AH61" s="2739"/>
      <c r="AI61" s="2739"/>
      <c r="AJ61" s="2739"/>
      <c r="AK61" s="2739"/>
      <c r="AL61" s="2739"/>
      <c r="AM61" s="2739"/>
      <c r="AN61" s="2739"/>
      <c r="AO61" s="2739"/>
      <c r="AP61" s="2739"/>
      <c r="AQ61" s="2739"/>
      <c r="AR61" s="2739"/>
      <c r="AS61" s="2739"/>
      <c r="AT61" s="2739"/>
      <c r="AU61" s="2739"/>
      <c r="AV61" s="2739"/>
      <c r="AW61" s="2739"/>
      <c r="AX61" s="2739"/>
      <c r="AY61" s="2739"/>
      <c r="AZ61" s="2739"/>
      <c r="BA61" s="2739"/>
      <c r="BB61" s="2739"/>
      <c r="BC61" s="2739"/>
      <c r="BD61" s="2739"/>
      <c r="BE61" s="2739"/>
      <c r="BF61" s="2739"/>
      <c r="BG61" s="2758"/>
      <c r="BH61" s="2758"/>
      <c r="BI61" s="2588"/>
      <c r="BJ61" s="2616"/>
      <c r="BK61" s="2616"/>
      <c r="BL61" s="2754"/>
      <c r="BM61" s="2754"/>
      <c r="BN61" s="2632"/>
      <c r="BO61" s="2632"/>
      <c r="BP61" s="2739"/>
    </row>
    <row r="62" spans="1:68" s="3" customFormat="1" ht="71.25" customHeight="1" x14ac:dyDescent="0.2">
      <c r="A62" s="75"/>
      <c r="B62" s="76"/>
      <c r="C62" s="77"/>
      <c r="D62" s="99"/>
      <c r="E62" s="100"/>
      <c r="F62" s="77"/>
      <c r="G62" s="2774"/>
      <c r="H62" s="2620"/>
      <c r="I62" s="2698"/>
      <c r="J62" s="2608"/>
      <c r="K62" s="2625"/>
      <c r="L62" s="2625"/>
      <c r="M62" s="2792"/>
      <c r="N62" s="2794"/>
      <c r="O62" s="2608"/>
      <c r="P62" s="2588"/>
      <c r="Q62" s="2797"/>
      <c r="R62" s="2608"/>
      <c r="S62" s="2608"/>
      <c r="T62" s="2807" t="s">
        <v>154</v>
      </c>
      <c r="U62" s="2298">
        <v>6393333</v>
      </c>
      <c r="V62" s="2298">
        <v>6393333</v>
      </c>
      <c r="W62" s="2298">
        <v>6393333</v>
      </c>
      <c r="X62" s="97">
        <v>20</v>
      </c>
      <c r="Y62" s="1998" t="s">
        <v>85</v>
      </c>
      <c r="Z62" s="2739"/>
      <c r="AA62" s="2739"/>
      <c r="AB62" s="2739"/>
      <c r="AC62" s="2739"/>
      <c r="AD62" s="2739"/>
      <c r="AE62" s="2739"/>
      <c r="AF62" s="2739"/>
      <c r="AG62" s="2739"/>
      <c r="AH62" s="2739"/>
      <c r="AI62" s="2739"/>
      <c r="AJ62" s="2739"/>
      <c r="AK62" s="2739"/>
      <c r="AL62" s="2739"/>
      <c r="AM62" s="2739"/>
      <c r="AN62" s="2739"/>
      <c r="AO62" s="2739"/>
      <c r="AP62" s="2739"/>
      <c r="AQ62" s="2739"/>
      <c r="AR62" s="2739"/>
      <c r="AS62" s="2739"/>
      <c r="AT62" s="2739"/>
      <c r="AU62" s="2739"/>
      <c r="AV62" s="2739"/>
      <c r="AW62" s="2739"/>
      <c r="AX62" s="2739"/>
      <c r="AY62" s="2739"/>
      <c r="AZ62" s="2739"/>
      <c r="BA62" s="2739"/>
      <c r="BB62" s="2739"/>
      <c r="BC62" s="2739"/>
      <c r="BD62" s="2739"/>
      <c r="BE62" s="2739"/>
      <c r="BF62" s="2739"/>
      <c r="BG62" s="2758"/>
      <c r="BH62" s="2758"/>
      <c r="BI62" s="2588"/>
      <c r="BJ62" s="2616"/>
      <c r="BK62" s="2616"/>
      <c r="BL62" s="2754"/>
      <c r="BM62" s="2754"/>
      <c r="BN62" s="2632"/>
      <c r="BO62" s="2632"/>
      <c r="BP62" s="2739"/>
    </row>
    <row r="63" spans="1:68" s="3" customFormat="1" ht="71.25" customHeight="1" x14ac:dyDescent="0.2">
      <c r="A63" s="75"/>
      <c r="B63" s="76"/>
      <c r="C63" s="77"/>
      <c r="D63" s="99"/>
      <c r="E63" s="100"/>
      <c r="F63" s="77"/>
      <c r="G63" s="2774"/>
      <c r="H63" s="2620"/>
      <c r="I63" s="2698"/>
      <c r="J63" s="2608"/>
      <c r="K63" s="2625"/>
      <c r="L63" s="2625"/>
      <c r="M63" s="2792"/>
      <c r="N63" s="2794"/>
      <c r="O63" s="2608"/>
      <c r="P63" s="2588"/>
      <c r="Q63" s="2797"/>
      <c r="R63" s="2608"/>
      <c r="S63" s="2608"/>
      <c r="T63" s="2808"/>
      <c r="U63" s="2298">
        <f>11726667-5520000</f>
        <v>6206667</v>
      </c>
      <c r="V63" s="2297">
        <v>6150000</v>
      </c>
      <c r="W63" s="2297">
        <f>V63</f>
        <v>6150000</v>
      </c>
      <c r="X63" s="69">
        <v>88</v>
      </c>
      <c r="Y63" s="1998" t="s">
        <v>411</v>
      </c>
      <c r="Z63" s="2739"/>
      <c r="AA63" s="2739"/>
      <c r="AB63" s="2739"/>
      <c r="AC63" s="2739"/>
      <c r="AD63" s="2739"/>
      <c r="AE63" s="2739"/>
      <c r="AF63" s="2739"/>
      <c r="AG63" s="2739"/>
      <c r="AH63" s="2739"/>
      <c r="AI63" s="2739"/>
      <c r="AJ63" s="2739"/>
      <c r="AK63" s="2739"/>
      <c r="AL63" s="2739"/>
      <c r="AM63" s="2739"/>
      <c r="AN63" s="2739"/>
      <c r="AO63" s="2739"/>
      <c r="AP63" s="2739"/>
      <c r="AQ63" s="2739"/>
      <c r="AR63" s="2739"/>
      <c r="AS63" s="2739"/>
      <c r="AT63" s="2739"/>
      <c r="AU63" s="2739"/>
      <c r="AV63" s="2739"/>
      <c r="AW63" s="2739"/>
      <c r="AX63" s="2739"/>
      <c r="AY63" s="2739"/>
      <c r="AZ63" s="2739"/>
      <c r="BA63" s="2739"/>
      <c r="BB63" s="2739"/>
      <c r="BC63" s="2739"/>
      <c r="BD63" s="2739"/>
      <c r="BE63" s="2739"/>
      <c r="BF63" s="2739"/>
      <c r="BG63" s="2758"/>
      <c r="BH63" s="2758"/>
      <c r="BI63" s="2588"/>
      <c r="BJ63" s="2616"/>
      <c r="BK63" s="2616"/>
      <c r="BL63" s="2754"/>
      <c r="BM63" s="2754"/>
      <c r="BN63" s="2632"/>
      <c r="BO63" s="2632"/>
      <c r="BP63" s="2739"/>
    </row>
    <row r="64" spans="1:68" s="3" customFormat="1" ht="67.5" customHeight="1" x14ac:dyDescent="0.2">
      <c r="A64" s="75"/>
      <c r="B64" s="76"/>
      <c r="C64" s="77"/>
      <c r="D64" s="99"/>
      <c r="E64" s="100"/>
      <c r="F64" s="77"/>
      <c r="G64" s="2774"/>
      <c r="H64" s="2620"/>
      <c r="I64" s="2698"/>
      <c r="J64" s="2608"/>
      <c r="K64" s="2625"/>
      <c r="L64" s="2625"/>
      <c r="M64" s="2792"/>
      <c r="N64" s="2794"/>
      <c r="O64" s="2608"/>
      <c r="P64" s="2588"/>
      <c r="Q64" s="2797"/>
      <c r="R64" s="2608"/>
      <c r="S64" s="2608"/>
      <c r="T64" s="2807" t="s">
        <v>155</v>
      </c>
      <c r="U64" s="2298">
        <v>2550000</v>
      </c>
      <c r="V64" s="2298">
        <v>2550000</v>
      </c>
      <c r="W64" s="2298">
        <v>2550000</v>
      </c>
      <c r="X64" s="97">
        <v>20</v>
      </c>
      <c r="Y64" s="1998" t="s">
        <v>85</v>
      </c>
      <c r="Z64" s="2739"/>
      <c r="AA64" s="2739"/>
      <c r="AB64" s="2739"/>
      <c r="AC64" s="2739"/>
      <c r="AD64" s="2739"/>
      <c r="AE64" s="2739"/>
      <c r="AF64" s="2739"/>
      <c r="AG64" s="2739"/>
      <c r="AH64" s="2739"/>
      <c r="AI64" s="2739"/>
      <c r="AJ64" s="2739"/>
      <c r="AK64" s="2739"/>
      <c r="AL64" s="2739"/>
      <c r="AM64" s="2739"/>
      <c r="AN64" s="2739"/>
      <c r="AO64" s="2739"/>
      <c r="AP64" s="2739"/>
      <c r="AQ64" s="2739"/>
      <c r="AR64" s="2739"/>
      <c r="AS64" s="2739"/>
      <c r="AT64" s="2739"/>
      <c r="AU64" s="2739"/>
      <c r="AV64" s="2739"/>
      <c r="AW64" s="2739"/>
      <c r="AX64" s="2739"/>
      <c r="AY64" s="2739"/>
      <c r="AZ64" s="2739"/>
      <c r="BA64" s="2739"/>
      <c r="BB64" s="2739"/>
      <c r="BC64" s="2739"/>
      <c r="BD64" s="2739"/>
      <c r="BE64" s="2739"/>
      <c r="BF64" s="2739"/>
      <c r="BG64" s="2758"/>
      <c r="BH64" s="2758"/>
      <c r="BI64" s="2588"/>
      <c r="BJ64" s="2616"/>
      <c r="BK64" s="2616"/>
      <c r="BL64" s="2754"/>
      <c r="BM64" s="2754"/>
      <c r="BN64" s="2632"/>
      <c r="BO64" s="2632"/>
      <c r="BP64" s="2739"/>
    </row>
    <row r="65" spans="1:68" s="3" customFormat="1" ht="67.5" customHeight="1" x14ac:dyDescent="0.2">
      <c r="A65" s="75"/>
      <c r="B65" s="76"/>
      <c r="C65" s="77"/>
      <c r="D65" s="99"/>
      <c r="E65" s="100"/>
      <c r="F65" s="77"/>
      <c r="G65" s="2774"/>
      <c r="H65" s="2620"/>
      <c r="I65" s="2698"/>
      <c r="J65" s="2608"/>
      <c r="K65" s="2625"/>
      <c r="L65" s="2625"/>
      <c r="M65" s="2792"/>
      <c r="N65" s="2794"/>
      <c r="O65" s="2608"/>
      <c r="P65" s="2588"/>
      <c r="Q65" s="2797"/>
      <c r="R65" s="2608"/>
      <c r="S65" s="2608"/>
      <c r="T65" s="2808"/>
      <c r="U65" s="2298">
        <v>4500000</v>
      </c>
      <c r="V65" s="2297">
        <v>4500000</v>
      </c>
      <c r="W65" s="2297">
        <f>V65</f>
        <v>4500000</v>
      </c>
      <c r="X65" s="69">
        <v>88</v>
      </c>
      <c r="Y65" s="1998" t="s">
        <v>411</v>
      </c>
      <c r="Z65" s="2739"/>
      <c r="AA65" s="2739"/>
      <c r="AB65" s="2739"/>
      <c r="AC65" s="2739"/>
      <c r="AD65" s="2739"/>
      <c r="AE65" s="2739"/>
      <c r="AF65" s="2739"/>
      <c r="AG65" s="2739"/>
      <c r="AH65" s="2739"/>
      <c r="AI65" s="2739"/>
      <c r="AJ65" s="2739"/>
      <c r="AK65" s="2739"/>
      <c r="AL65" s="2739"/>
      <c r="AM65" s="2739"/>
      <c r="AN65" s="2739"/>
      <c r="AO65" s="2739"/>
      <c r="AP65" s="2739"/>
      <c r="AQ65" s="2739"/>
      <c r="AR65" s="2739"/>
      <c r="AS65" s="2739"/>
      <c r="AT65" s="2739"/>
      <c r="AU65" s="2739"/>
      <c r="AV65" s="2739"/>
      <c r="AW65" s="2739"/>
      <c r="AX65" s="2739"/>
      <c r="AY65" s="2739"/>
      <c r="AZ65" s="2739"/>
      <c r="BA65" s="2739"/>
      <c r="BB65" s="2739"/>
      <c r="BC65" s="2739"/>
      <c r="BD65" s="2739"/>
      <c r="BE65" s="2739"/>
      <c r="BF65" s="2739"/>
      <c r="BG65" s="2758"/>
      <c r="BH65" s="2758"/>
      <c r="BI65" s="2588"/>
      <c r="BJ65" s="2616"/>
      <c r="BK65" s="2616"/>
      <c r="BL65" s="2754"/>
      <c r="BM65" s="2754"/>
      <c r="BN65" s="2632"/>
      <c r="BO65" s="2632"/>
      <c r="BP65" s="2739"/>
    </row>
    <row r="66" spans="1:68" s="3" customFormat="1" ht="94.5" customHeight="1" x14ac:dyDescent="0.2">
      <c r="A66" s="75"/>
      <c r="B66" s="76"/>
      <c r="C66" s="77"/>
      <c r="D66" s="99"/>
      <c r="E66" s="100"/>
      <c r="F66" s="77"/>
      <c r="G66" s="2774"/>
      <c r="H66" s="2620"/>
      <c r="I66" s="2698"/>
      <c r="J66" s="2608"/>
      <c r="K66" s="2625"/>
      <c r="L66" s="2625"/>
      <c r="M66" s="2792"/>
      <c r="N66" s="2794"/>
      <c r="O66" s="2608"/>
      <c r="P66" s="2588"/>
      <c r="Q66" s="2797"/>
      <c r="R66" s="2608"/>
      <c r="S66" s="2608"/>
      <c r="T66" s="106" t="s">
        <v>156</v>
      </c>
      <c r="U66" s="2298">
        <v>4516666</v>
      </c>
      <c r="V66" s="2297">
        <v>4280000</v>
      </c>
      <c r="W66" s="2297">
        <f>V66</f>
        <v>4280000</v>
      </c>
      <c r="X66" s="69">
        <v>88</v>
      </c>
      <c r="Y66" s="1998" t="s">
        <v>411</v>
      </c>
      <c r="Z66" s="2739"/>
      <c r="AA66" s="2739"/>
      <c r="AB66" s="2739"/>
      <c r="AC66" s="2739"/>
      <c r="AD66" s="2739"/>
      <c r="AE66" s="2739"/>
      <c r="AF66" s="2739"/>
      <c r="AG66" s="2739"/>
      <c r="AH66" s="2739"/>
      <c r="AI66" s="2739"/>
      <c r="AJ66" s="2739"/>
      <c r="AK66" s="2739"/>
      <c r="AL66" s="2739"/>
      <c r="AM66" s="2739"/>
      <c r="AN66" s="2739"/>
      <c r="AO66" s="2739"/>
      <c r="AP66" s="2739"/>
      <c r="AQ66" s="2739"/>
      <c r="AR66" s="2739"/>
      <c r="AS66" s="2739"/>
      <c r="AT66" s="2739"/>
      <c r="AU66" s="2739"/>
      <c r="AV66" s="2739"/>
      <c r="AW66" s="2739"/>
      <c r="AX66" s="2739"/>
      <c r="AY66" s="2739"/>
      <c r="AZ66" s="2739"/>
      <c r="BA66" s="2739"/>
      <c r="BB66" s="2739"/>
      <c r="BC66" s="2739"/>
      <c r="BD66" s="2739"/>
      <c r="BE66" s="2739"/>
      <c r="BF66" s="2739"/>
      <c r="BG66" s="2758"/>
      <c r="BH66" s="2758"/>
      <c r="BI66" s="2588"/>
      <c r="BJ66" s="2616"/>
      <c r="BK66" s="2616"/>
      <c r="BL66" s="2754"/>
      <c r="BM66" s="2754"/>
      <c r="BN66" s="2632"/>
      <c r="BO66" s="2632"/>
      <c r="BP66" s="2739"/>
    </row>
    <row r="67" spans="1:68" s="3" customFormat="1" ht="70.5" customHeight="1" x14ac:dyDescent="0.2">
      <c r="A67" s="75"/>
      <c r="B67" s="76"/>
      <c r="C67" s="77"/>
      <c r="D67" s="99"/>
      <c r="E67" s="100"/>
      <c r="F67" s="77"/>
      <c r="G67" s="2774"/>
      <c r="H67" s="2620"/>
      <c r="I67" s="2698"/>
      <c r="J67" s="2608"/>
      <c r="K67" s="2625"/>
      <c r="L67" s="2625"/>
      <c r="M67" s="2792"/>
      <c r="N67" s="2794"/>
      <c r="O67" s="2608"/>
      <c r="P67" s="2588"/>
      <c r="Q67" s="2797"/>
      <c r="R67" s="2608"/>
      <c r="S67" s="2608"/>
      <c r="T67" s="2809" t="s">
        <v>157</v>
      </c>
      <c r="U67" s="2297">
        <v>1600000</v>
      </c>
      <c r="V67" s="2298">
        <v>1600000</v>
      </c>
      <c r="W67" s="2298">
        <v>1600000</v>
      </c>
      <c r="X67" s="97">
        <v>20</v>
      </c>
      <c r="Y67" s="1998" t="s">
        <v>85</v>
      </c>
      <c r="Z67" s="2739"/>
      <c r="AA67" s="2739"/>
      <c r="AB67" s="2739"/>
      <c r="AC67" s="2739"/>
      <c r="AD67" s="2739"/>
      <c r="AE67" s="2739"/>
      <c r="AF67" s="2739"/>
      <c r="AG67" s="2739"/>
      <c r="AH67" s="2739"/>
      <c r="AI67" s="2739"/>
      <c r="AJ67" s="2739"/>
      <c r="AK67" s="2739"/>
      <c r="AL67" s="2739"/>
      <c r="AM67" s="2739"/>
      <c r="AN67" s="2739"/>
      <c r="AO67" s="2739"/>
      <c r="AP67" s="2739"/>
      <c r="AQ67" s="2739"/>
      <c r="AR67" s="2739"/>
      <c r="AS67" s="2739"/>
      <c r="AT67" s="2739"/>
      <c r="AU67" s="2739"/>
      <c r="AV67" s="2739"/>
      <c r="AW67" s="2739"/>
      <c r="AX67" s="2739"/>
      <c r="AY67" s="2739"/>
      <c r="AZ67" s="2739"/>
      <c r="BA67" s="2739"/>
      <c r="BB67" s="2739"/>
      <c r="BC67" s="2739"/>
      <c r="BD67" s="2739"/>
      <c r="BE67" s="2739"/>
      <c r="BF67" s="2739"/>
      <c r="BG67" s="2758"/>
      <c r="BH67" s="2758"/>
      <c r="BI67" s="2588"/>
      <c r="BJ67" s="2616"/>
      <c r="BK67" s="2616"/>
      <c r="BL67" s="2754"/>
      <c r="BM67" s="2754"/>
      <c r="BN67" s="2632"/>
      <c r="BO67" s="2632"/>
      <c r="BP67" s="2739"/>
    </row>
    <row r="68" spans="1:68" s="3" customFormat="1" ht="70.5" customHeight="1" x14ac:dyDescent="0.2">
      <c r="A68" s="75"/>
      <c r="B68" s="76"/>
      <c r="C68" s="77"/>
      <c r="D68" s="99"/>
      <c r="E68" s="100"/>
      <c r="F68" s="77"/>
      <c r="G68" s="2774"/>
      <c r="H68" s="2620"/>
      <c r="I68" s="2698"/>
      <c r="J68" s="2608"/>
      <c r="K68" s="2625"/>
      <c r="L68" s="2625"/>
      <c r="M68" s="2792"/>
      <c r="N68" s="2794"/>
      <c r="O68" s="2608"/>
      <c r="P68" s="2588"/>
      <c r="Q68" s="2797"/>
      <c r="R68" s="2608"/>
      <c r="S68" s="2608"/>
      <c r="T68" s="2809"/>
      <c r="U68" s="2297">
        <v>1600000</v>
      </c>
      <c r="V68" s="2297">
        <v>900000</v>
      </c>
      <c r="W68" s="2297">
        <v>900000</v>
      </c>
      <c r="X68" s="69">
        <v>88</v>
      </c>
      <c r="Y68" s="1998" t="s">
        <v>411</v>
      </c>
      <c r="Z68" s="2739"/>
      <c r="AA68" s="2739"/>
      <c r="AB68" s="2739"/>
      <c r="AC68" s="2739"/>
      <c r="AD68" s="2739"/>
      <c r="AE68" s="2739"/>
      <c r="AF68" s="2739"/>
      <c r="AG68" s="2739"/>
      <c r="AH68" s="2739"/>
      <c r="AI68" s="2739"/>
      <c r="AJ68" s="2739"/>
      <c r="AK68" s="2739"/>
      <c r="AL68" s="2739"/>
      <c r="AM68" s="2739"/>
      <c r="AN68" s="2739"/>
      <c r="AO68" s="2739"/>
      <c r="AP68" s="2739"/>
      <c r="AQ68" s="2739"/>
      <c r="AR68" s="2739"/>
      <c r="AS68" s="2739"/>
      <c r="AT68" s="2739"/>
      <c r="AU68" s="2739"/>
      <c r="AV68" s="2739"/>
      <c r="AW68" s="2739"/>
      <c r="AX68" s="2739"/>
      <c r="AY68" s="2739"/>
      <c r="AZ68" s="2739"/>
      <c r="BA68" s="2739"/>
      <c r="BB68" s="2739"/>
      <c r="BC68" s="2739"/>
      <c r="BD68" s="2739"/>
      <c r="BE68" s="2739"/>
      <c r="BF68" s="2739"/>
      <c r="BG68" s="2758"/>
      <c r="BH68" s="2758"/>
      <c r="BI68" s="2588"/>
      <c r="BJ68" s="2616"/>
      <c r="BK68" s="2616"/>
      <c r="BL68" s="2754"/>
      <c r="BM68" s="2754"/>
      <c r="BN68" s="2632"/>
      <c r="BO68" s="2632"/>
      <c r="BP68" s="2739"/>
    </row>
    <row r="69" spans="1:68" s="3" customFormat="1" ht="50.25" customHeight="1" x14ac:dyDescent="0.2">
      <c r="A69" s="75"/>
      <c r="B69" s="76"/>
      <c r="C69" s="77"/>
      <c r="D69" s="99"/>
      <c r="E69" s="100"/>
      <c r="F69" s="77"/>
      <c r="G69" s="2774"/>
      <c r="H69" s="2620"/>
      <c r="I69" s="2698"/>
      <c r="J69" s="2608"/>
      <c r="K69" s="2625"/>
      <c r="L69" s="2625"/>
      <c r="M69" s="2792"/>
      <c r="N69" s="2794"/>
      <c r="O69" s="2608"/>
      <c r="P69" s="2588"/>
      <c r="Q69" s="2797"/>
      <c r="R69" s="2608"/>
      <c r="S69" s="2608"/>
      <c r="T69" s="2809" t="s">
        <v>158</v>
      </c>
      <c r="U69" s="2297">
        <v>1460000</v>
      </c>
      <c r="V69" s="2298">
        <v>1460000</v>
      </c>
      <c r="W69" s="2298">
        <v>1460000</v>
      </c>
      <c r="X69" s="97">
        <v>20</v>
      </c>
      <c r="Y69" s="1998" t="s">
        <v>85</v>
      </c>
      <c r="Z69" s="2739"/>
      <c r="AA69" s="2739"/>
      <c r="AB69" s="2739"/>
      <c r="AC69" s="2739"/>
      <c r="AD69" s="2739"/>
      <c r="AE69" s="2739"/>
      <c r="AF69" s="2739"/>
      <c r="AG69" s="2739"/>
      <c r="AH69" s="2739"/>
      <c r="AI69" s="2739"/>
      <c r="AJ69" s="2739"/>
      <c r="AK69" s="2739"/>
      <c r="AL69" s="2739"/>
      <c r="AM69" s="2739"/>
      <c r="AN69" s="2739"/>
      <c r="AO69" s="2739"/>
      <c r="AP69" s="2739"/>
      <c r="AQ69" s="2739"/>
      <c r="AR69" s="2739"/>
      <c r="AS69" s="2739"/>
      <c r="AT69" s="2739"/>
      <c r="AU69" s="2739"/>
      <c r="AV69" s="2739"/>
      <c r="AW69" s="2739"/>
      <c r="AX69" s="2739"/>
      <c r="AY69" s="2739"/>
      <c r="AZ69" s="2739"/>
      <c r="BA69" s="2739"/>
      <c r="BB69" s="2739"/>
      <c r="BC69" s="2739"/>
      <c r="BD69" s="2739"/>
      <c r="BE69" s="2739"/>
      <c r="BF69" s="2739"/>
      <c r="BG69" s="2758"/>
      <c r="BH69" s="2758"/>
      <c r="BI69" s="2588"/>
      <c r="BJ69" s="2616"/>
      <c r="BK69" s="2616"/>
      <c r="BL69" s="2754"/>
      <c r="BM69" s="2754"/>
      <c r="BN69" s="2632"/>
      <c r="BO69" s="2632"/>
      <c r="BP69" s="2739"/>
    </row>
    <row r="70" spans="1:68" s="3" customFormat="1" ht="63.75" customHeight="1" x14ac:dyDescent="0.2">
      <c r="A70" s="75"/>
      <c r="B70" s="76"/>
      <c r="C70" s="77"/>
      <c r="D70" s="99"/>
      <c r="E70" s="100"/>
      <c r="F70" s="77"/>
      <c r="G70" s="2775"/>
      <c r="H70" s="2786"/>
      <c r="I70" s="2788"/>
      <c r="J70" s="2645"/>
      <c r="K70" s="2625"/>
      <c r="L70" s="2625"/>
      <c r="M70" s="2792"/>
      <c r="N70" s="2795"/>
      <c r="O70" s="2645"/>
      <c r="P70" s="2588"/>
      <c r="Q70" s="2798"/>
      <c r="R70" s="2645"/>
      <c r="S70" s="2645"/>
      <c r="T70" s="2809"/>
      <c r="U70" s="2299">
        <f>90000-30000</f>
        <v>60000</v>
      </c>
      <c r="V70" s="2297">
        <v>0</v>
      </c>
      <c r="W70" s="2297">
        <v>0</v>
      </c>
      <c r="X70" s="69">
        <v>88</v>
      </c>
      <c r="Y70" s="1998" t="s">
        <v>411</v>
      </c>
      <c r="Z70" s="2740"/>
      <c r="AA70" s="2740"/>
      <c r="AB70" s="2740"/>
      <c r="AC70" s="2740"/>
      <c r="AD70" s="2740"/>
      <c r="AE70" s="2740"/>
      <c r="AF70" s="2740"/>
      <c r="AG70" s="2740"/>
      <c r="AH70" s="2740"/>
      <c r="AI70" s="2740"/>
      <c r="AJ70" s="2740"/>
      <c r="AK70" s="2740"/>
      <c r="AL70" s="2740"/>
      <c r="AM70" s="2740"/>
      <c r="AN70" s="2740"/>
      <c r="AO70" s="2740"/>
      <c r="AP70" s="2740"/>
      <c r="AQ70" s="2740"/>
      <c r="AR70" s="2740"/>
      <c r="AS70" s="2740"/>
      <c r="AT70" s="2740"/>
      <c r="AU70" s="2740"/>
      <c r="AV70" s="2740"/>
      <c r="AW70" s="2740"/>
      <c r="AX70" s="2740"/>
      <c r="AY70" s="2740"/>
      <c r="AZ70" s="2740"/>
      <c r="BA70" s="2740"/>
      <c r="BB70" s="2740"/>
      <c r="BC70" s="2740"/>
      <c r="BD70" s="2740"/>
      <c r="BE70" s="2740"/>
      <c r="BF70" s="2740"/>
      <c r="BG70" s="2759"/>
      <c r="BH70" s="2759"/>
      <c r="BI70" s="2744"/>
      <c r="BJ70" s="2752"/>
      <c r="BK70" s="2752"/>
      <c r="BL70" s="2755"/>
      <c r="BM70" s="2755"/>
      <c r="BN70" s="2756"/>
      <c r="BO70" s="2756"/>
      <c r="BP70" s="2740"/>
    </row>
    <row r="71" spans="1:68" s="3" customFormat="1" ht="51.75" customHeight="1" x14ac:dyDescent="0.2">
      <c r="A71" s="75"/>
      <c r="B71" s="2800"/>
      <c r="C71" s="2801"/>
      <c r="D71" s="99"/>
      <c r="E71" s="2802"/>
      <c r="F71" s="2801"/>
      <c r="G71" s="2748" t="s">
        <v>64</v>
      </c>
      <c r="H71" s="2777" t="s">
        <v>159</v>
      </c>
      <c r="I71" s="2698" t="s">
        <v>160</v>
      </c>
      <c r="J71" s="2608" t="s">
        <v>161</v>
      </c>
      <c r="K71" s="2810">
        <v>12</v>
      </c>
      <c r="L71" s="2810">
        <v>12</v>
      </c>
      <c r="M71" s="2625" t="s">
        <v>162</v>
      </c>
      <c r="N71" s="2793" t="s">
        <v>163</v>
      </c>
      <c r="O71" s="2814" t="s">
        <v>164</v>
      </c>
      <c r="P71" s="2816">
        <f>SUM(U71:U73)/Q71</f>
        <v>0.29113924050632911</v>
      </c>
      <c r="Q71" s="2817">
        <f>SUM(U71:U79)</f>
        <v>118500000</v>
      </c>
      <c r="R71" s="2707" t="s">
        <v>165</v>
      </c>
      <c r="S71" s="2819" t="s">
        <v>166</v>
      </c>
      <c r="T71" s="108" t="s">
        <v>167</v>
      </c>
      <c r="U71" s="2300">
        <v>15000000</v>
      </c>
      <c r="V71" s="2301">
        <v>9000000</v>
      </c>
      <c r="W71" s="2301">
        <f>V71</f>
        <v>9000000</v>
      </c>
      <c r="X71" s="69">
        <v>88</v>
      </c>
      <c r="Y71" s="1998" t="s">
        <v>411</v>
      </c>
      <c r="Z71" s="2765">
        <v>295972</v>
      </c>
      <c r="AA71" s="2765">
        <f>Z71</f>
        <v>295972</v>
      </c>
      <c r="AB71" s="2738">
        <v>285580</v>
      </c>
      <c r="AC71" s="2765">
        <f>AB71</f>
        <v>285580</v>
      </c>
      <c r="AD71" s="2738">
        <v>135545</v>
      </c>
      <c r="AE71" s="2765">
        <f>AD71</f>
        <v>135545</v>
      </c>
      <c r="AF71" s="2738">
        <v>44254</v>
      </c>
      <c r="AG71" s="2765">
        <f>AF71</f>
        <v>44254</v>
      </c>
      <c r="AH71" s="2738">
        <v>309146</v>
      </c>
      <c r="AI71" s="2765">
        <f>AH71</f>
        <v>309146</v>
      </c>
      <c r="AJ71" s="2738">
        <v>92607</v>
      </c>
      <c r="AK71" s="2765">
        <f>AJ71</f>
        <v>92607</v>
      </c>
      <c r="AL71" s="2738">
        <v>2145</v>
      </c>
      <c r="AM71" s="2765">
        <f>AL71</f>
        <v>2145</v>
      </c>
      <c r="AN71" s="2738">
        <v>12718</v>
      </c>
      <c r="AO71" s="2765">
        <f>AN71</f>
        <v>12718</v>
      </c>
      <c r="AP71" s="2738">
        <v>26</v>
      </c>
      <c r="AQ71" s="2765">
        <f>AP71</f>
        <v>26</v>
      </c>
      <c r="AR71" s="2738">
        <v>37</v>
      </c>
      <c r="AS71" s="2765">
        <f>AR71</f>
        <v>37</v>
      </c>
      <c r="AT71" s="2738">
        <v>0</v>
      </c>
      <c r="AU71" s="2765">
        <f>AT71</f>
        <v>0</v>
      </c>
      <c r="AV71" s="2738">
        <v>0</v>
      </c>
      <c r="AW71" s="2765">
        <f>AV71</f>
        <v>0</v>
      </c>
      <c r="AX71" s="2738">
        <v>44350</v>
      </c>
      <c r="AY71" s="2765">
        <f>AX71</f>
        <v>44350</v>
      </c>
      <c r="AZ71" s="2738">
        <v>21944</v>
      </c>
      <c r="BA71" s="2765">
        <f>AZ71</f>
        <v>21944</v>
      </c>
      <c r="BB71" s="2738">
        <v>75687</v>
      </c>
      <c r="BC71" s="2765">
        <f>BB71</f>
        <v>75687</v>
      </c>
      <c r="BD71" s="2738">
        <v>581552</v>
      </c>
      <c r="BE71" s="2765">
        <f>BD71</f>
        <v>581552</v>
      </c>
      <c r="BF71" s="2765">
        <v>8</v>
      </c>
      <c r="BG71" s="2817">
        <f>SUM(V71:V79)</f>
        <v>86213333</v>
      </c>
      <c r="BH71" s="2817">
        <f>SUM(W71:W79)</f>
        <v>86213333</v>
      </c>
      <c r="BI71" s="2823">
        <f>BH71/BG71</f>
        <v>1</v>
      </c>
      <c r="BJ71" s="2615" t="s">
        <v>75</v>
      </c>
      <c r="BK71" s="2826" t="s">
        <v>168</v>
      </c>
      <c r="BL71" s="2753">
        <v>43832</v>
      </c>
      <c r="BM71" s="2753">
        <v>43860</v>
      </c>
      <c r="BN71" s="2631">
        <v>44195</v>
      </c>
      <c r="BO71" s="2631">
        <v>44193</v>
      </c>
      <c r="BP71" s="2738" t="s">
        <v>77</v>
      </c>
    </row>
    <row r="72" spans="1:68" s="3" customFormat="1" ht="51.75" customHeight="1" x14ac:dyDescent="0.2">
      <c r="A72" s="75"/>
      <c r="B72" s="76"/>
      <c r="C72" s="77"/>
      <c r="D72" s="99"/>
      <c r="E72" s="100"/>
      <c r="F72" s="77"/>
      <c r="G72" s="2749"/>
      <c r="H72" s="2777"/>
      <c r="I72" s="2698"/>
      <c r="J72" s="2608"/>
      <c r="K72" s="2811"/>
      <c r="L72" s="2811"/>
      <c r="M72" s="2625"/>
      <c r="N72" s="2794"/>
      <c r="O72" s="2815"/>
      <c r="P72" s="2816"/>
      <c r="Q72" s="2818"/>
      <c r="R72" s="2708"/>
      <c r="S72" s="2820"/>
      <c r="T72" s="110" t="s">
        <v>169</v>
      </c>
      <c r="U72" s="2302">
        <v>2400000</v>
      </c>
      <c r="V72" s="2302">
        <v>2400000</v>
      </c>
      <c r="W72" s="2302">
        <v>2400000</v>
      </c>
      <c r="X72" s="109">
        <v>20</v>
      </c>
      <c r="Y72" s="1998" t="s">
        <v>85</v>
      </c>
      <c r="Z72" s="2649"/>
      <c r="AA72" s="2649"/>
      <c r="AB72" s="2739"/>
      <c r="AC72" s="2649"/>
      <c r="AD72" s="2739"/>
      <c r="AE72" s="2649"/>
      <c r="AF72" s="2739"/>
      <c r="AG72" s="2649"/>
      <c r="AH72" s="2739"/>
      <c r="AI72" s="2649"/>
      <c r="AJ72" s="2739"/>
      <c r="AK72" s="2649"/>
      <c r="AL72" s="2739"/>
      <c r="AM72" s="2649"/>
      <c r="AN72" s="2739"/>
      <c r="AO72" s="2649"/>
      <c r="AP72" s="2739"/>
      <c r="AQ72" s="2649"/>
      <c r="AR72" s="2739"/>
      <c r="AS72" s="2649"/>
      <c r="AT72" s="2739"/>
      <c r="AU72" s="2649"/>
      <c r="AV72" s="2739"/>
      <c r="AW72" s="2649"/>
      <c r="AX72" s="2739"/>
      <c r="AY72" s="2649"/>
      <c r="AZ72" s="2739"/>
      <c r="BA72" s="2649"/>
      <c r="BB72" s="2739"/>
      <c r="BC72" s="2649"/>
      <c r="BD72" s="2739"/>
      <c r="BE72" s="2649"/>
      <c r="BF72" s="2649"/>
      <c r="BG72" s="2818"/>
      <c r="BH72" s="2818"/>
      <c r="BI72" s="2824"/>
      <c r="BJ72" s="2616"/>
      <c r="BK72" s="2827"/>
      <c r="BL72" s="2754"/>
      <c r="BM72" s="2754"/>
      <c r="BN72" s="2632"/>
      <c r="BO72" s="2632"/>
      <c r="BP72" s="2739"/>
    </row>
    <row r="73" spans="1:68" s="3" customFormat="1" ht="47.25" customHeight="1" x14ac:dyDescent="0.2">
      <c r="A73" s="75"/>
      <c r="B73" s="76"/>
      <c r="C73" s="77"/>
      <c r="D73" s="99"/>
      <c r="E73" s="100"/>
      <c r="F73" s="77"/>
      <c r="G73" s="2750"/>
      <c r="H73" s="2777"/>
      <c r="I73" s="2698"/>
      <c r="J73" s="2608"/>
      <c r="K73" s="2812"/>
      <c r="L73" s="2812"/>
      <c r="M73" s="2625"/>
      <c r="N73" s="2794"/>
      <c r="O73" s="2815"/>
      <c r="P73" s="2816"/>
      <c r="Q73" s="2818"/>
      <c r="R73" s="2708"/>
      <c r="S73" s="2820"/>
      <c r="T73" s="110" t="s">
        <v>170</v>
      </c>
      <c r="U73" s="2302">
        <v>17100000</v>
      </c>
      <c r="V73" s="2302">
        <v>17100000</v>
      </c>
      <c r="W73" s="2302">
        <v>17100000</v>
      </c>
      <c r="X73" s="109">
        <v>20</v>
      </c>
      <c r="Y73" s="1998" t="s">
        <v>85</v>
      </c>
      <c r="Z73" s="2649"/>
      <c r="AA73" s="2649"/>
      <c r="AB73" s="2739"/>
      <c r="AC73" s="2649"/>
      <c r="AD73" s="2739"/>
      <c r="AE73" s="2649"/>
      <c r="AF73" s="2739"/>
      <c r="AG73" s="2649"/>
      <c r="AH73" s="2739"/>
      <c r="AI73" s="2649"/>
      <c r="AJ73" s="2739"/>
      <c r="AK73" s="2649"/>
      <c r="AL73" s="2739"/>
      <c r="AM73" s="2649"/>
      <c r="AN73" s="2739"/>
      <c r="AO73" s="2649"/>
      <c r="AP73" s="2739"/>
      <c r="AQ73" s="2649"/>
      <c r="AR73" s="2739"/>
      <c r="AS73" s="2649"/>
      <c r="AT73" s="2739"/>
      <c r="AU73" s="2649"/>
      <c r="AV73" s="2739"/>
      <c r="AW73" s="2649"/>
      <c r="AX73" s="2739"/>
      <c r="AY73" s="2649"/>
      <c r="AZ73" s="2739"/>
      <c r="BA73" s="2649"/>
      <c r="BB73" s="2739"/>
      <c r="BC73" s="2649"/>
      <c r="BD73" s="2739"/>
      <c r="BE73" s="2649"/>
      <c r="BF73" s="2649"/>
      <c r="BG73" s="2818"/>
      <c r="BH73" s="2818"/>
      <c r="BI73" s="2824"/>
      <c r="BJ73" s="2616"/>
      <c r="BK73" s="2827"/>
      <c r="BL73" s="2754"/>
      <c r="BM73" s="2754"/>
      <c r="BN73" s="2632"/>
      <c r="BO73" s="2632"/>
      <c r="BP73" s="2739"/>
    </row>
    <row r="74" spans="1:68" s="3" customFormat="1" ht="96.75" customHeight="1" x14ac:dyDescent="0.2">
      <c r="A74" s="75"/>
      <c r="B74" s="76"/>
      <c r="C74" s="77"/>
      <c r="D74" s="99"/>
      <c r="E74" s="100"/>
      <c r="F74" s="77"/>
      <c r="G74" s="111" t="s">
        <v>64</v>
      </c>
      <c r="H74" s="1869" t="s">
        <v>171</v>
      </c>
      <c r="I74" s="112" t="s">
        <v>172</v>
      </c>
      <c r="J74" s="70" t="s">
        <v>173</v>
      </c>
      <c r="K74" s="113">
        <v>12</v>
      </c>
      <c r="L74" s="113">
        <v>12</v>
      </c>
      <c r="M74" s="2625"/>
      <c r="N74" s="2794"/>
      <c r="O74" s="2586"/>
      <c r="P74" s="114">
        <f>U74/Q71</f>
        <v>0.12658227848101267</v>
      </c>
      <c r="Q74" s="2758"/>
      <c r="R74" s="2708"/>
      <c r="S74" s="2820"/>
      <c r="T74" s="115" t="s">
        <v>174</v>
      </c>
      <c r="U74" s="2303">
        <v>15000000</v>
      </c>
      <c r="V74" s="2303">
        <v>10500000</v>
      </c>
      <c r="W74" s="2303">
        <f>V74</f>
        <v>10500000</v>
      </c>
      <c r="X74" s="69">
        <v>88</v>
      </c>
      <c r="Y74" s="1998" t="s">
        <v>411</v>
      </c>
      <c r="Z74" s="2649"/>
      <c r="AA74" s="2649"/>
      <c r="AB74" s="2739"/>
      <c r="AC74" s="2649"/>
      <c r="AD74" s="2739"/>
      <c r="AE74" s="2649"/>
      <c r="AF74" s="2739"/>
      <c r="AG74" s="2649"/>
      <c r="AH74" s="2739"/>
      <c r="AI74" s="2649"/>
      <c r="AJ74" s="2739"/>
      <c r="AK74" s="2649"/>
      <c r="AL74" s="2739"/>
      <c r="AM74" s="2649"/>
      <c r="AN74" s="2739"/>
      <c r="AO74" s="2649"/>
      <c r="AP74" s="2739"/>
      <c r="AQ74" s="2649"/>
      <c r="AR74" s="2739"/>
      <c r="AS74" s="2649"/>
      <c r="AT74" s="2739"/>
      <c r="AU74" s="2649"/>
      <c r="AV74" s="2739"/>
      <c r="AW74" s="2649"/>
      <c r="AX74" s="2739"/>
      <c r="AY74" s="2649"/>
      <c r="AZ74" s="2739"/>
      <c r="BA74" s="2649"/>
      <c r="BB74" s="2739"/>
      <c r="BC74" s="2649"/>
      <c r="BD74" s="2739"/>
      <c r="BE74" s="2649"/>
      <c r="BF74" s="2649"/>
      <c r="BG74" s="2818"/>
      <c r="BH74" s="2818"/>
      <c r="BI74" s="2824"/>
      <c r="BJ74" s="2616"/>
      <c r="BK74" s="2827"/>
      <c r="BL74" s="2754"/>
      <c r="BM74" s="2754"/>
      <c r="BN74" s="2632"/>
      <c r="BO74" s="2632"/>
      <c r="BP74" s="2739"/>
    </row>
    <row r="75" spans="1:68" s="3" customFormat="1" ht="84.75" customHeight="1" x14ac:dyDescent="0.2">
      <c r="A75" s="75"/>
      <c r="B75" s="2800"/>
      <c r="C75" s="2801"/>
      <c r="D75" s="99"/>
      <c r="E75" s="2802"/>
      <c r="F75" s="2801"/>
      <c r="G75" s="116" t="s">
        <v>64</v>
      </c>
      <c r="H75" s="1864" t="s">
        <v>175</v>
      </c>
      <c r="I75" s="117" t="s">
        <v>176</v>
      </c>
      <c r="J75" s="118" t="s">
        <v>173</v>
      </c>
      <c r="K75" s="113">
        <v>12</v>
      </c>
      <c r="L75" s="113">
        <v>12</v>
      </c>
      <c r="M75" s="2625"/>
      <c r="N75" s="2794"/>
      <c r="O75" s="2586"/>
      <c r="P75" s="119">
        <f>U75/Q71</f>
        <v>0.12658227848101267</v>
      </c>
      <c r="Q75" s="2758"/>
      <c r="R75" s="2708"/>
      <c r="S75" s="2820"/>
      <c r="T75" s="110" t="s">
        <v>177</v>
      </c>
      <c r="U75" s="2303">
        <v>15000000</v>
      </c>
      <c r="V75" s="2303">
        <v>9800000</v>
      </c>
      <c r="W75" s="2303">
        <f>V75</f>
        <v>9800000</v>
      </c>
      <c r="X75" s="69">
        <v>88</v>
      </c>
      <c r="Y75" s="1998" t="s">
        <v>411</v>
      </c>
      <c r="Z75" s="2649"/>
      <c r="AA75" s="2649"/>
      <c r="AB75" s="2739"/>
      <c r="AC75" s="2649"/>
      <c r="AD75" s="2739"/>
      <c r="AE75" s="2649"/>
      <c r="AF75" s="2739"/>
      <c r="AG75" s="2649"/>
      <c r="AH75" s="2739"/>
      <c r="AI75" s="2649"/>
      <c r="AJ75" s="2739"/>
      <c r="AK75" s="2649"/>
      <c r="AL75" s="2739"/>
      <c r="AM75" s="2649"/>
      <c r="AN75" s="2739"/>
      <c r="AO75" s="2649"/>
      <c r="AP75" s="2739"/>
      <c r="AQ75" s="2649"/>
      <c r="AR75" s="2739"/>
      <c r="AS75" s="2649"/>
      <c r="AT75" s="2739"/>
      <c r="AU75" s="2649"/>
      <c r="AV75" s="2739"/>
      <c r="AW75" s="2649"/>
      <c r="AX75" s="2739"/>
      <c r="AY75" s="2649"/>
      <c r="AZ75" s="2739"/>
      <c r="BA75" s="2649"/>
      <c r="BB75" s="2739"/>
      <c r="BC75" s="2649"/>
      <c r="BD75" s="2739"/>
      <c r="BE75" s="2649"/>
      <c r="BF75" s="2649"/>
      <c r="BG75" s="2818"/>
      <c r="BH75" s="2818"/>
      <c r="BI75" s="2824"/>
      <c r="BJ75" s="2616"/>
      <c r="BK75" s="2827"/>
      <c r="BL75" s="2754"/>
      <c r="BM75" s="2754"/>
      <c r="BN75" s="2632"/>
      <c r="BO75" s="2632"/>
      <c r="BP75" s="2739"/>
    </row>
    <row r="76" spans="1:68" s="3" customFormat="1" ht="67.5" customHeight="1" x14ac:dyDescent="0.2">
      <c r="A76" s="120"/>
      <c r="B76" s="76"/>
      <c r="C76" s="77"/>
      <c r="D76" s="99"/>
      <c r="E76" s="100"/>
      <c r="F76" s="77"/>
      <c r="G76" s="2583" t="s">
        <v>64</v>
      </c>
      <c r="H76" s="2721" t="s">
        <v>178</v>
      </c>
      <c r="I76" s="2741" t="s">
        <v>179</v>
      </c>
      <c r="J76" s="2652" t="s">
        <v>173</v>
      </c>
      <c r="K76" s="2810">
        <v>12</v>
      </c>
      <c r="L76" s="2810">
        <v>12</v>
      </c>
      <c r="M76" s="2625"/>
      <c r="N76" s="2794"/>
      <c r="O76" s="2586"/>
      <c r="P76" s="2760">
        <f>SUM(U76:U77)/Q71</f>
        <v>0.20253164556962025</v>
      </c>
      <c r="Q76" s="2758"/>
      <c r="R76" s="2708"/>
      <c r="S76" s="2820"/>
      <c r="T76" s="2821" t="s">
        <v>180</v>
      </c>
      <c r="U76" s="2303">
        <v>9000000</v>
      </c>
      <c r="V76" s="2303">
        <v>9000000</v>
      </c>
      <c r="W76" s="2303">
        <v>9000000</v>
      </c>
      <c r="X76" s="109">
        <v>20</v>
      </c>
      <c r="Y76" s="1998" t="s">
        <v>85</v>
      </c>
      <c r="Z76" s="2649"/>
      <c r="AA76" s="2649"/>
      <c r="AB76" s="2739"/>
      <c r="AC76" s="2649"/>
      <c r="AD76" s="2739"/>
      <c r="AE76" s="2649"/>
      <c r="AF76" s="2739"/>
      <c r="AG76" s="2649"/>
      <c r="AH76" s="2739"/>
      <c r="AI76" s="2649"/>
      <c r="AJ76" s="2739"/>
      <c r="AK76" s="2649"/>
      <c r="AL76" s="2739"/>
      <c r="AM76" s="2649"/>
      <c r="AN76" s="2739"/>
      <c r="AO76" s="2649"/>
      <c r="AP76" s="2739"/>
      <c r="AQ76" s="2649"/>
      <c r="AR76" s="2739"/>
      <c r="AS76" s="2649"/>
      <c r="AT76" s="2739"/>
      <c r="AU76" s="2649"/>
      <c r="AV76" s="2739"/>
      <c r="AW76" s="2649"/>
      <c r="AX76" s="2739"/>
      <c r="AY76" s="2649"/>
      <c r="AZ76" s="2739"/>
      <c r="BA76" s="2649"/>
      <c r="BB76" s="2739"/>
      <c r="BC76" s="2649"/>
      <c r="BD76" s="2739"/>
      <c r="BE76" s="2649"/>
      <c r="BF76" s="2649"/>
      <c r="BG76" s="2818"/>
      <c r="BH76" s="2818"/>
      <c r="BI76" s="2824"/>
      <c r="BJ76" s="2616"/>
      <c r="BK76" s="2827"/>
      <c r="BL76" s="2754"/>
      <c r="BM76" s="2754"/>
      <c r="BN76" s="2632"/>
      <c r="BO76" s="2632"/>
      <c r="BP76" s="2739"/>
    </row>
    <row r="77" spans="1:68" ht="71.25" customHeight="1" x14ac:dyDescent="0.2">
      <c r="B77" s="122"/>
      <c r="C77" s="123"/>
      <c r="D77" s="124"/>
      <c r="E77" s="125"/>
      <c r="F77" s="123"/>
      <c r="G77" s="2720"/>
      <c r="H77" s="2723"/>
      <c r="I77" s="2743"/>
      <c r="J77" s="2822"/>
      <c r="K77" s="2812"/>
      <c r="L77" s="2812"/>
      <c r="M77" s="2625"/>
      <c r="N77" s="2794"/>
      <c r="O77" s="2586"/>
      <c r="P77" s="2770"/>
      <c r="Q77" s="2758"/>
      <c r="R77" s="2708"/>
      <c r="S77" s="2820"/>
      <c r="T77" s="2821"/>
      <c r="U77" s="2303">
        <v>15000000</v>
      </c>
      <c r="V77" s="2303">
        <v>12413333</v>
      </c>
      <c r="W77" s="2303">
        <f>V77</f>
        <v>12413333</v>
      </c>
      <c r="X77" s="69">
        <v>88</v>
      </c>
      <c r="Y77" s="1998" t="s">
        <v>411</v>
      </c>
      <c r="Z77" s="2649"/>
      <c r="AA77" s="2649"/>
      <c r="AB77" s="2739"/>
      <c r="AC77" s="2649"/>
      <c r="AD77" s="2739"/>
      <c r="AE77" s="2649"/>
      <c r="AF77" s="2739"/>
      <c r="AG77" s="2649"/>
      <c r="AH77" s="2739"/>
      <c r="AI77" s="2649"/>
      <c r="AJ77" s="2739"/>
      <c r="AK77" s="2649"/>
      <c r="AL77" s="2739"/>
      <c r="AM77" s="2649"/>
      <c r="AN77" s="2739"/>
      <c r="AO77" s="2649"/>
      <c r="AP77" s="2739"/>
      <c r="AQ77" s="2649"/>
      <c r="AR77" s="2739"/>
      <c r="AS77" s="2649"/>
      <c r="AT77" s="2739"/>
      <c r="AU77" s="2649"/>
      <c r="AV77" s="2739"/>
      <c r="AW77" s="2649"/>
      <c r="AX77" s="2739"/>
      <c r="AY77" s="2649"/>
      <c r="AZ77" s="2739"/>
      <c r="BA77" s="2649"/>
      <c r="BB77" s="2739"/>
      <c r="BC77" s="2649"/>
      <c r="BD77" s="2739"/>
      <c r="BE77" s="2649"/>
      <c r="BF77" s="2649"/>
      <c r="BG77" s="2818"/>
      <c r="BH77" s="2818"/>
      <c r="BI77" s="2824"/>
      <c r="BJ77" s="2616"/>
      <c r="BK77" s="2827"/>
      <c r="BL77" s="2754"/>
      <c r="BM77" s="2754"/>
      <c r="BN77" s="2632"/>
      <c r="BO77" s="2632"/>
      <c r="BP77" s="2739"/>
    </row>
    <row r="78" spans="1:68" ht="98.25" customHeight="1" x14ac:dyDescent="0.2">
      <c r="B78" s="122"/>
      <c r="C78" s="123"/>
      <c r="D78" s="124"/>
      <c r="E78" s="125"/>
      <c r="F78" s="123"/>
      <c r="G78" s="126" t="s">
        <v>64</v>
      </c>
      <c r="H78" s="1866" t="s">
        <v>181</v>
      </c>
      <c r="I78" s="127" t="s">
        <v>182</v>
      </c>
      <c r="J78" s="128" t="s">
        <v>173</v>
      </c>
      <c r="K78" s="113">
        <v>12</v>
      </c>
      <c r="L78" s="113">
        <v>12</v>
      </c>
      <c r="M78" s="2625"/>
      <c r="N78" s="2794"/>
      <c r="O78" s="2586"/>
      <c r="P78" s="119">
        <f>U78/Q71</f>
        <v>0.12658227848101267</v>
      </c>
      <c r="Q78" s="2758"/>
      <c r="R78" s="2708"/>
      <c r="S78" s="2820"/>
      <c r="T78" s="115" t="s">
        <v>183</v>
      </c>
      <c r="U78" s="2303">
        <v>15000000</v>
      </c>
      <c r="V78" s="2303">
        <v>7600000</v>
      </c>
      <c r="W78" s="2303">
        <f>V78</f>
        <v>7600000</v>
      </c>
      <c r="X78" s="69">
        <v>88</v>
      </c>
      <c r="Y78" s="1998" t="s">
        <v>411</v>
      </c>
      <c r="Z78" s="2649"/>
      <c r="AA78" s="2649"/>
      <c r="AB78" s="2739"/>
      <c r="AC78" s="2649"/>
      <c r="AD78" s="2739"/>
      <c r="AE78" s="2649"/>
      <c r="AF78" s="2739"/>
      <c r="AG78" s="2649"/>
      <c r="AH78" s="2739"/>
      <c r="AI78" s="2649"/>
      <c r="AJ78" s="2739"/>
      <c r="AK78" s="2649"/>
      <c r="AL78" s="2739"/>
      <c r="AM78" s="2649"/>
      <c r="AN78" s="2739"/>
      <c r="AO78" s="2649"/>
      <c r="AP78" s="2739"/>
      <c r="AQ78" s="2649"/>
      <c r="AR78" s="2739"/>
      <c r="AS78" s="2649"/>
      <c r="AT78" s="2739"/>
      <c r="AU78" s="2649"/>
      <c r="AV78" s="2739"/>
      <c r="AW78" s="2649"/>
      <c r="AX78" s="2739"/>
      <c r="AY78" s="2649"/>
      <c r="AZ78" s="2739"/>
      <c r="BA78" s="2649"/>
      <c r="BB78" s="2739"/>
      <c r="BC78" s="2649"/>
      <c r="BD78" s="2739"/>
      <c r="BE78" s="2649"/>
      <c r="BF78" s="2649"/>
      <c r="BG78" s="2818"/>
      <c r="BH78" s="2818"/>
      <c r="BI78" s="2824"/>
      <c r="BJ78" s="2616"/>
      <c r="BK78" s="2827"/>
      <c r="BL78" s="2754"/>
      <c r="BM78" s="2754"/>
      <c r="BN78" s="2632"/>
      <c r="BO78" s="2632"/>
      <c r="BP78" s="2739"/>
    </row>
    <row r="79" spans="1:68" ht="104.25" customHeight="1" x14ac:dyDescent="0.2">
      <c r="B79" s="122"/>
      <c r="C79" s="123"/>
      <c r="D79" s="124"/>
      <c r="E79" s="129"/>
      <c r="F79" s="123"/>
      <c r="G79" s="126" t="s">
        <v>64</v>
      </c>
      <c r="H79" s="1858" t="s">
        <v>184</v>
      </c>
      <c r="I79" s="131" t="s">
        <v>185</v>
      </c>
      <c r="J79" s="132" t="s">
        <v>173</v>
      </c>
      <c r="K79" s="113">
        <v>12</v>
      </c>
      <c r="L79" s="113">
        <v>12</v>
      </c>
      <c r="M79" s="2813"/>
      <c r="N79" s="2794"/>
      <c r="O79" s="2586"/>
      <c r="P79" s="133">
        <f>U79/$Q$71</f>
        <v>0.12658227848101267</v>
      </c>
      <c r="Q79" s="2758"/>
      <c r="R79" s="2708"/>
      <c r="S79" s="2820"/>
      <c r="T79" s="134" t="s">
        <v>186</v>
      </c>
      <c r="U79" s="1473">
        <v>15000000</v>
      </c>
      <c r="V79" s="2304">
        <v>8400000</v>
      </c>
      <c r="W79" s="2305">
        <f>V79</f>
        <v>8400000</v>
      </c>
      <c r="X79" s="69">
        <v>88</v>
      </c>
      <c r="Y79" s="1998" t="s">
        <v>411</v>
      </c>
      <c r="Z79" s="2649"/>
      <c r="AA79" s="2649"/>
      <c r="AB79" s="2739"/>
      <c r="AC79" s="2649"/>
      <c r="AD79" s="2739"/>
      <c r="AE79" s="2649"/>
      <c r="AF79" s="2739"/>
      <c r="AG79" s="2649"/>
      <c r="AH79" s="2739"/>
      <c r="AI79" s="2649"/>
      <c r="AJ79" s="2739"/>
      <c r="AK79" s="2649"/>
      <c r="AL79" s="2739"/>
      <c r="AM79" s="2649"/>
      <c r="AN79" s="2739"/>
      <c r="AO79" s="2649"/>
      <c r="AP79" s="2739"/>
      <c r="AQ79" s="2649"/>
      <c r="AR79" s="2739"/>
      <c r="AS79" s="2649"/>
      <c r="AT79" s="2739"/>
      <c r="AU79" s="2649"/>
      <c r="AV79" s="2739"/>
      <c r="AW79" s="2649"/>
      <c r="AX79" s="2739"/>
      <c r="AY79" s="2649"/>
      <c r="AZ79" s="2739"/>
      <c r="BA79" s="2649"/>
      <c r="BB79" s="2739"/>
      <c r="BC79" s="2649"/>
      <c r="BD79" s="2739"/>
      <c r="BE79" s="2649"/>
      <c r="BF79" s="2649"/>
      <c r="BG79" s="2818"/>
      <c r="BH79" s="2818"/>
      <c r="BI79" s="2824"/>
      <c r="BJ79" s="2825"/>
      <c r="BK79" s="2827"/>
      <c r="BL79" s="2754"/>
      <c r="BM79" s="2754"/>
      <c r="BN79" s="2633"/>
      <c r="BO79" s="2633"/>
      <c r="BP79" s="2739"/>
    </row>
    <row r="80" spans="1:68" ht="74.25" customHeight="1" x14ac:dyDescent="0.2">
      <c r="B80" s="122"/>
      <c r="C80" s="123"/>
      <c r="D80" s="124"/>
      <c r="E80" s="129"/>
      <c r="F80" s="123"/>
      <c r="G80" s="2828" t="s">
        <v>64</v>
      </c>
      <c r="H80" s="2810" t="s">
        <v>187</v>
      </c>
      <c r="I80" s="2788" t="s">
        <v>188</v>
      </c>
      <c r="J80" s="2832" t="s">
        <v>189</v>
      </c>
      <c r="K80" s="2810">
        <v>18</v>
      </c>
      <c r="L80" s="2810">
        <v>18</v>
      </c>
      <c r="M80" s="2813" t="s">
        <v>190</v>
      </c>
      <c r="N80" s="2810" t="s">
        <v>191</v>
      </c>
      <c r="O80" s="2788" t="s">
        <v>192</v>
      </c>
      <c r="P80" s="2728">
        <f>SUM(U80:U107)/Q80</f>
        <v>1</v>
      </c>
      <c r="Q80" s="2735">
        <f>SUM(U80:U107)</f>
        <v>36000000</v>
      </c>
      <c r="R80" s="2839" t="s">
        <v>193</v>
      </c>
      <c r="S80" s="2835" t="s">
        <v>194</v>
      </c>
      <c r="T80" s="135" t="s">
        <v>195</v>
      </c>
      <c r="U80" s="2306">
        <v>500000</v>
      </c>
      <c r="V80" s="2306">
        <v>500000</v>
      </c>
      <c r="W80" s="2307">
        <f>V80</f>
        <v>500000</v>
      </c>
      <c r="X80" s="69">
        <v>88</v>
      </c>
      <c r="Y80" s="1998" t="s">
        <v>411</v>
      </c>
      <c r="Z80" s="2710">
        <v>295972</v>
      </c>
      <c r="AA80" s="2711">
        <f>Z80</f>
        <v>295972</v>
      </c>
      <c r="AB80" s="2710">
        <v>285580</v>
      </c>
      <c r="AC80" s="2711">
        <f>AB80</f>
        <v>285580</v>
      </c>
      <c r="AD80" s="2710">
        <v>135545</v>
      </c>
      <c r="AE80" s="2711">
        <f>AD80</f>
        <v>135545</v>
      </c>
      <c r="AF80" s="2710">
        <v>44254</v>
      </c>
      <c r="AG80" s="2711">
        <f>AF80</f>
        <v>44254</v>
      </c>
      <c r="AH80" s="2710">
        <v>309146</v>
      </c>
      <c r="AI80" s="2711">
        <f>AH80</f>
        <v>309146</v>
      </c>
      <c r="AJ80" s="2711">
        <v>92607</v>
      </c>
      <c r="AK80" s="2711">
        <f>AJ80</f>
        <v>92607</v>
      </c>
      <c r="AL80" s="2710">
        <v>2145</v>
      </c>
      <c r="AM80" s="2711">
        <f>AL80</f>
        <v>2145</v>
      </c>
      <c r="AN80" s="2710">
        <v>12718</v>
      </c>
      <c r="AO80" s="2711">
        <f>AN80</f>
        <v>12718</v>
      </c>
      <c r="AP80" s="2710">
        <v>26</v>
      </c>
      <c r="AQ80" s="2711">
        <f>AP80</f>
        <v>26</v>
      </c>
      <c r="AR80" s="2710">
        <v>37</v>
      </c>
      <c r="AS80" s="2711">
        <f>AR80</f>
        <v>37</v>
      </c>
      <c r="AT80" s="2710">
        <v>0</v>
      </c>
      <c r="AU80" s="2710">
        <f>AT80</f>
        <v>0</v>
      </c>
      <c r="AV80" s="2710">
        <v>0</v>
      </c>
      <c r="AW80" s="2710">
        <f>AV80</f>
        <v>0</v>
      </c>
      <c r="AX80" s="2710">
        <v>44350</v>
      </c>
      <c r="AY80" s="2710">
        <f>AX80</f>
        <v>44350</v>
      </c>
      <c r="AZ80" s="2710">
        <v>21944</v>
      </c>
      <c r="BA80" s="2710">
        <f>AZ80</f>
        <v>21944</v>
      </c>
      <c r="BB80" s="2710">
        <v>75687</v>
      </c>
      <c r="BC80" s="2710">
        <f>BB80</f>
        <v>75687</v>
      </c>
      <c r="BD80" s="2710">
        <v>581552</v>
      </c>
      <c r="BE80" s="2710">
        <f>BD80</f>
        <v>581552</v>
      </c>
      <c r="BF80" s="2710">
        <v>2</v>
      </c>
      <c r="BG80" s="2845">
        <f>SUM(V80:V107)</f>
        <v>23700000</v>
      </c>
      <c r="BH80" s="2845">
        <f>SUM(W80:W107)</f>
        <v>23700000</v>
      </c>
      <c r="BI80" s="2609">
        <f>BH80/BG80</f>
        <v>1</v>
      </c>
      <c r="BJ80" s="2638" t="s">
        <v>196</v>
      </c>
      <c r="BK80" s="2638" t="s">
        <v>197</v>
      </c>
      <c r="BL80" s="2844">
        <v>44013</v>
      </c>
      <c r="BM80" s="2844">
        <v>44067</v>
      </c>
      <c r="BN80" s="2655">
        <v>44195</v>
      </c>
      <c r="BO80" s="2655">
        <v>44193</v>
      </c>
      <c r="BP80" s="2710" t="s">
        <v>77</v>
      </c>
    </row>
    <row r="81" spans="2:68" ht="54.75" customHeight="1" x14ac:dyDescent="0.2">
      <c r="B81" s="122"/>
      <c r="C81" s="123"/>
      <c r="D81" s="124"/>
      <c r="E81" s="129"/>
      <c r="F81" s="123"/>
      <c r="G81" s="2829"/>
      <c r="H81" s="2811"/>
      <c r="I81" s="2831"/>
      <c r="J81" s="2833"/>
      <c r="K81" s="2811"/>
      <c r="L81" s="2811"/>
      <c r="M81" s="2782"/>
      <c r="N81" s="2811"/>
      <c r="O81" s="2831"/>
      <c r="P81" s="2729"/>
      <c r="Q81" s="2736"/>
      <c r="R81" s="2840"/>
      <c r="S81" s="2836"/>
      <c r="T81" s="136" t="s">
        <v>198</v>
      </c>
      <c r="U81" s="2307">
        <v>500000</v>
      </c>
      <c r="V81" s="2307">
        <v>0</v>
      </c>
      <c r="W81" s="2307">
        <v>0</v>
      </c>
      <c r="X81" s="69">
        <v>88</v>
      </c>
      <c r="Y81" s="1998" t="s">
        <v>411</v>
      </c>
      <c r="Z81" s="2710"/>
      <c r="AA81" s="2712"/>
      <c r="AB81" s="2710"/>
      <c r="AC81" s="2712"/>
      <c r="AD81" s="2710"/>
      <c r="AE81" s="2712"/>
      <c r="AF81" s="2710"/>
      <c r="AG81" s="2712"/>
      <c r="AH81" s="2710"/>
      <c r="AI81" s="2712"/>
      <c r="AJ81" s="2712"/>
      <c r="AK81" s="2712"/>
      <c r="AL81" s="2710"/>
      <c r="AM81" s="2712"/>
      <c r="AN81" s="2710"/>
      <c r="AO81" s="2712"/>
      <c r="AP81" s="2710"/>
      <c r="AQ81" s="2712"/>
      <c r="AR81" s="2710"/>
      <c r="AS81" s="2712"/>
      <c r="AT81" s="2710"/>
      <c r="AU81" s="2710"/>
      <c r="AV81" s="2710"/>
      <c r="AW81" s="2710"/>
      <c r="AX81" s="2710"/>
      <c r="AY81" s="2710"/>
      <c r="AZ81" s="2710"/>
      <c r="BA81" s="2710"/>
      <c r="BB81" s="2710"/>
      <c r="BC81" s="2710"/>
      <c r="BD81" s="2710"/>
      <c r="BE81" s="2710"/>
      <c r="BF81" s="2710"/>
      <c r="BG81" s="2845"/>
      <c r="BH81" s="2845"/>
      <c r="BI81" s="2609"/>
      <c r="BJ81" s="2638"/>
      <c r="BK81" s="2638"/>
      <c r="BL81" s="2844"/>
      <c r="BM81" s="2844"/>
      <c r="BN81" s="2656"/>
      <c r="BO81" s="2656"/>
      <c r="BP81" s="2710"/>
    </row>
    <row r="82" spans="2:68" ht="66.75" customHeight="1" x14ac:dyDescent="0.2">
      <c r="B82" s="122"/>
      <c r="C82" s="123"/>
      <c r="D82" s="124"/>
      <c r="E82" s="129"/>
      <c r="F82" s="123"/>
      <c r="G82" s="2829"/>
      <c r="H82" s="2811"/>
      <c r="I82" s="2831"/>
      <c r="J82" s="2833"/>
      <c r="K82" s="2811"/>
      <c r="L82" s="2811"/>
      <c r="M82" s="2782"/>
      <c r="N82" s="2811"/>
      <c r="O82" s="2831"/>
      <c r="P82" s="2729"/>
      <c r="Q82" s="2736"/>
      <c r="R82" s="2840"/>
      <c r="S82" s="2836"/>
      <c r="T82" s="136" t="s">
        <v>199</v>
      </c>
      <c r="U82" s="2307">
        <v>500000</v>
      </c>
      <c r="V82" s="2307">
        <v>200000</v>
      </c>
      <c r="W82" s="2307">
        <v>200000</v>
      </c>
      <c r="X82" s="69">
        <v>88</v>
      </c>
      <c r="Y82" s="1998" t="s">
        <v>411</v>
      </c>
      <c r="Z82" s="2710"/>
      <c r="AA82" s="2712"/>
      <c r="AB82" s="2710"/>
      <c r="AC82" s="2712"/>
      <c r="AD82" s="2710"/>
      <c r="AE82" s="2712"/>
      <c r="AF82" s="2710"/>
      <c r="AG82" s="2712"/>
      <c r="AH82" s="2710"/>
      <c r="AI82" s="2712"/>
      <c r="AJ82" s="2712"/>
      <c r="AK82" s="2712"/>
      <c r="AL82" s="2710"/>
      <c r="AM82" s="2712"/>
      <c r="AN82" s="2710"/>
      <c r="AO82" s="2712"/>
      <c r="AP82" s="2710"/>
      <c r="AQ82" s="2712"/>
      <c r="AR82" s="2710"/>
      <c r="AS82" s="2712"/>
      <c r="AT82" s="2710"/>
      <c r="AU82" s="2710"/>
      <c r="AV82" s="2710"/>
      <c r="AW82" s="2710"/>
      <c r="AX82" s="2710"/>
      <c r="AY82" s="2710"/>
      <c r="AZ82" s="2710"/>
      <c r="BA82" s="2710"/>
      <c r="BB82" s="2710"/>
      <c r="BC82" s="2710"/>
      <c r="BD82" s="2710"/>
      <c r="BE82" s="2710"/>
      <c r="BF82" s="2710"/>
      <c r="BG82" s="2845"/>
      <c r="BH82" s="2845"/>
      <c r="BI82" s="2609"/>
      <c r="BJ82" s="2638"/>
      <c r="BK82" s="2638"/>
      <c r="BL82" s="2844"/>
      <c r="BM82" s="2844"/>
      <c r="BN82" s="2656"/>
      <c r="BO82" s="2656"/>
      <c r="BP82" s="2710"/>
    </row>
    <row r="83" spans="2:68" ht="63.75" customHeight="1" x14ac:dyDescent="0.2">
      <c r="B83" s="122"/>
      <c r="C83" s="123"/>
      <c r="D83" s="124"/>
      <c r="E83" s="129"/>
      <c r="F83" s="123"/>
      <c r="G83" s="2829"/>
      <c r="H83" s="2811"/>
      <c r="I83" s="2831"/>
      <c r="J83" s="2833"/>
      <c r="K83" s="2811"/>
      <c r="L83" s="2811"/>
      <c r="M83" s="2782"/>
      <c r="N83" s="2811"/>
      <c r="O83" s="2831"/>
      <c r="P83" s="2729"/>
      <c r="Q83" s="2736"/>
      <c r="R83" s="2840"/>
      <c r="S83" s="2836"/>
      <c r="T83" s="136" t="s">
        <v>200</v>
      </c>
      <c r="U83" s="2307">
        <v>500000</v>
      </c>
      <c r="V83" s="2307">
        <v>0</v>
      </c>
      <c r="W83" s="2307">
        <v>0</v>
      </c>
      <c r="X83" s="69">
        <v>88</v>
      </c>
      <c r="Y83" s="1998" t="s">
        <v>411</v>
      </c>
      <c r="Z83" s="2710"/>
      <c r="AA83" s="2712"/>
      <c r="AB83" s="2710"/>
      <c r="AC83" s="2712"/>
      <c r="AD83" s="2710"/>
      <c r="AE83" s="2712"/>
      <c r="AF83" s="2710"/>
      <c r="AG83" s="2712"/>
      <c r="AH83" s="2710"/>
      <c r="AI83" s="2712"/>
      <c r="AJ83" s="2712"/>
      <c r="AK83" s="2712"/>
      <c r="AL83" s="2710"/>
      <c r="AM83" s="2712"/>
      <c r="AN83" s="2710"/>
      <c r="AO83" s="2712"/>
      <c r="AP83" s="2710"/>
      <c r="AQ83" s="2712"/>
      <c r="AR83" s="2710"/>
      <c r="AS83" s="2712"/>
      <c r="AT83" s="2710"/>
      <c r="AU83" s="2710"/>
      <c r="AV83" s="2710"/>
      <c r="AW83" s="2710"/>
      <c r="AX83" s="2710"/>
      <c r="AY83" s="2710"/>
      <c r="AZ83" s="2710"/>
      <c r="BA83" s="2710"/>
      <c r="BB83" s="2710"/>
      <c r="BC83" s="2710"/>
      <c r="BD83" s="2710"/>
      <c r="BE83" s="2710"/>
      <c r="BF83" s="2710"/>
      <c r="BG83" s="2845"/>
      <c r="BH83" s="2845"/>
      <c r="BI83" s="2609"/>
      <c r="BJ83" s="2638"/>
      <c r="BK83" s="2638"/>
      <c r="BL83" s="2844"/>
      <c r="BM83" s="2844"/>
      <c r="BN83" s="2656"/>
      <c r="BO83" s="2656"/>
      <c r="BP83" s="2710"/>
    </row>
    <row r="84" spans="2:68" ht="59.25" customHeight="1" x14ac:dyDescent="0.2">
      <c r="B84" s="122"/>
      <c r="C84" s="123"/>
      <c r="D84" s="124"/>
      <c r="E84" s="129"/>
      <c r="F84" s="123"/>
      <c r="G84" s="2829"/>
      <c r="H84" s="2811"/>
      <c r="I84" s="2831"/>
      <c r="J84" s="2833"/>
      <c r="K84" s="2811"/>
      <c r="L84" s="2811"/>
      <c r="M84" s="2782"/>
      <c r="N84" s="2811"/>
      <c r="O84" s="2831"/>
      <c r="P84" s="2729"/>
      <c r="Q84" s="2736"/>
      <c r="R84" s="2840"/>
      <c r="S84" s="2836"/>
      <c r="T84" s="136" t="s">
        <v>201</v>
      </c>
      <c r="U84" s="2307">
        <v>500000</v>
      </c>
      <c r="V84" s="2307">
        <v>0</v>
      </c>
      <c r="W84" s="2307">
        <v>0</v>
      </c>
      <c r="X84" s="69">
        <v>88</v>
      </c>
      <c r="Y84" s="1998" t="s">
        <v>411</v>
      </c>
      <c r="Z84" s="2710"/>
      <c r="AA84" s="2712"/>
      <c r="AB84" s="2710"/>
      <c r="AC84" s="2712"/>
      <c r="AD84" s="2710"/>
      <c r="AE84" s="2712"/>
      <c r="AF84" s="2710"/>
      <c r="AG84" s="2712"/>
      <c r="AH84" s="2710"/>
      <c r="AI84" s="2712"/>
      <c r="AJ84" s="2712"/>
      <c r="AK84" s="2712"/>
      <c r="AL84" s="2710"/>
      <c r="AM84" s="2712"/>
      <c r="AN84" s="2710"/>
      <c r="AO84" s="2712"/>
      <c r="AP84" s="2710"/>
      <c r="AQ84" s="2712"/>
      <c r="AR84" s="2710"/>
      <c r="AS84" s="2712"/>
      <c r="AT84" s="2710"/>
      <c r="AU84" s="2710"/>
      <c r="AV84" s="2710"/>
      <c r="AW84" s="2710"/>
      <c r="AX84" s="2710"/>
      <c r="AY84" s="2710"/>
      <c r="AZ84" s="2710"/>
      <c r="BA84" s="2710"/>
      <c r="BB84" s="2710"/>
      <c r="BC84" s="2710"/>
      <c r="BD84" s="2710"/>
      <c r="BE84" s="2710"/>
      <c r="BF84" s="2710"/>
      <c r="BG84" s="2845"/>
      <c r="BH84" s="2845"/>
      <c r="BI84" s="2609"/>
      <c r="BJ84" s="2638"/>
      <c r="BK84" s="2638"/>
      <c r="BL84" s="2844"/>
      <c r="BM84" s="2844"/>
      <c r="BN84" s="2656"/>
      <c r="BO84" s="2656"/>
      <c r="BP84" s="2710"/>
    </row>
    <row r="85" spans="2:68" ht="59.25" customHeight="1" x14ac:dyDescent="0.2">
      <c r="B85" s="122"/>
      <c r="C85" s="123"/>
      <c r="D85" s="124"/>
      <c r="E85" s="129"/>
      <c r="F85" s="123"/>
      <c r="G85" s="2829"/>
      <c r="H85" s="2811"/>
      <c r="I85" s="2831"/>
      <c r="J85" s="2833"/>
      <c r="K85" s="2811"/>
      <c r="L85" s="2811"/>
      <c r="M85" s="2782"/>
      <c r="N85" s="2811"/>
      <c r="O85" s="2831"/>
      <c r="P85" s="2729"/>
      <c r="Q85" s="2736"/>
      <c r="R85" s="2840"/>
      <c r="S85" s="2836"/>
      <c r="T85" s="136" t="s">
        <v>202</v>
      </c>
      <c r="U85" s="2307">
        <v>500000</v>
      </c>
      <c r="V85" s="2307">
        <v>500000</v>
      </c>
      <c r="W85" s="2307">
        <f>V85</f>
        <v>500000</v>
      </c>
      <c r="X85" s="69">
        <v>88</v>
      </c>
      <c r="Y85" s="1998" t="s">
        <v>411</v>
      </c>
      <c r="Z85" s="2710"/>
      <c r="AA85" s="2712"/>
      <c r="AB85" s="2710"/>
      <c r="AC85" s="2712"/>
      <c r="AD85" s="2710"/>
      <c r="AE85" s="2712"/>
      <c r="AF85" s="2710"/>
      <c r="AG85" s="2712"/>
      <c r="AH85" s="2710"/>
      <c r="AI85" s="2712"/>
      <c r="AJ85" s="2712"/>
      <c r="AK85" s="2712"/>
      <c r="AL85" s="2710"/>
      <c r="AM85" s="2712"/>
      <c r="AN85" s="2710"/>
      <c r="AO85" s="2712"/>
      <c r="AP85" s="2710"/>
      <c r="AQ85" s="2712"/>
      <c r="AR85" s="2710"/>
      <c r="AS85" s="2712"/>
      <c r="AT85" s="2710"/>
      <c r="AU85" s="2710"/>
      <c r="AV85" s="2710"/>
      <c r="AW85" s="2710"/>
      <c r="AX85" s="2710"/>
      <c r="AY85" s="2710"/>
      <c r="AZ85" s="2710"/>
      <c r="BA85" s="2710"/>
      <c r="BB85" s="2710"/>
      <c r="BC85" s="2710"/>
      <c r="BD85" s="2710"/>
      <c r="BE85" s="2710"/>
      <c r="BF85" s="2710"/>
      <c r="BG85" s="2845"/>
      <c r="BH85" s="2845"/>
      <c r="BI85" s="2609"/>
      <c r="BJ85" s="2638"/>
      <c r="BK85" s="2638"/>
      <c r="BL85" s="2844"/>
      <c r="BM85" s="2844"/>
      <c r="BN85" s="2656"/>
      <c r="BO85" s="2656"/>
      <c r="BP85" s="2710"/>
    </row>
    <row r="86" spans="2:68" ht="54.75" customHeight="1" x14ac:dyDescent="0.2">
      <c r="B86" s="122"/>
      <c r="C86" s="123"/>
      <c r="D86" s="124"/>
      <c r="E86" s="129"/>
      <c r="F86" s="123"/>
      <c r="G86" s="2829"/>
      <c r="H86" s="2811"/>
      <c r="I86" s="2831"/>
      <c r="J86" s="2833"/>
      <c r="K86" s="2811"/>
      <c r="L86" s="2811"/>
      <c r="M86" s="2782"/>
      <c r="N86" s="2811"/>
      <c r="O86" s="2831"/>
      <c r="P86" s="2729"/>
      <c r="Q86" s="2736"/>
      <c r="R86" s="2840"/>
      <c r="S86" s="2836"/>
      <c r="T86" s="136" t="s">
        <v>203</v>
      </c>
      <c r="U86" s="2307">
        <v>500000</v>
      </c>
      <c r="V86" s="2307">
        <v>500000</v>
      </c>
      <c r="W86" s="2307">
        <f>V86</f>
        <v>500000</v>
      </c>
      <c r="X86" s="69">
        <v>88</v>
      </c>
      <c r="Y86" s="1998" t="s">
        <v>411</v>
      </c>
      <c r="Z86" s="2710"/>
      <c r="AA86" s="2712"/>
      <c r="AB86" s="2710"/>
      <c r="AC86" s="2712"/>
      <c r="AD86" s="2710"/>
      <c r="AE86" s="2712"/>
      <c r="AF86" s="2710"/>
      <c r="AG86" s="2712"/>
      <c r="AH86" s="2710"/>
      <c r="AI86" s="2712"/>
      <c r="AJ86" s="2712"/>
      <c r="AK86" s="2712"/>
      <c r="AL86" s="2710"/>
      <c r="AM86" s="2712"/>
      <c r="AN86" s="2710"/>
      <c r="AO86" s="2712"/>
      <c r="AP86" s="2710"/>
      <c r="AQ86" s="2712"/>
      <c r="AR86" s="2710"/>
      <c r="AS86" s="2712"/>
      <c r="AT86" s="2710"/>
      <c r="AU86" s="2710"/>
      <c r="AV86" s="2710"/>
      <c r="AW86" s="2710"/>
      <c r="AX86" s="2710"/>
      <c r="AY86" s="2710"/>
      <c r="AZ86" s="2710"/>
      <c r="BA86" s="2710"/>
      <c r="BB86" s="2710"/>
      <c r="BC86" s="2710"/>
      <c r="BD86" s="2710"/>
      <c r="BE86" s="2710"/>
      <c r="BF86" s="2710"/>
      <c r="BG86" s="2845"/>
      <c r="BH86" s="2845"/>
      <c r="BI86" s="2609"/>
      <c r="BJ86" s="2638"/>
      <c r="BK86" s="2638"/>
      <c r="BL86" s="2844"/>
      <c r="BM86" s="2844"/>
      <c r="BN86" s="2656"/>
      <c r="BO86" s="2656"/>
      <c r="BP86" s="2710"/>
    </row>
    <row r="87" spans="2:68" ht="62.25" customHeight="1" x14ac:dyDescent="0.2">
      <c r="B87" s="122"/>
      <c r="C87" s="123"/>
      <c r="D87" s="124"/>
      <c r="E87" s="129"/>
      <c r="F87" s="123"/>
      <c r="G87" s="2829"/>
      <c r="H87" s="2811"/>
      <c r="I87" s="2831"/>
      <c r="J87" s="2833"/>
      <c r="K87" s="2811"/>
      <c r="L87" s="2811"/>
      <c r="M87" s="2782"/>
      <c r="N87" s="2811"/>
      <c r="O87" s="2831"/>
      <c r="P87" s="2729"/>
      <c r="Q87" s="2736"/>
      <c r="R87" s="2840"/>
      <c r="S87" s="2836"/>
      <c r="T87" s="137" t="s">
        <v>204</v>
      </c>
      <c r="U87" s="2307">
        <v>1500000</v>
      </c>
      <c r="V87" s="2307">
        <v>1500000</v>
      </c>
      <c r="W87" s="2307">
        <f>V87</f>
        <v>1500000</v>
      </c>
      <c r="X87" s="69">
        <v>88</v>
      </c>
      <c r="Y87" s="1998" t="s">
        <v>411</v>
      </c>
      <c r="Z87" s="2710"/>
      <c r="AA87" s="2712"/>
      <c r="AB87" s="2710"/>
      <c r="AC87" s="2712"/>
      <c r="AD87" s="2710"/>
      <c r="AE87" s="2712"/>
      <c r="AF87" s="2710"/>
      <c r="AG87" s="2712"/>
      <c r="AH87" s="2710"/>
      <c r="AI87" s="2712"/>
      <c r="AJ87" s="2712"/>
      <c r="AK87" s="2712"/>
      <c r="AL87" s="2710"/>
      <c r="AM87" s="2712"/>
      <c r="AN87" s="2710"/>
      <c r="AO87" s="2712"/>
      <c r="AP87" s="2710"/>
      <c r="AQ87" s="2712"/>
      <c r="AR87" s="2710"/>
      <c r="AS87" s="2712"/>
      <c r="AT87" s="2710"/>
      <c r="AU87" s="2710"/>
      <c r="AV87" s="2710"/>
      <c r="AW87" s="2710"/>
      <c r="AX87" s="2710"/>
      <c r="AY87" s="2710"/>
      <c r="AZ87" s="2710"/>
      <c r="BA87" s="2710"/>
      <c r="BB87" s="2710"/>
      <c r="BC87" s="2710"/>
      <c r="BD87" s="2710"/>
      <c r="BE87" s="2710"/>
      <c r="BF87" s="2710"/>
      <c r="BG87" s="2845"/>
      <c r="BH87" s="2845"/>
      <c r="BI87" s="2609"/>
      <c r="BJ87" s="2638"/>
      <c r="BK87" s="2638"/>
      <c r="BL87" s="2844"/>
      <c r="BM87" s="2844"/>
      <c r="BN87" s="2656"/>
      <c r="BO87" s="2656"/>
      <c r="BP87" s="2710"/>
    </row>
    <row r="88" spans="2:68" ht="56.25" customHeight="1" x14ac:dyDescent="0.2">
      <c r="B88" s="122"/>
      <c r="C88" s="123"/>
      <c r="D88" s="124"/>
      <c r="E88" s="129"/>
      <c r="F88" s="123"/>
      <c r="G88" s="2829"/>
      <c r="H88" s="2811"/>
      <c r="I88" s="2831"/>
      <c r="J88" s="2833"/>
      <c r="K88" s="2811"/>
      <c r="L88" s="2811"/>
      <c r="M88" s="2782"/>
      <c r="N88" s="2811"/>
      <c r="O88" s="2831"/>
      <c r="P88" s="2729"/>
      <c r="Q88" s="2736"/>
      <c r="R88" s="2840"/>
      <c r="S88" s="2836"/>
      <c r="T88" s="137" t="s">
        <v>205</v>
      </c>
      <c r="U88" s="2307">
        <v>600000</v>
      </c>
      <c r="V88" s="2307">
        <v>600000</v>
      </c>
      <c r="W88" s="2307">
        <f>V88</f>
        <v>600000</v>
      </c>
      <c r="X88" s="69">
        <v>88</v>
      </c>
      <c r="Y88" s="1998" t="s">
        <v>411</v>
      </c>
      <c r="Z88" s="2710"/>
      <c r="AA88" s="2712"/>
      <c r="AB88" s="2710"/>
      <c r="AC88" s="2712"/>
      <c r="AD88" s="2710"/>
      <c r="AE88" s="2712"/>
      <c r="AF88" s="2710"/>
      <c r="AG88" s="2712"/>
      <c r="AH88" s="2710"/>
      <c r="AI88" s="2712"/>
      <c r="AJ88" s="2712"/>
      <c r="AK88" s="2712"/>
      <c r="AL88" s="2710"/>
      <c r="AM88" s="2712"/>
      <c r="AN88" s="2710"/>
      <c r="AO88" s="2712"/>
      <c r="AP88" s="2710"/>
      <c r="AQ88" s="2712"/>
      <c r="AR88" s="2710"/>
      <c r="AS88" s="2712"/>
      <c r="AT88" s="2710"/>
      <c r="AU88" s="2710"/>
      <c r="AV88" s="2710"/>
      <c r="AW88" s="2710"/>
      <c r="AX88" s="2710"/>
      <c r="AY88" s="2710"/>
      <c r="AZ88" s="2710"/>
      <c r="BA88" s="2710"/>
      <c r="BB88" s="2710"/>
      <c r="BC88" s="2710"/>
      <c r="BD88" s="2710"/>
      <c r="BE88" s="2710"/>
      <c r="BF88" s="2710"/>
      <c r="BG88" s="2845"/>
      <c r="BH88" s="2845"/>
      <c r="BI88" s="2609"/>
      <c r="BJ88" s="2638"/>
      <c r="BK88" s="2638"/>
      <c r="BL88" s="2844"/>
      <c r="BM88" s="2844"/>
      <c r="BN88" s="2656"/>
      <c r="BO88" s="2656"/>
      <c r="BP88" s="2710"/>
    </row>
    <row r="89" spans="2:68" ht="56.25" customHeight="1" x14ac:dyDescent="0.2">
      <c r="B89" s="122"/>
      <c r="C89" s="123"/>
      <c r="D89" s="124"/>
      <c r="E89" s="129"/>
      <c r="F89" s="123"/>
      <c r="G89" s="2829"/>
      <c r="H89" s="2811"/>
      <c r="I89" s="2831"/>
      <c r="J89" s="2833"/>
      <c r="K89" s="2811"/>
      <c r="L89" s="2811"/>
      <c r="M89" s="2782"/>
      <c r="N89" s="2811"/>
      <c r="O89" s="2831"/>
      <c r="P89" s="2729"/>
      <c r="Q89" s="2736"/>
      <c r="R89" s="2840"/>
      <c r="S89" s="2836"/>
      <c r="T89" s="137" t="s">
        <v>206</v>
      </c>
      <c r="U89" s="2307">
        <v>1500000</v>
      </c>
      <c r="V89" s="2307">
        <v>0</v>
      </c>
      <c r="W89" s="2307">
        <v>0</v>
      </c>
      <c r="X89" s="69">
        <v>88</v>
      </c>
      <c r="Y89" s="1998" t="s">
        <v>411</v>
      </c>
      <c r="Z89" s="2710"/>
      <c r="AA89" s="2712"/>
      <c r="AB89" s="2710"/>
      <c r="AC89" s="2712"/>
      <c r="AD89" s="2710"/>
      <c r="AE89" s="2712"/>
      <c r="AF89" s="2710"/>
      <c r="AG89" s="2712"/>
      <c r="AH89" s="2710"/>
      <c r="AI89" s="2712"/>
      <c r="AJ89" s="2712"/>
      <c r="AK89" s="2712"/>
      <c r="AL89" s="2710"/>
      <c r="AM89" s="2712"/>
      <c r="AN89" s="2710"/>
      <c r="AO89" s="2712"/>
      <c r="AP89" s="2710"/>
      <c r="AQ89" s="2712"/>
      <c r="AR89" s="2710"/>
      <c r="AS89" s="2712"/>
      <c r="AT89" s="2710"/>
      <c r="AU89" s="2710"/>
      <c r="AV89" s="2710"/>
      <c r="AW89" s="2710"/>
      <c r="AX89" s="2710"/>
      <c r="AY89" s="2710"/>
      <c r="AZ89" s="2710"/>
      <c r="BA89" s="2710"/>
      <c r="BB89" s="2710"/>
      <c r="BC89" s="2710"/>
      <c r="BD89" s="2710"/>
      <c r="BE89" s="2710"/>
      <c r="BF89" s="2710"/>
      <c r="BG89" s="2845"/>
      <c r="BH89" s="2845"/>
      <c r="BI89" s="2609"/>
      <c r="BJ89" s="2638"/>
      <c r="BK89" s="2638"/>
      <c r="BL89" s="2844"/>
      <c r="BM89" s="2844"/>
      <c r="BN89" s="2656"/>
      <c r="BO89" s="2656"/>
      <c r="BP89" s="2710"/>
    </row>
    <row r="90" spans="2:68" ht="56.25" customHeight="1" x14ac:dyDescent="0.2">
      <c r="B90" s="122"/>
      <c r="C90" s="123"/>
      <c r="D90" s="124"/>
      <c r="E90" s="129"/>
      <c r="F90" s="123"/>
      <c r="G90" s="2829"/>
      <c r="H90" s="2811"/>
      <c r="I90" s="2831"/>
      <c r="J90" s="2833"/>
      <c r="K90" s="2811"/>
      <c r="L90" s="2811"/>
      <c r="M90" s="2782"/>
      <c r="N90" s="2811"/>
      <c r="O90" s="2831"/>
      <c r="P90" s="2729"/>
      <c r="Q90" s="2736"/>
      <c r="R90" s="2840"/>
      <c r="S90" s="2836"/>
      <c r="T90" s="137" t="s">
        <v>207</v>
      </c>
      <c r="U90" s="2307">
        <v>600000</v>
      </c>
      <c r="V90" s="2307">
        <v>0</v>
      </c>
      <c r="W90" s="2307">
        <v>0</v>
      </c>
      <c r="X90" s="69">
        <v>88</v>
      </c>
      <c r="Y90" s="1998" t="s">
        <v>411</v>
      </c>
      <c r="Z90" s="2710"/>
      <c r="AA90" s="2712"/>
      <c r="AB90" s="2710"/>
      <c r="AC90" s="2712"/>
      <c r="AD90" s="2710"/>
      <c r="AE90" s="2712"/>
      <c r="AF90" s="2710"/>
      <c r="AG90" s="2712"/>
      <c r="AH90" s="2710"/>
      <c r="AI90" s="2712"/>
      <c r="AJ90" s="2712"/>
      <c r="AK90" s="2712"/>
      <c r="AL90" s="2710"/>
      <c r="AM90" s="2712"/>
      <c r="AN90" s="2710"/>
      <c r="AO90" s="2712"/>
      <c r="AP90" s="2710"/>
      <c r="AQ90" s="2712"/>
      <c r="AR90" s="2710"/>
      <c r="AS90" s="2712"/>
      <c r="AT90" s="2710"/>
      <c r="AU90" s="2710"/>
      <c r="AV90" s="2710"/>
      <c r="AW90" s="2710"/>
      <c r="AX90" s="2710"/>
      <c r="AY90" s="2710"/>
      <c r="AZ90" s="2710"/>
      <c r="BA90" s="2710"/>
      <c r="BB90" s="2710"/>
      <c r="BC90" s="2710"/>
      <c r="BD90" s="2710"/>
      <c r="BE90" s="2710"/>
      <c r="BF90" s="2710"/>
      <c r="BG90" s="2845"/>
      <c r="BH90" s="2845"/>
      <c r="BI90" s="2609"/>
      <c r="BJ90" s="2638"/>
      <c r="BK90" s="2638"/>
      <c r="BL90" s="2844"/>
      <c r="BM90" s="2844"/>
      <c r="BN90" s="2656"/>
      <c r="BO90" s="2656"/>
      <c r="BP90" s="2710"/>
    </row>
    <row r="91" spans="2:68" ht="56.25" customHeight="1" x14ac:dyDescent="0.2">
      <c r="B91" s="122"/>
      <c r="C91" s="123"/>
      <c r="D91" s="124"/>
      <c r="E91" s="129"/>
      <c r="F91" s="123"/>
      <c r="G91" s="2829"/>
      <c r="H91" s="2811"/>
      <c r="I91" s="2831"/>
      <c r="J91" s="2833"/>
      <c r="K91" s="2811"/>
      <c r="L91" s="2811"/>
      <c r="M91" s="2782"/>
      <c r="N91" s="2811"/>
      <c r="O91" s="2831"/>
      <c r="P91" s="2729"/>
      <c r="Q91" s="2736"/>
      <c r="R91" s="2840"/>
      <c r="S91" s="2836"/>
      <c r="T91" s="137" t="s">
        <v>208</v>
      </c>
      <c r="U91" s="2308">
        <v>3000000</v>
      </c>
      <c r="V91" s="2307">
        <v>3000000</v>
      </c>
      <c r="W91" s="2307">
        <v>3000000</v>
      </c>
      <c r="X91" s="69">
        <v>88</v>
      </c>
      <c r="Y91" s="1998" t="s">
        <v>411</v>
      </c>
      <c r="Z91" s="2710"/>
      <c r="AA91" s="2712"/>
      <c r="AB91" s="2710"/>
      <c r="AC91" s="2712"/>
      <c r="AD91" s="2710"/>
      <c r="AE91" s="2712"/>
      <c r="AF91" s="2710"/>
      <c r="AG91" s="2712"/>
      <c r="AH91" s="2710"/>
      <c r="AI91" s="2712"/>
      <c r="AJ91" s="2712"/>
      <c r="AK91" s="2712"/>
      <c r="AL91" s="2710"/>
      <c r="AM91" s="2712"/>
      <c r="AN91" s="2710"/>
      <c r="AO91" s="2712"/>
      <c r="AP91" s="2710"/>
      <c r="AQ91" s="2712"/>
      <c r="AR91" s="2710"/>
      <c r="AS91" s="2712"/>
      <c r="AT91" s="2710"/>
      <c r="AU91" s="2710"/>
      <c r="AV91" s="2710"/>
      <c r="AW91" s="2710"/>
      <c r="AX91" s="2710"/>
      <c r="AY91" s="2710"/>
      <c r="AZ91" s="2710"/>
      <c r="BA91" s="2710"/>
      <c r="BB91" s="2710"/>
      <c r="BC91" s="2710"/>
      <c r="BD91" s="2710"/>
      <c r="BE91" s="2710"/>
      <c r="BF91" s="2710"/>
      <c r="BG91" s="2845"/>
      <c r="BH91" s="2845"/>
      <c r="BI91" s="2609"/>
      <c r="BJ91" s="2638"/>
      <c r="BK91" s="2638"/>
      <c r="BL91" s="2844"/>
      <c r="BM91" s="2844"/>
      <c r="BN91" s="2656"/>
      <c r="BO91" s="2656"/>
      <c r="BP91" s="2710"/>
    </row>
    <row r="92" spans="2:68" ht="81" customHeight="1" x14ac:dyDescent="0.2">
      <c r="B92" s="122"/>
      <c r="C92" s="123"/>
      <c r="D92" s="124"/>
      <c r="E92" s="129"/>
      <c r="F92" s="123"/>
      <c r="G92" s="2829"/>
      <c r="H92" s="2811"/>
      <c r="I92" s="2831"/>
      <c r="J92" s="2833"/>
      <c r="K92" s="2811"/>
      <c r="L92" s="2811"/>
      <c r="M92" s="2782"/>
      <c r="N92" s="2811"/>
      <c r="O92" s="2831"/>
      <c r="P92" s="2729"/>
      <c r="Q92" s="2736"/>
      <c r="R92" s="2840"/>
      <c r="S92" s="2836"/>
      <c r="T92" s="137" t="s">
        <v>209</v>
      </c>
      <c r="U92" s="2308">
        <v>1500000</v>
      </c>
      <c r="V92" s="2307">
        <v>1500000</v>
      </c>
      <c r="W92" s="2307">
        <v>1500000</v>
      </c>
      <c r="X92" s="69">
        <v>88</v>
      </c>
      <c r="Y92" s="1998" t="s">
        <v>411</v>
      </c>
      <c r="Z92" s="2710"/>
      <c r="AA92" s="2712"/>
      <c r="AB92" s="2710"/>
      <c r="AC92" s="2712"/>
      <c r="AD92" s="2710"/>
      <c r="AE92" s="2712"/>
      <c r="AF92" s="2710"/>
      <c r="AG92" s="2712"/>
      <c r="AH92" s="2710"/>
      <c r="AI92" s="2712"/>
      <c r="AJ92" s="2712"/>
      <c r="AK92" s="2712"/>
      <c r="AL92" s="2710"/>
      <c r="AM92" s="2712"/>
      <c r="AN92" s="2710"/>
      <c r="AO92" s="2712"/>
      <c r="AP92" s="2710"/>
      <c r="AQ92" s="2712"/>
      <c r="AR92" s="2710"/>
      <c r="AS92" s="2712"/>
      <c r="AT92" s="2710"/>
      <c r="AU92" s="2710"/>
      <c r="AV92" s="2710"/>
      <c r="AW92" s="2710"/>
      <c r="AX92" s="2710"/>
      <c r="AY92" s="2710"/>
      <c r="AZ92" s="2710"/>
      <c r="BA92" s="2710"/>
      <c r="BB92" s="2710"/>
      <c r="BC92" s="2710"/>
      <c r="BD92" s="2710"/>
      <c r="BE92" s="2710"/>
      <c r="BF92" s="2710"/>
      <c r="BG92" s="2845"/>
      <c r="BH92" s="2845"/>
      <c r="BI92" s="2609"/>
      <c r="BJ92" s="2638"/>
      <c r="BK92" s="2638"/>
      <c r="BL92" s="2844"/>
      <c r="BM92" s="2844"/>
      <c r="BN92" s="2656"/>
      <c r="BO92" s="2656"/>
      <c r="BP92" s="2710"/>
    </row>
    <row r="93" spans="2:68" ht="81" customHeight="1" x14ac:dyDescent="0.2">
      <c r="B93" s="122"/>
      <c r="C93" s="123"/>
      <c r="D93" s="124"/>
      <c r="E93" s="129"/>
      <c r="F93" s="123"/>
      <c r="G93" s="2829"/>
      <c r="H93" s="2811"/>
      <c r="I93" s="2831"/>
      <c r="J93" s="2833"/>
      <c r="K93" s="2811"/>
      <c r="L93" s="2811"/>
      <c r="M93" s="2782"/>
      <c r="N93" s="2811"/>
      <c r="O93" s="2831"/>
      <c r="P93" s="2729"/>
      <c r="Q93" s="2736"/>
      <c r="R93" s="2840"/>
      <c r="S93" s="2836"/>
      <c r="T93" s="137" t="s">
        <v>210</v>
      </c>
      <c r="U93" s="2308">
        <v>800000</v>
      </c>
      <c r="V93" s="2307">
        <v>800000</v>
      </c>
      <c r="W93" s="2307">
        <v>800000</v>
      </c>
      <c r="X93" s="69">
        <v>88</v>
      </c>
      <c r="Y93" s="1998" t="s">
        <v>411</v>
      </c>
      <c r="Z93" s="2710"/>
      <c r="AA93" s="2712"/>
      <c r="AB93" s="2710"/>
      <c r="AC93" s="2712"/>
      <c r="AD93" s="2710"/>
      <c r="AE93" s="2712"/>
      <c r="AF93" s="2710"/>
      <c r="AG93" s="2712"/>
      <c r="AH93" s="2710"/>
      <c r="AI93" s="2712"/>
      <c r="AJ93" s="2712"/>
      <c r="AK93" s="2712"/>
      <c r="AL93" s="2710"/>
      <c r="AM93" s="2712"/>
      <c r="AN93" s="2710"/>
      <c r="AO93" s="2712"/>
      <c r="AP93" s="2710"/>
      <c r="AQ93" s="2712"/>
      <c r="AR93" s="2710"/>
      <c r="AS93" s="2712"/>
      <c r="AT93" s="2710"/>
      <c r="AU93" s="2710"/>
      <c r="AV93" s="2710"/>
      <c r="AW93" s="2710"/>
      <c r="AX93" s="2710"/>
      <c r="AY93" s="2710"/>
      <c r="AZ93" s="2710"/>
      <c r="BA93" s="2710"/>
      <c r="BB93" s="2710"/>
      <c r="BC93" s="2710"/>
      <c r="BD93" s="2710"/>
      <c r="BE93" s="2710"/>
      <c r="BF93" s="2710"/>
      <c r="BG93" s="2845"/>
      <c r="BH93" s="2845"/>
      <c r="BI93" s="2609"/>
      <c r="BJ93" s="2638"/>
      <c r="BK93" s="2638"/>
      <c r="BL93" s="2844"/>
      <c r="BM93" s="2844"/>
      <c r="BN93" s="2656"/>
      <c r="BO93" s="2656"/>
      <c r="BP93" s="2710"/>
    </row>
    <row r="94" spans="2:68" ht="81" customHeight="1" x14ac:dyDescent="0.2">
      <c r="B94" s="122"/>
      <c r="C94" s="123"/>
      <c r="D94" s="124"/>
      <c r="E94" s="129"/>
      <c r="F94" s="123"/>
      <c r="G94" s="2829"/>
      <c r="H94" s="2811"/>
      <c r="I94" s="2831"/>
      <c r="J94" s="2833"/>
      <c r="K94" s="2811"/>
      <c r="L94" s="2811"/>
      <c r="M94" s="2782"/>
      <c r="N94" s="2811"/>
      <c r="O94" s="2831"/>
      <c r="P94" s="2729"/>
      <c r="Q94" s="2736"/>
      <c r="R94" s="2840"/>
      <c r="S94" s="2836"/>
      <c r="T94" s="137" t="s">
        <v>211</v>
      </c>
      <c r="U94" s="2308">
        <v>1500000</v>
      </c>
      <c r="V94" s="2307">
        <v>1500000</v>
      </c>
      <c r="W94" s="2307">
        <v>1500000</v>
      </c>
      <c r="X94" s="69">
        <v>88</v>
      </c>
      <c r="Y94" s="1998" t="s">
        <v>411</v>
      </c>
      <c r="Z94" s="2710"/>
      <c r="AA94" s="2712"/>
      <c r="AB94" s="2710"/>
      <c r="AC94" s="2712"/>
      <c r="AD94" s="2710"/>
      <c r="AE94" s="2712"/>
      <c r="AF94" s="2710"/>
      <c r="AG94" s="2712"/>
      <c r="AH94" s="2710"/>
      <c r="AI94" s="2712"/>
      <c r="AJ94" s="2712"/>
      <c r="AK94" s="2712"/>
      <c r="AL94" s="2710"/>
      <c r="AM94" s="2712"/>
      <c r="AN94" s="2710"/>
      <c r="AO94" s="2712"/>
      <c r="AP94" s="2710"/>
      <c r="AQ94" s="2712"/>
      <c r="AR94" s="2710"/>
      <c r="AS94" s="2712"/>
      <c r="AT94" s="2710"/>
      <c r="AU94" s="2710"/>
      <c r="AV94" s="2710"/>
      <c r="AW94" s="2710"/>
      <c r="AX94" s="2710"/>
      <c r="AY94" s="2710"/>
      <c r="AZ94" s="2710"/>
      <c r="BA94" s="2710"/>
      <c r="BB94" s="2710"/>
      <c r="BC94" s="2710"/>
      <c r="BD94" s="2710"/>
      <c r="BE94" s="2710"/>
      <c r="BF94" s="2710"/>
      <c r="BG94" s="2845"/>
      <c r="BH94" s="2845"/>
      <c r="BI94" s="2609"/>
      <c r="BJ94" s="2638"/>
      <c r="BK94" s="2638"/>
      <c r="BL94" s="2844"/>
      <c r="BM94" s="2844"/>
      <c r="BN94" s="2656"/>
      <c r="BO94" s="2656"/>
      <c r="BP94" s="2710"/>
    </row>
    <row r="95" spans="2:68" ht="81" customHeight="1" x14ac:dyDescent="0.2">
      <c r="B95" s="122"/>
      <c r="C95" s="123"/>
      <c r="D95" s="124"/>
      <c r="E95" s="129"/>
      <c r="F95" s="123"/>
      <c r="G95" s="2829"/>
      <c r="H95" s="2811"/>
      <c r="I95" s="2831"/>
      <c r="J95" s="2833"/>
      <c r="K95" s="2811"/>
      <c r="L95" s="2811"/>
      <c r="M95" s="2782"/>
      <c r="N95" s="2811"/>
      <c r="O95" s="2831"/>
      <c r="P95" s="2729"/>
      <c r="Q95" s="2736"/>
      <c r="R95" s="2840"/>
      <c r="S95" s="2836"/>
      <c r="T95" s="137" t="s">
        <v>212</v>
      </c>
      <c r="U95" s="2308">
        <v>2000000</v>
      </c>
      <c r="V95" s="2307">
        <v>2000000</v>
      </c>
      <c r="W95" s="2307">
        <v>2000000</v>
      </c>
      <c r="X95" s="69">
        <v>88</v>
      </c>
      <c r="Y95" s="1998" t="s">
        <v>411</v>
      </c>
      <c r="Z95" s="2710"/>
      <c r="AA95" s="2712"/>
      <c r="AB95" s="2710"/>
      <c r="AC95" s="2712"/>
      <c r="AD95" s="2710"/>
      <c r="AE95" s="2712"/>
      <c r="AF95" s="2710"/>
      <c r="AG95" s="2712"/>
      <c r="AH95" s="2710"/>
      <c r="AI95" s="2712"/>
      <c r="AJ95" s="2712"/>
      <c r="AK95" s="2712"/>
      <c r="AL95" s="2710"/>
      <c r="AM95" s="2712"/>
      <c r="AN95" s="2710"/>
      <c r="AO95" s="2712"/>
      <c r="AP95" s="2710"/>
      <c r="AQ95" s="2712"/>
      <c r="AR95" s="2710"/>
      <c r="AS95" s="2712"/>
      <c r="AT95" s="2710"/>
      <c r="AU95" s="2710"/>
      <c r="AV95" s="2710"/>
      <c r="AW95" s="2710"/>
      <c r="AX95" s="2710"/>
      <c r="AY95" s="2710"/>
      <c r="AZ95" s="2710"/>
      <c r="BA95" s="2710"/>
      <c r="BB95" s="2710"/>
      <c r="BC95" s="2710"/>
      <c r="BD95" s="2710"/>
      <c r="BE95" s="2710"/>
      <c r="BF95" s="2710"/>
      <c r="BG95" s="2845"/>
      <c r="BH95" s="2845"/>
      <c r="BI95" s="2609"/>
      <c r="BJ95" s="2638"/>
      <c r="BK95" s="2638"/>
      <c r="BL95" s="2844"/>
      <c r="BM95" s="2844"/>
      <c r="BN95" s="2656"/>
      <c r="BO95" s="2656"/>
      <c r="BP95" s="2710"/>
    </row>
    <row r="96" spans="2:68" ht="81" customHeight="1" x14ac:dyDescent="0.2">
      <c r="B96" s="122"/>
      <c r="C96" s="123"/>
      <c r="D96" s="124"/>
      <c r="E96" s="129"/>
      <c r="F96" s="123"/>
      <c r="G96" s="2829"/>
      <c r="H96" s="2811"/>
      <c r="I96" s="2831"/>
      <c r="J96" s="2833"/>
      <c r="K96" s="2811"/>
      <c r="L96" s="2811"/>
      <c r="M96" s="2782"/>
      <c r="N96" s="2811"/>
      <c r="O96" s="2831"/>
      <c r="P96" s="2729"/>
      <c r="Q96" s="2736"/>
      <c r="R96" s="2840"/>
      <c r="S96" s="2836"/>
      <c r="T96" s="137" t="s">
        <v>213</v>
      </c>
      <c r="U96" s="2308">
        <v>2000000</v>
      </c>
      <c r="V96" s="2307">
        <v>1900000</v>
      </c>
      <c r="W96" s="2307">
        <v>1900000</v>
      </c>
      <c r="X96" s="69">
        <v>88</v>
      </c>
      <c r="Y96" s="1998" t="s">
        <v>411</v>
      </c>
      <c r="Z96" s="2710"/>
      <c r="AA96" s="2712"/>
      <c r="AB96" s="2710"/>
      <c r="AC96" s="2712"/>
      <c r="AD96" s="2710"/>
      <c r="AE96" s="2712"/>
      <c r="AF96" s="2710"/>
      <c r="AG96" s="2712"/>
      <c r="AH96" s="2710"/>
      <c r="AI96" s="2712"/>
      <c r="AJ96" s="2712"/>
      <c r="AK96" s="2712"/>
      <c r="AL96" s="2710"/>
      <c r="AM96" s="2712"/>
      <c r="AN96" s="2710"/>
      <c r="AO96" s="2712"/>
      <c r="AP96" s="2710"/>
      <c r="AQ96" s="2712"/>
      <c r="AR96" s="2710"/>
      <c r="AS96" s="2712"/>
      <c r="AT96" s="2710"/>
      <c r="AU96" s="2710"/>
      <c r="AV96" s="2710"/>
      <c r="AW96" s="2710"/>
      <c r="AX96" s="2710"/>
      <c r="AY96" s="2710"/>
      <c r="AZ96" s="2710"/>
      <c r="BA96" s="2710"/>
      <c r="BB96" s="2710"/>
      <c r="BC96" s="2710"/>
      <c r="BD96" s="2710"/>
      <c r="BE96" s="2710"/>
      <c r="BF96" s="2710"/>
      <c r="BG96" s="2845"/>
      <c r="BH96" s="2845"/>
      <c r="BI96" s="2609"/>
      <c r="BJ96" s="2638"/>
      <c r="BK96" s="2638"/>
      <c r="BL96" s="2844"/>
      <c r="BM96" s="2844"/>
      <c r="BN96" s="2656"/>
      <c r="BO96" s="2656"/>
      <c r="BP96" s="2710"/>
    </row>
    <row r="97" spans="1:68" ht="81" customHeight="1" x14ac:dyDescent="0.2">
      <c r="B97" s="122"/>
      <c r="C97" s="123"/>
      <c r="D97" s="124"/>
      <c r="E97" s="129"/>
      <c r="F97" s="123"/>
      <c r="G97" s="2829"/>
      <c r="H97" s="2811"/>
      <c r="I97" s="2831"/>
      <c r="J97" s="2833"/>
      <c r="K97" s="2811"/>
      <c r="L97" s="2811"/>
      <c r="M97" s="2782"/>
      <c r="N97" s="2811"/>
      <c r="O97" s="2831"/>
      <c r="P97" s="2729"/>
      <c r="Q97" s="2736"/>
      <c r="R97" s="2840"/>
      <c r="S97" s="2836"/>
      <c r="T97" s="137" t="s">
        <v>214</v>
      </c>
      <c r="U97" s="2308">
        <v>1500000</v>
      </c>
      <c r="V97" s="2307">
        <v>1500000</v>
      </c>
      <c r="W97" s="2307">
        <v>1500000</v>
      </c>
      <c r="X97" s="69">
        <v>88</v>
      </c>
      <c r="Y97" s="1998" t="s">
        <v>411</v>
      </c>
      <c r="Z97" s="2710"/>
      <c r="AA97" s="2712"/>
      <c r="AB97" s="2710"/>
      <c r="AC97" s="2712"/>
      <c r="AD97" s="2710"/>
      <c r="AE97" s="2712"/>
      <c r="AF97" s="2710"/>
      <c r="AG97" s="2712"/>
      <c r="AH97" s="2710"/>
      <c r="AI97" s="2712"/>
      <c r="AJ97" s="2712"/>
      <c r="AK97" s="2712"/>
      <c r="AL97" s="2710"/>
      <c r="AM97" s="2712"/>
      <c r="AN97" s="2710"/>
      <c r="AO97" s="2712"/>
      <c r="AP97" s="2710"/>
      <c r="AQ97" s="2712"/>
      <c r="AR97" s="2710"/>
      <c r="AS97" s="2712"/>
      <c r="AT97" s="2710"/>
      <c r="AU97" s="2710"/>
      <c r="AV97" s="2710"/>
      <c r="AW97" s="2710"/>
      <c r="AX97" s="2710"/>
      <c r="AY97" s="2710"/>
      <c r="AZ97" s="2710"/>
      <c r="BA97" s="2710"/>
      <c r="BB97" s="2710"/>
      <c r="BC97" s="2710"/>
      <c r="BD97" s="2710"/>
      <c r="BE97" s="2710"/>
      <c r="BF97" s="2710"/>
      <c r="BG97" s="2845"/>
      <c r="BH97" s="2845"/>
      <c r="BI97" s="2609"/>
      <c r="BJ97" s="2638"/>
      <c r="BK97" s="2638"/>
      <c r="BL97" s="2844"/>
      <c r="BM97" s="2844"/>
      <c r="BN97" s="2656"/>
      <c r="BO97" s="2656"/>
      <c r="BP97" s="2710"/>
    </row>
    <row r="98" spans="1:68" ht="81" customHeight="1" x14ac:dyDescent="0.2">
      <c r="B98" s="122"/>
      <c r="C98" s="123"/>
      <c r="D98" s="124"/>
      <c r="E98" s="129"/>
      <c r="F98" s="123"/>
      <c r="G98" s="2829"/>
      <c r="H98" s="2811"/>
      <c r="I98" s="2831"/>
      <c r="J98" s="2833"/>
      <c r="K98" s="2811"/>
      <c r="L98" s="2811"/>
      <c r="M98" s="2782"/>
      <c r="N98" s="2811"/>
      <c r="O98" s="2831"/>
      <c r="P98" s="2729"/>
      <c r="Q98" s="2736"/>
      <c r="R98" s="2840"/>
      <c r="S98" s="2836"/>
      <c r="T98" s="137" t="s">
        <v>215</v>
      </c>
      <c r="U98" s="2308">
        <v>1500000</v>
      </c>
      <c r="V98" s="2307">
        <v>1500000</v>
      </c>
      <c r="W98" s="2307">
        <v>1500000</v>
      </c>
      <c r="X98" s="69">
        <v>88</v>
      </c>
      <c r="Y98" s="1998" t="s">
        <v>411</v>
      </c>
      <c r="Z98" s="2710"/>
      <c r="AA98" s="2712"/>
      <c r="AB98" s="2710"/>
      <c r="AC98" s="2712"/>
      <c r="AD98" s="2710"/>
      <c r="AE98" s="2712"/>
      <c r="AF98" s="2710"/>
      <c r="AG98" s="2712"/>
      <c r="AH98" s="2710"/>
      <c r="AI98" s="2712"/>
      <c r="AJ98" s="2712"/>
      <c r="AK98" s="2712"/>
      <c r="AL98" s="2710"/>
      <c r="AM98" s="2712"/>
      <c r="AN98" s="2710"/>
      <c r="AO98" s="2712"/>
      <c r="AP98" s="2710"/>
      <c r="AQ98" s="2712"/>
      <c r="AR98" s="2710"/>
      <c r="AS98" s="2712"/>
      <c r="AT98" s="2710"/>
      <c r="AU98" s="2710"/>
      <c r="AV98" s="2710"/>
      <c r="AW98" s="2710"/>
      <c r="AX98" s="2710"/>
      <c r="AY98" s="2710"/>
      <c r="AZ98" s="2710"/>
      <c r="BA98" s="2710"/>
      <c r="BB98" s="2710"/>
      <c r="BC98" s="2710"/>
      <c r="BD98" s="2710"/>
      <c r="BE98" s="2710"/>
      <c r="BF98" s="2710"/>
      <c r="BG98" s="2845"/>
      <c r="BH98" s="2845"/>
      <c r="BI98" s="2609"/>
      <c r="BJ98" s="2638"/>
      <c r="BK98" s="2638"/>
      <c r="BL98" s="2844"/>
      <c r="BM98" s="2844"/>
      <c r="BN98" s="2656"/>
      <c r="BO98" s="2656"/>
      <c r="BP98" s="2710"/>
    </row>
    <row r="99" spans="1:68" ht="81" customHeight="1" x14ac:dyDescent="0.2">
      <c r="B99" s="122"/>
      <c r="C99" s="123"/>
      <c r="D99" s="124"/>
      <c r="E99" s="129"/>
      <c r="F99" s="123"/>
      <c r="G99" s="2829"/>
      <c r="H99" s="2811"/>
      <c r="I99" s="2831"/>
      <c r="J99" s="2833"/>
      <c r="K99" s="2811"/>
      <c r="L99" s="2811"/>
      <c r="M99" s="2782"/>
      <c r="N99" s="2811"/>
      <c r="O99" s="2831"/>
      <c r="P99" s="2729"/>
      <c r="Q99" s="2736"/>
      <c r="R99" s="2840"/>
      <c r="S99" s="2836"/>
      <c r="T99" s="137" t="s">
        <v>216</v>
      </c>
      <c r="U99" s="2308">
        <v>1500000</v>
      </c>
      <c r="V99" s="2307">
        <v>1500000</v>
      </c>
      <c r="W99" s="2307">
        <f t="shared" ref="W99:W104" si="0">V99</f>
        <v>1500000</v>
      </c>
      <c r="X99" s="69">
        <v>88</v>
      </c>
      <c r="Y99" s="1998" t="s">
        <v>411</v>
      </c>
      <c r="Z99" s="2710"/>
      <c r="AA99" s="2712"/>
      <c r="AB99" s="2710"/>
      <c r="AC99" s="2712"/>
      <c r="AD99" s="2710"/>
      <c r="AE99" s="2712"/>
      <c r="AF99" s="2710"/>
      <c r="AG99" s="2712"/>
      <c r="AH99" s="2710"/>
      <c r="AI99" s="2712"/>
      <c r="AJ99" s="2712"/>
      <c r="AK99" s="2712"/>
      <c r="AL99" s="2710"/>
      <c r="AM99" s="2712"/>
      <c r="AN99" s="2710"/>
      <c r="AO99" s="2712"/>
      <c r="AP99" s="2710"/>
      <c r="AQ99" s="2712"/>
      <c r="AR99" s="2710"/>
      <c r="AS99" s="2712"/>
      <c r="AT99" s="2710"/>
      <c r="AU99" s="2710"/>
      <c r="AV99" s="2710"/>
      <c r="AW99" s="2710"/>
      <c r="AX99" s="2710"/>
      <c r="AY99" s="2710"/>
      <c r="AZ99" s="2710"/>
      <c r="BA99" s="2710"/>
      <c r="BB99" s="2710"/>
      <c r="BC99" s="2710"/>
      <c r="BD99" s="2710"/>
      <c r="BE99" s="2710"/>
      <c r="BF99" s="2710"/>
      <c r="BG99" s="2845"/>
      <c r="BH99" s="2845"/>
      <c r="BI99" s="2609"/>
      <c r="BJ99" s="2638"/>
      <c r="BK99" s="2638"/>
      <c r="BL99" s="2844"/>
      <c r="BM99" s="2844"/>
      <c r="BN99" s="2656"/>
      <c r="BO99" s="2656"/>
      <c r="BP99" s="2710"/>
    </row>
    <row r="100" spans="1:68" ht="81" customHeight="1" x14ac:dyDescent="0.2">
      <c r="B100" s="122"/>
      <c r="C100" s="123"/>
      <c r="D100" s="124"/>
      <c r="E100" s="129"/>
      <c r="F100" s="123"/>
      <c r="G100" s="2829"/>
      <c r="H100" s="2811"/>
      <c r="I100" s="2831"/>
      <c r="J100" s="2833"/>
      <c r="K100" s="2811"/>
      <c r="L100" s="2811"/>
      <c r="M100" s="2782"/>
      <c r="N100" s="2811"/>
      <c r="O100" s="2831"/>
      <c r="P100" s="2729"/>
      <c r="Q100" s="2736"/>
      <c r="R100" s="2840"/>
      <c r="S100" s="2836"/>
      <c r="T100" s="137" t="s">
        <v>217</v>
      </c>
      <c r="U100" s="2308">
        <v>2000000</v>
      </c>
      <c r="V100" s="2307">
        <v>300000</v>
      </c>
      <c r="W100" s="2307">
        <f t="shared" si="0"/>
        <v>300000</v>
      </c>
      <c r="X100" s="69">
        <v>88</v>
      </c>
      <c r="Y100" s="1998" t="s">
        <v>411</v>
      </c>
      <c r="Z100" s="2710"/>
      <c r="AA100" s="2712"/>
      <c r="AB100" s="2710"/>
      <c r="AC100" s="2712"/>
      <c r="AD100" s="2710"/>
      <c r="AE100" s="2712"/>
      <c r="AF100" s="2710"/>
      <c r="AG100" s="2712"/>
      <c r="AH100" s="2710"/>
      <c r="AI100" s="2712"/>
      <c r="AJ100" s="2712"/>
      <c r="AK100" s="2712"/>
      <c r="AL100" s="2710"/>
      <c r="AM100" s="2712"/>
      <c r="AN100" s="2710"/>
      <c r="AO100" s="2712"/>
      <c r="AP100" s="2710"/>
      <c r="AQ100" s="2712"/>
      <c r="AR100" s="2710"/>
      <c r="AS100" s="2712"/>
      <c r="AT100" s="2710"/>
      <c r="AU100" s="2710"/>
      <c r="AV100" s="2710"/>
      <c r="AW100" s="2710"/>
      <c r="AX100" s="2710"/>
      <c r="AY100" s="2710"/>
      <c r="AZ100" s="2710"/>
      <c r="BA100" s="2710"/>
      <c r="BB100" s="2710"/>
      <c r="BC100" s="2710"/>
      <c r="BD100" s="2710"/>
      <c r="BE100" s="2710"/>
      <c r="BF100" s="2710"/>
      <c r="BG100" s="2845"/>
      <c r="BH100" s="2845"/>
      <c r="BI100" s="2609"/>
      <c r="BJ100" s="2638"/>
      <c r="BK100" s="2638"/>
      <c r="BL100" s="2844"/>
      <c r="BM100" s="2844"/>
      <c r="BN100" s="2656"/>
      <c r="BO100" s="2656"/>
      <c r="BP100" s="2710"/>
    </row>
    <row r="101" spans="1:68" ht="81" customHeight="1" x14ac:dyDescent="0.2">
      <c r="B101" s="122"/>
      <c r="C101" s="123"/>
      <c r="D101" s="124"/>
      <c r="E101" s="129"/>
      <c r="F101" s="123"/>
      <c r="G101" s="2829"/>
      <c r="H101" s="2811"/>
      <c r="I101" s="2831"/>
      <c r="J101" s="2833"/>
      <c r="K101" s="2811"/>
      <c r="L101" s="2811"/>
      <c r="M101" s="2782"/>
      <c r="N101" s="2811"/>
      <c r="O101" s="2831"/>
      <c r="P101" s="2729"/>
      <c r="Q101" s="2736"/>
      <c r="R101" s="2840"/>
      <c r="S101" s="2836"/>
      <c r="T101" s="137" t="s">
        <v>218</v>
      </c>
      <c r="U101" s="2308">
        <v>2500000</v>
      </c>
      <c r="V101" s="2307">
        <v>600000</v>
      </c>
      <c r="W101" s="2307">
        <f t="shared" si="0"/>
        <v>600000</v>
      </c>
      <c r="X101" s="69">
        <v>88</v>
      </c>
      <c r="Y101" s="1998" t="s">
        <v>411</v>
      </c>
      <c r="Z101" s="2710"/>
      <c r="AA101" s="2712"/>
      <c r="AB101" s="2710"/>
      <c r="AC101" s="2712"/>
      <c r="AD101" s="2710"/>
      <c r="AE101" s="2712"/>
      <c r="AF101" s="2710"/>
      <c r="AG101" s="2712"/>
      <c r="AH101" s="2710"/>
      <c r="AI101" s="2712"/>
      <c r="AJ101" s="2712"/>
      <c r="AK101" s="2712"/>
      <c r="AL101" s="2710"/>
      <c r="AM101" s="2712"/>
      <c r="AN101" s="2710"/>
      <c r="AO101" s="2712"/>
      <c r="AP101" s="2710"/>
      <c r="AQ101" s="2712"/>
      <c r="AR101" s="2710"/>
      <c r="AS101" s="2712"/>
      <c r="AT101" s="2710"/>
      <c r="AU101" s="2710"/>
      <c r="AV101" s="2710"/>
      <c r="AW101" s="2710"/>
      <c r="AX101" s="2710"/>
      <c r="AY101" s="2710"/>
      <c r="AZ101" s="2710"/>
      <c r="BA101" s="2710"/>
      <c r="BB101" s="2710"/>
      <c r="BC101" s="2710"/>
      <c r="BD101" s="2710"/>
      <c r="BE101" s="2710"/>
      <c r="BF101" s="2710"/>
      <c r="BG101" s="2845"/>
      <c r="BH101" s="2845"/>
      <c r="BI101" s="2609"/>
      <c r="BJ101" s="2638"/>
      <c r="BK101" s="2638"/>
      <c r="BL101" s="2844"/>
      <c r="BM101" s="2844"/>
      <c r="BN101" s="2656"/>
      <c r="BO101" s="2656"/>
      <c r="BP101" s="2710"/>
    </row>
    <row r="102" spans="1:68" ht="81" customHeight="1" x14ac:dyDescent="0.2">
      <c r="B102" s="122"/>
      <c r="C102" s="123"/>
      <c r="D102" s="124"/>
      <c r="E102" s="129"/>
      <c r="F102" s="123"/>
      <c r="G102" s="2829"/>
      <c r="H102" s="2811"/>
      <c r="I102" s="2831"/>
      <c r="J102" s="2833"/>
      <c r="K102" s="2811"/>
      <c r="L102" s="2811"/>
      <c r="M102" s="2782"/>
      <c r="N102" s="2811"/>
      <c r="O102" s="2831"/>
      <c r="P102" s="2729"/>
      <c r="Q102" s="2736"/>
      <c r="R102" s="2840"/>
      <c r="S102" s="2836"/>
      <c r="T102" s="138" t="s">
        <v>219</v>
      </c>
      <c r="U102" s="2309">
        <v>2000000</v>
      </c>
      <c r="V102" s="2307">
        <v>600000</v>
      </c>
      <c r="W102" s="2307">
        <f t="shared" si="0"/>
        <v>600000</v>
      </c>
      <c r="X102" s="69">
        <v>88</v>
      </c>
      <c r="Y102" s="1998" t="s">
        <v>411</v>
      </c>
      <c r="Z102" s="2710"/>
      <c r="AA102" s="2712"/>
      <c r="AB102" s="2710"/>
      <c r="AC102" s="2712"/>
      <c r="AD102" s="2710"/>
      <c r="AE102" s="2712"/>
      <c r="AF102" s="2710"/>
      <c r="AG102" s="2712"/>
      <c r="AH102" s="2710"/>
      <c r="AI102" s="2712"/>
      <c r="AJ102" s="2712"/>
      <c r="AK102" s="2712"/>
      <c r="AL102" s="2710"/>
      <c r="AM102" s="2712"/>
      <c r="AN102" s="2710"/>
      <c r="AO102" s="2712"/>
      <c r="AP102" s="2710"/>
      <c r="AQ102" s="2712"/>
      <c r="AR102" s="2710"/>
      <c r="AS102" s="2712"/>
      <c r="AT102" s="2710"/>
      <c r="AU102" s="2710"/>
      <c r="AV102" s="2710"/>
      <c r="AW102" s="2710"/>
      <c r="AX102" s="2710"/>
      <c r="AY102" s="2710"/>
      <c r="AZ102" s="2710"/>
      <c r="BA102" s="2710"/>
      <c r="BB102" s="2710"/>
      <c r="BC102" s="2710"/>
      <c r="BD102" s="2710"/>
      <c r="BE102" s="2710"/>
      <c r="BF102" s="2710"/>
      <c r="BG102" s="2845"/>
      <c r="BH102" s="2845"/>
      <c r="BI102" s="2609"/>
      <c r="BJ102" s="2638"/>
      <c r="BK102" s="2638"/>
      <c r="BL102" s="2844"/>
      <c r="BM102" s="2844"/>
      <c r="BN102" s="2656"/>
      <c r="BO102" s="2656"/>
      <c r="BP102" s="2710"/>
    </row>
    <row r="103" spans="1:68" ht="81" customHeight="1" x14ac:dyDescent="0.2">
      <c r="B103" s="122"/>
      <c r="C103" s="123"/>
      <c r="D103" s="124"/>
      <c r="E103" s="129"/>
      <c r="F103" s="123"/>
      <c r="G103" s="2829"/>
      <c r="H103" s="2811"/>
      <c r="I103" s="2831"/>
      <c r="J103" s="2833"/>
      <c r="K103" s="2811"/>
      <c r="L103" s="2811"/>
      <c r="M103" s="2782"/>
      <c r="N103" s="2811"/>
      <c r="O103" s="2831"/>
      <c r="P103" s="2729"/>
      <c r="Q103" s="2736"/>
      <c r="R103" s="2840"/>
      <c r="S103" s="2836"/>
      <c r="T103" s="137" t="s">
        <v>220</v>
      </c>
      <c r="U103" s="2307">
        <v>2000000</v>
      </c>
      <c r="V103" s="2307">
        <v>1100000</v>
      </c>
      <c r="W103" s="2307">
        <f t="shared" si="0"/>
        <v>1100000</v>
      </c>
      <c r="X103" s="69">
        <v>88</v>
      </c>
      <c r="Y103" s="1998" t="s">
        <v>411</v>
      </c>
      <c r="Z103" s="2710"/>
      <c r="AA103" s="2712"/>
      <c r="AB103" s="2710"/>
      <c r="AC103" s="2712"/>
      <c r="AD103" s="2710"/>
      <c r="AE103" s="2712"/>
      <c r="AF103" s="2710"/>
      <c r="AG103" s="2712"/>
      <c r="AH103" s="2710"/>
      <c r="AI103" s="2712"/>
      <c r="AJ103" s="2712"/>
      <c r="AK103" s="2712"/>
      <c r="AL103" s="2710"/>
      <c r="AM103" s="2712"/>
      <c r="AN103" s="2710"/>
      <c r="AO103" s="2712"/>
      <c r="AP103" s="2710"/>
      <c r="AQ103" s="2712"/>
      <c r="AR103" s="2710"/>
      <c r="AS103" s="2712"/>
      <c r="AT103" s="2710"/>
      <c r="AU103" s="2710"/>
      <c r="AV103" s="2710"/>
      <c r="AW103" s="2710"/>
      <c r="AX103" s="2710"/>
      <c r="AY103" s="2710"/>
      <c r="AZ103" s="2710"/>
      <c r="BA103" s="2710"/>
      <c r="BB103" s="2710"/>
      <c r="BC103" s="2710"/>
      <c r="BD103" s="2710"/>
      <c r="BE103" s="2710"/>
      <c r="BF103" s="2710"/>
      <c r="BG103" s="2845"/>
      <c r="BH103" s="2845"/>
      <c r="BI103" s="2609"/>
      <c r="BJ103" s="2638"/>
      <c r="BK103" s="2638"/>
      <c r="BL103" s="2844"/>
      <c r="BM103" s="2844"/>
      <c r="BN103" s="2656"/>
      <c r="BO103" s="2656"/>
      <c r="BP103" s="2710"/>
    </row>
    <row r="104" spans="1:68" ht="81" customHeight="1" x14ac:dyDescent="0.2">
      <c r="B104" s="122"/>
      <c r="C104" s="123"/>
      <c r="D104" s="124"/>
      <c r="E104" s="129"/>
      <c r="F104" s="123"/>
      <c r="G104" s="2829"/>
      <c r="H104" s="2811"/>
      <c r="I104" s="2831"/>
      <c r="J104" s="2833"/>
      <c r="K104" s="2811"/>
      <c r="L104" s="2811"/>
      <c r="M104" s="2782"/>
      <c r="N104" s="2811"/>
      <c r="O104" s="2831"/>
      <c r="P104" s="2729"/>
      <c r="Q104" s="2736"/>
      <c r="R104" s="2840"/>
      <c r="S104" s="2836"/>
      <c r="T104" s="138" t="s">
        <v>221</v>
      </c>
      <c r="U104" s="2309">
        <v>2000000</v>
      </c>
      <c r="V104" s="2307">
        <v>800000</v>
      </c>
      <c r="W104" s="2307">
        <f t="shared" si="0"/>
        <v>800000</v>
      </c>
      <c r="X104" s="69">
        <v>88</v>
      </c>
      <c r="Y104" s="1998" t="s">
        <v>411</v>
      </c>
      <c r="Z104" s="2710"/>
      <c r="AA104" s="2712"/>
      <c r="AB104" s="2710"/>
      <c r="AC104" s="2712"/>
      <c r="AD104" s="2710"/>
      <c r="AE104" s="2712"/>
      <c r="AF104" s="2710"/>
      <c r="AG104" s="2712"/>
      <c r="AH104" s="2710"/>
      <c r="AI104" s="2712"/>
      <c r="AJ104" s="2712"/>
      <c r="AK104" s="2712"/>
      <c r="AL104" s="2710"/>
      <c r="AM104" s="2712"/>
      <c r="AN104" s="2710"/>
      <c r="AO104" s="2712"/>
      <c r="AP104" s="2710"/>
      <c r="AQ104" s="2712"/>
      <c r="AR104" s="2710"/>
      <c r="AS104" s="2712"/>
      <c r="AT104" s="2710"/>
      <c r="AU104" s="2710"/>
      <c r="AV104" s="2710"/>
      <c r="AW104" s="2710"/>
      <c r="AX104" s="2710"/>
      <c r="AY104" s="2710"/>
      <c r="AZ104" s="2710"/>
      <c r="BA104" s="2710"/>
      <c r="BB104" s="2710"/>
      <c r="BC104" s="2710"/>
      <c r="BD104" s="2710"/>
      <c r="BE104" s="2710"/>
      <c r="BF104" s="2710"/>
      <c r="BG104" s="2845"/>
      <c r="BH104" s="2845"/>
      <c r="BI104" s="2609"/>
      <c r="BJ104" s="2638"/>
      <c r="BK104" s="2638"/>
      <c r="BL104" s="2844"/>
      <c r="BM104" s="2844"/>
      <c r="BN104" s="2656"/>
      <c r="BO104" s="2656"/>
      <c r="BP104" s="2710"/>
    </row>
    <row r="105" spans="1:68" ht="81" customHeight="1" x14ac:dyDescent="0.2">
      <c r="B105" s="122"/>
      <c r="C105" s="123"/>
      <c r="D105" s="124"/>
      <c r="E105" s="129"/>
      <c r="F105" s="123"/>
      <c r="G105" s="2829"/>
      <c r="H105" s="2811"/>
      <c r="I105" s="2831"/>
      <c r="J105" s="2833"/>
      <c r="K105" s="2811"/>
      <c r="L105" s="2811"/>
      <c r="M105" s="2782"/>
      <c r="N105" s="2811"/>
      <c r="O105" s="2831"/>
      <c r="P105" s="2729"/>
      <c r="Q105" s="2736"/>
      <c r="R105" s="2840"/>
      <c r="S105" s="2836"/>
      <c r="T105" s="137" t="s">
        <v>222</v>
      </c>
      <c r="U105" s="2307">
        <v>1200000</v>
      </c>
      <c r="V105" s="2307">
        <v>0</v>
      </c>
      <c r="W105" s="2307">
        <v>0</v>
      </c>
      <c r="X105" s="69">
        <v>88</v>
      </c>
      <c r="Y105" s="1998" t="s">
        <v>411</v>
      </c>
      <c r="Z105" s="2710"/>
      <c r="AA105" s="2712"/>
      <c r="AB105" s="2710"/>
      <c r="AC105" s="2712"/>
      <c r="AD105" s="2710"/>
      <c r="AE105" s="2712"/>
      <c r="AF105" s="2710"/>
      <c r="AG105" s="2712"/>
      <c r="AH105" s="2710"/>
      <c r="AI105" s="2712"/>
      <c r="AJ105" s="2712"/>
      <c r="AK105" s="2712"/>
      <c r="AL105" s="2710"/>
      <c r="AM105" s="2712"/>
      <c r="AN105" s="2710"/>
      <c r="AO105" s="2712"/>
      <c r="AP105" s="2710"/>
      <c r="AQ105" s="2712"/>
      <c r="AR105" s="2710"/>
      <c r="AS105" s="2712"/>
      <c r="AT105" s="2710"/>
      <c r="AU105" s="2710"/>
      <c r="AV105" s="2710"/>
      <c r="AW105" s="2710"/>
      <c r="AX105" s="2710"/>
      <c r="AY105" s="2710"/>
      <c r="AZ105" s="2710"/>
      <c r="BA105" s="2710"/>
      <c r="BB105" s="2710"/>
      <c r="BC105" s="2710"/>
      <c r="BD105" s="2710"/>
      <c r="BE105" s="2710"/>
      <c r="BF105" s="2710"/>
      <c r="BG105" s="2845"/>
      <c r="BH105" s="2845"/>
      <c r="BI105" s="2609"/>
      <c r="BJ105" s="2638"/>
      <c r="BK105" s="2638"/>
      <c r="BL105" s="2844"/>
      <c r="BM105" s="2844"/>
      <c r="BN105" s="2656"/>
      <c r="BO105" s="2656"/>
      <c r="BP105" s="2710"/>
    </row>
    <row r="106" spans="1:68" ht="81" customHeight="1" x14ac:dyDescent="0.2">
      <c r="B106" s="122"/>
      <c r="C106" s="123"/>
      <c r="D106" s="124"/>
      <c r="E106" s="129"/>
      <c r="F106" s="123"/>
      <c r="G106" s="2829"/>
      <c r="H106" s="2811"/>
      <c r="I106" s="2831"/>
      <c r="J106" s="2833"/>
      <c r="K106" s="2811"/>
      <c r="L106" s="2811"/>
      <c r="M106" s="2782"/>
      <c r="N106" s="2811"/>
      <c r="O106" s="2831"/>
      <c r="P106" s="2729"/>
      <c r="Q106" s="2736"/>
      <c r="R106" s="2840"/>
      <c r="S106" s="2836"/>
      <c r="T106" s="137" t="s">
        <v>223</v>
      </c>
      <c r="U106" s="2307">
        <v>1300000</v>
      </c>
      <c r="V106" s="2307">
        <v>1300000</v>
      </c>
      <c r="W106" s="2307">
        <f>V106</f>
        <v>1300000</v>
      </c>
      <c r="X106" s="69">
        <v>88</v>
      </c>
      <c r="Y106" s="1998" t="s">
        <v>411</v>
      </c>
      <c r="Z106" s="2710"/>
      <c r="AA106" s="2712"/>
      <c r="AB106" s="2710"/>
      <c r="AC106" s="2712"/>
      <c r="AD106" s="2710"/>
      <c r="AE106" s="2712"/>
      <c r="AF106" s="2710"/>
      <c r="AG106" s="2712"/>
      <c r="AH106" s="2710"/>
      <c r="AI106" s="2712"/>
      <c r="AJ106" s="2712"/>
      <c r="AK106" s="2712"/>
      <c r="AL106" s="2710"/>
      <c r="AM106" s="2712"/>
      <c r="AN106" s="2710"/>
      <c r="AO106" s="2712"/>
      <c r="AP106" s="2710"/>
      <c r="AQ106" s="2712"/>
      <c r="AR106" s="2710"/>
      <c r="AS106" s="2712"/>
      <c r="AT106" s="2710"/>
      <c r="AU106" s="2710"/>
      <c r="AV106" s="2710"/>
      <c r="AW106" s="2710"/>
      <c r="AX106" s="2710"/>
      <c r="AY106" s="2710"/>
      <c r="AZ106" s="2710"/>
      <c r="BA106" s="2710"/>
      <c r="BB106" s="2710"/>
      <c r="BC106" s="2710"/>
      <c r="BD106" s="2710"/>
      <c r="BE106" s="2710"/>
      <c r="BF106" s="2710"/>
      <c r="BG106" s="2845"/>
      <c r="BH106" s="2845"/>
      <c r="BI106" s="2609"/>
      <c r="BJ106" s="2638"/>
      <c r="BK106" s="2638"/>
      <c r="BL106" s="2844"/>
      <c r="BM106" s="2844"/>
      <c r="BN106" s="2656"/>
      <c r="BO106" s="2656"/>
      <c r="BP106" s="2710"/>
    </row>
    <row r="107" spans="1:68" ht="81" customHeight="1" x14ac:dyDescent="0.2">
      <c r="B107" s="122"/>
      <c r="C107" s="123"/>
      <c r="D107" s="124"/>
      <c r="E107" s="129"/>
      <c r="F107" s="123"/>
      <c r="G107" s="2830"/>
      <c r="H107" s="2812"/>
      <c r="I107" s="2787"/>
      <c r="J107" s="2834"/>
      <c r="K107" s="2812"/>
      <c r="L107" s="2812"/>
      <c r="M107" s="2783"/>
      <c r="N107" s="2812"/>
      <c r="O107" s="2787"/>
      <c r="P107" s="2730"/>
      <c r="Q107" s="2737"/>
      <c r="R107" s="2841"/>
      <c r="S107" s="2837"/>
      <c r="T107" s="139" t="s">
        <v>224</v>
      </c>
      <c r="U107" s="2306"/>
      <c r="V107" s="2307">
        <v>0</v>
      </c>
      <c r="W107" s="2307">
        <v>0</v>
      </c>
      <c r="X107" s="69">
        <v>88</v>
      </c>
      <c r="Y107" s="1998" t="s">
        <v>411</v>
      </c>
      <c r="Z107" s="2838"/>
      <c r="AA107" s="2713"/>
      <c r="AB107" s="2710"/>
      <c r="AC107" s="2713"/>
      <c r="AD107" s="2710"/>
      <c r="AE107" s="2713"/>
      <c r="AF107" s="2710"/>
      <c r="AG107" s="2713"/>
      <c r="AH107" s="2710"/>
      <c r="AI107" s="2713"/>
      <c r="AJ107" s="2713"/>
      <c r="AK107" s="2713"/>
      <c r="AL107" s="2710"/>
      <c r="AM107" s="2713"/>
      <c r="AN107" s="2710"/>
      <c r="AO107" s="2713"/>
      <c r="AP107" s="2710"/>
      <c r="AQ107" s="2713"/>
      <c r="AR107" s="2710"/>
      <c r="AS107" s="2713"/>
      <c r="AT107" s="2710"/>
      <c r="AU107" s="2838"/>
      <c r="AV107" s="2838"/>
      <c r="AW107" s="2838"/>
      <c r="AX107" s="2838"/>
      <c r="AY107" s="2838"/>
      <c r="AZ107" s="2838"/>
      <c r="BA107" s="2838"/>
      <c r="BB107" s="2838"/>
      <c r="BC107" s="2838"/>
      <c r="BD107" s="2838"/>
      <c r="BE107" s="2838"/>
      <c r="BF107" s="2838"/>
      <c r="BG107" s="2846"/>
      <c r="BH107" s="2846"/>
      <c r="BI107" s="2842"/>
      <c r="BJ107" s="2843"/>
      <c r="BK107" s="2843"/>
      <c r="BL107" s="2844"/>
      <c r="BM107" s="2844"/>
      <c r="BN107" s="2657"/>
      <c r="BO107" s="2657"/>
      <c r="BP107" s="2710"/>
    </row>
    <row r="108" spans="1:68" s="71" customFormat="1" ht="30.75" customHeight="1" x14ac:dyDescent="0.2">
      <c r="A108" s="140"/>
      <c r="B108" s="141"/>
      <c r="C108" s="142"/>
      <c r="D108" s="143"/>
      <c r="E108" s="144"/>
      <c r="F108" s="142"/>
      <c r="G108" s="145"/>
      <c r="H108" s="146"/>
      <c r="I108" s="147"/>
      <c r="J108" s="143"/>
      <c r="K108" s="143"/>
      <c r="L108" s="143"/>
      <c r="M108" s="148"/>
      <c r="N108" s="149"/>
      <c r="O108" s="148"/>
      <c r="P108" s="150"/>
      <c r="Q108" s="2286">
        <f>SUM(Q12:Q83)</f>
        <v>677628511</v>
      </c>
      <c r="R108" s="147"/>
      <c r="S108" s="147"/>
      <c r="T108" s="151"/>
      <c r="U108" s="2286">
        <f>SUM(U10:U107)</f>
        <v>677628511</v>
      </c>
      <c r="V108" s="2286">
        <f>SUM(V10:V107)</f>
        <v>598051770</v>
      </c>
      <c r="W108" s="2286">
        <f>SUM(W10:W107)</f>
        <v>560903770</v>
      </c>
      <c r="X108" s="152"/>
      <c r="Y108" s="148"/>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2286">
        <f>SUM(BG10:BG107)</f>
        <v>598051770</v>
      </c>
      <c r="BH108" s="2286">
        <f>SUM(BH10:BH107)</f>
        <v>560903770</v>
      </c>
      <c r="BI108" s="2311">
        <f>BH108/BG108</f>
        <v>0.93788497607824151</v>
      </c>
      <c r="BJ108" s="148"/>
      <c r="BK108" s="148"/>
      <c r="BL108" s="153"/>
      <c r="BM108" s="153"/>
      <c r="BN108" s="154"/>
      <c r="BO108" s="154"/>
      <c r="BP108" s="147"/>
    </row>
    <row r="109" spans="1:68" s="71" customFormat="1" ht="15.75" x14ac:dyDescent="0.2">
      <c r="A109" s="155"/>
      <c r="B109" s="156"/>
      <c r="C109" s="156"/>
      <c r="D109" s="156"/>
      <c r="E109" s="156"/>
      <c r="F109" s="156"/>
      <c r="G109" s="157"/>
      <c r="H109" s="157"/>
      <c r="I109" s="158"/>
      <c r="J109" s="156"/>
      <c r="K109" s="156"/>
      <c r="L109" s="156"/>
      <c r="M109" s="159"/>
      <c r="N109" s="160"/>
      <c r="O109" s="159"/>
      <c r="P109" s="161"/>
      <c r="Q109" s="162"/>
      <c r="R109" s="158"/>
      <c r="S109" s="158"/>
      <c r="T109" s="163"/>
      <c r="U109" s="164"/>
      <c r="V109" s="164"/>
      <c r="W109" s="164"/>
      <c r="X109" s="165"/>
      <c r="Y109" s="159"/>
      <c r="Z109" s="160"/>
      <c r="AA109" s="160"/>
      <c r="AB109" s="160"/>
      <c r="AC109" s="160"/>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0"/>
      <c r="AY109" s="160"/>
      <c r="AZ109" s="160"/>
      <c r="BA109" s="160"/>
      <c r="BB109" s="160"/>
      <c r="BC109" s="160"/>
      <c r="BD109" s="160"/>
      <c r="BE109" s="160"/>
      <c r="BF109" s="160"/>
      <c r="BG109" s="160"/>
      <c r="BH109" s="160"/>
      <c r="BI109" s="160"/>
      <c r="BJ109" s="159"/>
      <c r="BK109" s="159"/>
      <c r="BL109" s="166"/>
      <c r="BM109" s="166"/>
      <c r="BN109" s="167"/>
      <c r="BO109" s="167"/>
      <c r="BP109" s="158"/>
    </row>
    <row r="110" spans="1:68" s="71" customFormat="1" ht="15.75" x14ac:dyDescent="0.2">
      <c r="A110" s="155"/>
      <c r="B110" s="156"/>
      <c r="C110" s="156"/>
      <c r="D110" s="156"/>
      <c r="E110" s="156"/>
      <c r="F110" s="156"/>
      <c r="G110" s="157"/>
      <c r="H110" s="157"/>
      <c r="I110" s="158"/>
      <c r="J110" s="156"/>
      <c r="K110" s="156"/>
      <c r="L110" s="156"/>
      <c r="M110" s="159"/>
      <c r="N110" s="160"/>
      <c r="O110" s="159"/>
      <c r="P110" s="161"/>
      <c r="Q110" s="162"/>
      <c r="R110" s="158"/>
      <c r="S110" s="158"/>
      <c r="T110" s="163"/>
      <c r="U110" s="164"/>
      <c r="V110" s="164"/>
      <c r="W110" s="164"/>
      <c r="X110" s="165"/>
      <c r="Y110" s="159"/>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59"/>
      <c r="BK110" s="159"/>
      <c r="BL110" s="166"/>
      <c r="BM110" s="166"/>
      <c r="BN110" s="167"/>
      <c r="BO110" s="167"/>
      <c r="BP110" s="158"/>
    </row>
    <row r="111" spans="1:68" s="71" customFormat="1" ht="15.75" x14ac:dyDescent="0.2">
      <c r="A111" s="155"/>
      <c r="B111" s="156"/>
      <c r="C111" s="156"/>
      <c r="D111" s="156"/>
      <c r="E111" s="156"/>
      <c r="F111" s="156"/>
      <c r="G111" s="157"/>
      <c r="H111" s="157"/>
      <c r="I111" s="158"/>
      <c r="J111" s="156"/>
      <c r="K111" s="156"/>
      <c r="L111" s="156"/>
      <c r="M111" s="159"/>
      <c r="N111" s="160"/>
      <c r="O111" s="159"/>
      <c r="P111" s="161"/>
      <c r="Q111" s="162"/>
      <c r="R111" s="158"/>
      <c r="S111" s="158"/>
      <c r="T111" s="163"/>
      <c r="U111" s="164"/>
      <c r="V111" s="164"/>
      <c r="W111" s="164"/>
      <c r="X111" s="165"/>
      <c r="Y111" s="159"/>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59"/>
      <c r="BK111" s="159"/>
      <c r="BL111" s="166"/>
      <c r="BM111" s="166"/>
      <c r="BN111" s="167"/>
      <c r="BO111" s="167"/>
      <c r="BP111" s="158"/>
    </row>
    <row r="112" spans="1:68" s="71" customFormat="1" ht="15.75" x14ac:dyDescent="0.2">
      <c r="A112" s="155"/>
      <c r="B112" s="144"/>
      <c r="C112" s="144"/>
      <c r="D112" s="144"/>
      <c r="E112" s="144"/>
      <c r="F112" s="144"/>
      <c r="G112" s="168"/>
      <c r="H112" s="157"/>
      <c r="I112" s="158"/>
      <c r="J112" s="156"/>
      <c r="K112" s="156"/>
      <c r="L112" s="156"/>
      <c r="M112" s="159"/>
      <c r="N112" s="160"/>
      <c r="O112" s="159"/>
      <c r="P112" s="161"/>
      <c r="Q112" s="162"/>
      <c r="R112" s="158"/>
      <c r="S112" s="158"/>
      <c r="T112" s="163"/>
      <c r="U112" s="164"/>
      <c r="V112" s="164"/>
      <c r="W112" s="164"/>
      <c r="X112" s="165"/>
      <c r="Y112" s="159"/>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59"/>
      <c r="BK112" s="159"/>
      <c r="BL112" s="166"/>
      <c r="BM112" s="166"/>
      <c r="BN112" s="167"/>
      <c r="BO112" s="167"/>
      <c r="BP112" s="158"/>
    </row>
    <row r="113" spans="1:87" ht="31.5" customHeight="1" x14ac:dyDescent="0.25">
      <c r="B113" s="169" t="s">
        <v>225</v>
      </c>
      <c r="C113" s="170"/>
      <c r="I113" s="4"/>
    </row>
    <row r="114" spans="1:87" ht="33" customHeight="1" x14ac:dyDescent="0.25">
      <c r="B114" s="169" t="s">
        <v>226</v>
      </c>
      <c r="C114" s="170"/>
      <c r="I114" s="4"/>
    </row>
    <row r="115" spans="1:87" s="184" customFormat="1" ht="27" customHeight="1" x14ac:dyDescent="0.2">
      <c r="A115" s="121"/>
      <c r="B115" s="4"/>
      <c r="C115" s="4"/>
      <c r="D115" s="4"/>
      <c r="E115" s="4"/>
      <c r="F115" s="4"/>
      <c r="G115" s="4"/>
      <c r="H115" s="4"/>
      <c r="I115" s="170"/>
      <c r="J115" s="3"/>
      <c r="K115" s="3"/>
      <c r="L115" s="3"/>
      <c r="M115" s="171"/>
      <c r="N115" s="172"/>
      <c r="O115" s="171"/>
      <c r="P115" s="173"/>
      <c r="Q115" s="174"/>
      <c r="R115" s="170"/>
      <c r="S115" s="170"/>
      <c r="T115" s="175"/>
      <c r="U115" s="176"/>
      <c r="V115" s="176"/>
      <c r="W115" s="176"/>
      <c r="X115" s="183"/>
      <c r="Y115" s="171"/>
      <c r="Z115" s="178"/>
      <c r="AA115" s="178"/>
      <c r="AB115" s="178"/>
      <c r="AC115" s="178"/>
      <c r="AD115" s="178"/>
      <c r="AE115" s="178"/>
      <c r="AF115" s="178"/>
      <c r="AG115" s="178"/>
      <c r="AH115" s="178"/>
      <c r="AI115" s="178"/>
      <c r="AJ115" s="178"/>
      <c r="AK115" s="178"/>
      <c r="AL115" s="178"/>
      <c r="AM115" s="178"/>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9"/>
      <c r="BK115" s="179"/>
      <c r="BL115" s="180"/>
      <c r="BM115" s="180"/>
      <c r="BN115" s="181"/>
      <c r="BO115" s="181"/>
      <c r="BP115" s="182"/>
      <c r="BQ115" s="4"/>
      <c r="BR115" s="4"/>
      <c r="BS115" s="4"/>
      <c r="BT115" s="4"/>
      <c r="BU115" s="4"/>
      <c r="BV115" s="4"/>
      <c r="BW115" s="4"/>
      <c r="BX115" s="4"/>
      <c r="BY115" s="4"/>
      <c r="BZ115" s="4"/>
      <c r="CA115" s="4"/>
      <c r="CB115" s="4"/>
      <c r="CC115" s="4"/>
      <c r="CD115" s="4"/>
      <c r="CE115" s="4"/>
      <c r="CF115" s="4"/>
      <c r="CG115" s="4"/>
      <c r="CH115" s="4"/>
      <c r="CI115" s="4"/>
    </row>
  </sheetData>
  <sheetProtection password="A60F" sheet="1" objects="1" scenarios="1"/>
  <autoFilter ref="X1:X115"/>
  <mergeCells count="469">
    <mergeCell ref="BO80:BO107"/>
    <mergeCell ref="BP80:BP107"/>
    <mergeCell ref="BI80:BI107"/>
    <mergeCell ref="BJ80:BJ107"/>
    <mergeCell ref="BK80:BK107"/>
    <mergeCell ref="BL80:BL107"/>
    <mergeCell ref="BM80:BM107"/>
    <mergeCell ref="BN80:BN107"/>
    <mergeCell ref="BC80:BC107"/>
    <mergeCell ref="BD80:BD107"/>
    <mergeCell ref="BE80:BE107"/>
    <mergeCell ref="BF80:BF107"/>
    <mergeCell ref="BG80:BG107"/>
    <mergeCell ref="BH80:BH107"/>
    <mergeCell ref="AW80:AW107"/>
    <mergeCell ref="AX80:AX107"/>
    <mergeCell ref="AY80:AY107"/>
    <mergeCell ref="AZ80:AZ107"/>
    <mergeCell ref="BA80:BA107"/>
    <mergeCell ref="BB80:BB107"/>
    <mergeCell ref="AQ80:AQ107"/>
    <mergeCell ref="AR80:AR107"/>
    <mergeCell ref="AS80:AS107"/>
    <mergeCell ref="AT80:AT107"/>
    <mergeCell ref="AU80:AU107"/>
    <mergeCell ref="AV80:AV107"/>
    <mergeCell ref="AK80:AK107"/>
    <mergeCell ref="AL80:AL107"/>
    <mergeCell ref="AM80:AM107"/>
    <mergeCell ref="AN80:AN107"/>
    <mergeCell ref="AO80:AO107"/>
    <mergeCell ref="AP80:AP107"/>
    <mergeCell ref="AE80:AE107"/>
    <mergeCell ref="AF80:AF107"/>
    <mergeCell ref="AG80:AG107"/>
    <mergeCell ref="AH80:AH107"/>
    <mergeCell ref="AI80:AI107"/>
    <mergeCell ref="AJ80:AJ107"/>
    <mergeCell ref="S80:S107"/>
    <mergeCell ref="Z80:Z107"/>
    <mergeCell ref="AA80:AA107"/>
    <mergeCell ref="AB80:AB107"/>
    <mergeCell ref="AC80:AC107"/>
    <mergeCell ref="AD80:AD107"/>
    <mergeCell ref="M80:M107"/>
    <mergeCell ref="N80:N107"/>
    <mergeCell ref="O80:O107"/>
    <mergeCell ref="P80:P107"/>
    <mergeCell ref="Q80:Q107"/>
    <mergeCell ref="R80:R107"/>
    <mergeCell ref="G80:G107"/>
    <mergeCell ref="H80:H107"/>
    <mergeCell ref="I80:I107"/>
    <mergeCell ref="J80:J107"/>
    <mergeCell ref="K80:K107"/>
    <mergeCell ref="L80:L107"/>
    <mergeCell ref="BM71:BM79"/>
    <mergeCell ref="BN71:BN79"/>
    <mergeCell ref="BO71:BO79"/>
    <mergeCell ref="AZ71:AZ79"/>
    <mergeCell ref="AO71:AO79"/>
    <mergeCell ref="AP71:AP79"/>
    <mergeCell ref="AQ71:AQ79"/>
    <mergeCell ref="AR71:AR79"/>
    <mergeCell ref="AS71:AS79"/>
    <mergeCell ref="AT71:AT79"/>
    <mergeCell ref="AI71:AI79"/>
    <mergeCell ref="AJ71:AJ79"/>
    <mergeCell ref="AK71:AK79"/>
    <mergeCell ref="AL71:AL79"/>
    <mergeCell ref="AM71:AM79"/>
    <mergeCell ref="AN71:AN79"/>
    <mergeCell ref="AC71:AC79"/>
    <mergeCell ref="AD71:AD79"/>
    <mergeCell ref="BP71:BP79"/>
    <mergeCell ref="B75:C75"/>
    <mergeCell ref="E75:F75"/>
    <mergeCell ref="G76:G77"/>
    <mergeCell ref="H76:H77"/>
    <mergeCell ref="I76:I77"/>
    <mergeCell ref="J76:J77"/>
    <mergeCell ref="BG71:BG79"/>
    <mergeCell ref="BH71:BH79"/>
    <mergeCell ref="BI71:BI79"/>
    <mergeCell ref="BJ71:BJ79"/>
    <mergeCell ref="BK71:BK79"/>
    <mergeCell ref="BL71:BL79"/>
    <mergeCell ref="BA71:BA79"/>
    <mergeCell ref="BB71:BB79"/>
    <mergeCell ref="BC71:BC79"/>
    <mergeCell ref="BD71:BD79"/>
    <mergeCell ref="BE71:BE79"/>
    <mergeCell ref="BF71:BF79"/>
    <mergeCell ref="AU71:AU79"/>
    <mergeCell ref="AV71:AV79"/>
    <mergeCell ref="AW71:AW79"/>
    <mergeCell ref="AX71:AX79"/>
    <mergeCell ref="AY71:AY79"/>
    <mergeCell ref="AE71:AE79"/>
    <mergeCell ref="AF71:AF79"/>
    <mergeCell ref="AG71:AG79"/>
    <mergeCell ref="AH71:AH79"/>
    <mergeCell ref="Q71:Q79"/>
    <mergeCell ref="R71:R79"/>
    <mergeCell ref="S71:S79"/>
    <mergeCell ref="Z71:Z79"/>
    <mergeCell ref="AA71:AA79"/>
    <mergeCell ref="AB71:AB79"/>
    <mergeCell ref="T76:T77"/>
    <mergeCell ref="K71:K73"/>
    <mergeCell ref="L71:L73"/>
    <mergeCell ref="M71:M79"/>
    <mergeCell ref="N71:N79"/>
    <mergeCell ref="O71:O79"/>
    <mergeCell ref="P71:P73"/>
    <mergeCell ref="K76:K77"/>
    <mergeCell ref="L76:L77"/>
    <mergeCell ref="P76:P77"/>
    <mergeCell ref="B71:C71"/>
    <mergeCell ref="E71:F71"/>
    <mergeCell ref="G71:G73"/>
    <mergeCell ref="H71:H73"/>
    <mergeCell ref="I71:I73"/>
    <mergeCell ref="J71:J73"/>
    <mergeCell ref="BO53:BO70"/>
    <mergeCell ref="BP53:BP70"/>
    <mergeCell ref="T54:T55"/>
    <mergeCell ref="T56:T57"/>
    <mergeCell ref="T58:T59"/>
    <mergeCell ref="T60:T61"/>
    <mergeCell ref="T62:T63"/>
    <mergeCell ref="T64:T65"/>
    <mergeCell ref="T67:T68"/>
    <mergeCell ref="T69:T70"/>
    <mergeCell ref="BI53:BI70"/>
    <mergeCell ref="BJ53:BJ70"/>
    <mergeCell ref="BK53:BK70"/>
    <mergeCell ref="BL53:BL70"/>
    <mergeCell ref="BM53:BM70"/>
    <mergeCell ref="BN53:BN70"/>
    <mergeCell ref="BC53:BC70"/>
    <mergeCell ref="BD53:BD70"/>
    <mergeCell ref="BE53:BE70"/>
    <mergeCell ref="BF53:BF70"/>
    <mergeCell ref="BG53:BG70"/>
    <mergeCell ref="BH53:BH70"/>
    <mergeCell ref="AW53:AW70"/>
    <mergeCell ref="AX53:AX70"/>
    <mergeCell ref="AY53:AY70"/>
    <mergeCell ref="AZ53:AZ70"/>
    <mergeCell ref="BA53:BA70"/>
    <mergeCell ref="BB53:BB70"/>
    <mergeCell ref="AQ53:AQ70"/>
    <mergeCell ref="AR53:AR70"/>
    <mergeCell ref="AS53:AS70"/>
    <mergeCell ref="AT53:AT70"/>
    <mergeCell ref="AU53:AU70"/>
    <mergeCell ref="AV53:AV70"/>
    <mergeCell ref="AK53:AK70"/>
    <mergeCell ref="AL53:AL70"/>
    <mergeCell ref="AM53:AM70"/>
    <mergeCell ref="AN53:AN70"/>
    <mergeCell ref="AO53:AO70"/>
    <mergeCell ref="AP53:AP70"/>
    <mergeCell ref="AE53:AE70"/>
    <mergeCell ref="AF53:AF70"/>
    <mergeCell ref="AG53:AG70"/>
    <mergeCell ref="AH53:AH70"/>
    <mergeCell ref="AI53:AI70"/>
    <mergeCell ref="AJ53:AJ70"/>
    <mergeCell ref="S53:S70"/>
    <mergeCell ref="Z53:Z70"/>
    <mergeCell ref="AA53:AA70"/>
    <mergeCell ref="AB53:AB70"/>
    <mergeCell ref="AC53:AC70"/>
    <mergeCell ref="AD53:AD70"/>
    <mergeCell ref="M53:M70"/>
    <mergeCell ref="N53:N70"/>
    <mergeCell ref="O53:O70"/>
    <mergeCell ref="P53:P70"/>
    <mergeCell ref="Q53:Q70"/>
    <mergeCell ref="R53:R70"/>
    <mergeCell ref="BN45:BN52"/>
    <mergeCell ref="BO45:BO52"/>
    <mergeCell ref="BP45:BP52"/>
    <mergeCell ref="T47:T48"/>
    <mergeCell ref="BK45:BK52"/>
    <mergeCell ref="BL45:BL52"/>
    <mergeCell ref="BM45:BM52"/>
    <mergeCell ref="AS45:AS52"/>
    <mergeCell ref="AT45:AT52"/>
    <mergeCell ref="AU45:AU52"/>
    <mergeCell ref="AJ45:AJ52"/>
    <mergeCell ref="AK45:AK52"/>
    <mergeCell ref="AL45:AL52"/>
    <mergeCell ref="AM45:AM52"/>
    <mergeCell ref="AN45:AN52"/>
    <mergeCell ref="AO45:AO52"/>
    <mergeCell ref="AD45:AD52"/>
    <mergeCell ref="AE45:AE52"/>
    <mergeCell ref="G53:G70"/>
    <mergeCell ref="H53:H70"/>
    <mergeCell ref="I53:I70"/>
    <mergeCell ref="J53:J70"/>
    <mergeCell ref="K53:K70"/>
    <mergeCell ref="L53:L70"/>
    <mergeCell ref="BH45:BH52"/>
    <mergeCell ref="BI45:BI52"/>
    <mergeCell ref="BJ45:BJ52"/>
    <mergeCell ref="BB45:BB52"/>
    <mergeCell ref="BC45:BC52"/>
    <mergeCell ref="BD45:BD52"/>
    <mergeCell ref="BE45:BE52"/>
    <mergeCell ref="BF45:BF52"/>
    <mergeCell ref="BG45:BG52"/>
    <mergeCell ref="AV45:AV52"/>
    <mergeCell ref="AW45:AW52"/>
    <mergeCell ref="AX45:AX52"/>
    <mergeCell ref="AY45:AY52"/>
    <mergeCell ref="AZ45:AZ52"/>
    <mergeCell ref="BA45:BA52"/>
    <mergeCell ref="AP45:AP52"/>
    <mergeCell ref="AQ45:AQ52"/>
    <mergeCell ref="AR45:AR52"/>
    <mergeCell ref="AF45:AF52"/>
    <mergeCell ref="AG45:AG52"/>
    <mergeCell ref="AH45:AH52"/>
    <mergeCell ref="AI45:AI52"/>
    <mergeCell ref="S45:S52"/>
    <mergeCell ref="T45:T46"/>
    <mergeCell ref="Z45:Z52"/>
    <mergeCell ref="AA45:AA52"/>
    <mergeCell ref="AB45:AB52"/>
    <mergeCell ref="AC45:AC52"/>
    <mergeCell ref="M45:M52"/>
    <mergeCell ref="N45:N52"/>
    <mergeCell ref="O45:O52"/>
    <mergeCell ref="P45:P52"/>
    <mergeCell ref="Q45:Q52"/>
    <mergeCell ref="R45:R52"/>
    <mergeCell ref="G45:G52"/>
    <mergeCell ref="H45:H52"/>
    <mergeCell ref="I45:I52"/>
    <mergeCell ref="J45:J52"/>
    <mergeCell ref="K45:K52"/>
    <mergeCell ref="L45:L52"/>
    <mergeCell ref="BL37:BL44"/>
    <mergeCell ref="BM37:BM44"/>
    <mergeCell ref="BN37:BN44"/>
    <mergeCell ref="BO37:BO44"/>
    <mergeCell ref="BP37:BP44"/>
    <mergeCell ref="T41:T42"/>
    <mergeCell ref="T43:T44"/>
    <mergeCell ref="BF37:BF44"/>
    <mergeCell ref="BG37:BG44"/>
    <mergeCell ref="BH37:BH44"/>
    <mergeCell ref="BI37:BI44"/>
    <mergeCell ref="BJ37:BJ44"/>
    <mergeCell ref="BK37:BK44"/>
    <mergeCell ref="AZ37:AZ44"/>
    <mergeCell ref="BA37:BA44"/>
    <mergeCell ref="BB37:BB44"/>
    <mergeCell ref="BC37:BC44"/>
    <mergeCell ref="BD37:BD44"/>
    <mergeCell ref="BE37:BE44"/>
    <mergeCell ref="AT37:AT44"/>
    <mergeCell ref="AU37:AU44"/>
    <mergeCell ref="AV37:AV44"/>
    <mergeCell ref="AW37:AW44"/>
    <mergeCell ref="AX37:AX44"/>
    <mergeCell ref="AY37:AY44"/>
    <mergeCell ref="AN37:AN44"/>
    <mergeCell ref="AO37:AO44"/>
    <mergeCell ref="AP37:AP44"/>
    <mergeCell ref="AQ37:AQ44"/>
    <mergeCell ref="AR37:AR44"/>
    <mergeCell ref="AS37:AS44"/>
    <mergeCell ref="AH37:AH44"/>
    <mergeCell ref="AI37:AI44"/>
    <mergeCell ref="AJ37:AJ44"/>
    <mergeCell ref="AK37:AK44"/>
    <mergeCell ref="AL37:AL44"/>
    <mergeCell ref="AM37:AM44"/>
    <mergeCell ref="AB37:AB44"/>
    <mergeCell ref="AC37:AC44"/>
    <mergeCell ref="AD37:AD44"/>
    <mergeCell ref="AE37:AE44"/>
    <mergeCell ref="AF37:AF44"/>
    <mergeCell ref="AG37:AG44"/>
    <mergeCell ref="P37:P44"/>
    <mergeCell ref="Q37:Q44"/>
    <mergeCell ref="R37:R44"/>
    <mergeCell ref="S37:S44"/>
    <mergeCell ref="Z37:Z44"/>
    <mergeCell ref="AA37:AA44"/>
    <mergeCell ref="BP25:BP36"/>
    <mergeCell ref="G37:G44"/>
    <mergeCell ref="H37:H44"/>
    <mergeCell ref="I37:I44"/>
    <mergeCell ref="J37:J44"/>
    <mergeCell ref="K37:K44"/>
    <mergeCell ref="L37:L44"/>
    <mergeCell ref="M37:M44"/>
    <mergeCell ref="N37:N44"/>
    <mergeCell ref="O37:O44"/>
    <mergeCell ref="BJ25:BJ36"/>
    <mergeCell ref="BK25:BK36"/>
    <mergeCell ref="BL25:BL36"/>
    <mergeCell ref="BM25:BM36"/>
    <mergeCell ref="BN25:BN36"/>
    <mergeCell ref="BO25:BO36"/>
    <mergeCell ref="BD25:BD36"/>
    <mergeCell ref="BE25:BE36"/>
    <mergeCell ref="BF25:BF36"/>
    <mergeCell ref="BG25:BG36"/>
    <mergeCell ref="BH25:BH36"/>
    <mergeCell ref="BI25:BI36"/>
    <mergeCell ref="AX25:AX36"/>
    <mergeCell ref="AY25:AY36"/>
    <mergeCell ref="AZ25:AZ36"/>
    <mergeCell ref="BA25:BA36"/>
    <mergeCell ref="BB25:BB36"/>
    <mergeCell ref="BC25:BC36"/>
    <mergeCell ref="AR25:AR36"/>
    <mergeCell ref="AS25:AS36"/>
    <mergeCell ref="AT25:AT36"/>
    <mergeCell ref="AU25:AU36"/>
    <mergeCell ref="AV25:AV36"/>
    <mergeCell ref="AW25:AW36"/>
    <mergeCell ref="AL25:AL36"/>
    <mergeCell ref="AM25:AM36"/>
    <mergeCell ref="AN25:AN36"/>
    <mergeCell ref="AO25:AO36"/>
    <mergeCell ref="AP25:AP36"/>
    <mergeCell ref="AQ25:AQ36"/>
    <mergeCell ref="AF25:AF36"/>
    <mergeCell ref="AG25:AG36"/>
    <mergeCell ref="AH25:AH36"/>
    <mergeCell ref="AI25:AI36"/>
    <mergeCell ref="AJ25:AJ36"/>
    <mergeCell ref="AK25:AK36"/>
    <mergeCell ref="Z25:Z36"/>
    <mergeCell ref="AA25:AA36"/>
    <mergeCell ref="AB25:AB36"/>
    <mergeCell ref="AC25:AC36"/>
    <mergeCell ref="AD25:AD36"/>
    <mergeCell ref="AE25:AE36"/>
    <mergeCell ref="N25:N36"/>
    <mergeCell ref="O25:O36"/>
    <mergeCell ref="P25:P36"/>
    <mergeCell ref="Q25:Q36"/>
    <mergeCell ref="R25:R36"/>
    <mergeCell ref="S25:S36"/>
    <mergeCell ref="BO12:BO23"/>
    <mergeCell ref="BP12:BP23"/>
    <mergeCell ref="T19:T20"/>
    <mergeCell ref="G25:G36"/>
    <mergeCell ref="H25:H36"/>
    <mergeCell ref="I25:I36"/>
    <mergeCell ref="J25:J36"/>
    <mergeCell ref="K25:K36"/>
    <mergeCell ref="L25:L36"/>
    <mergeCell ref="M25:M36"/>
    <mergeCell ref="BI12:BI23"/>
    <mergeCell ref="BJ12:BJ23"/>
    <mergeCell ref="BK12:BK23"/>
    <mergeCell ref="BL12:BL23"/>
    <mergeCell ref="BM12:BM23"/>
    <mergeCell ref="BN12:BN23"/>
    <mergeCell ref="BC12:BC23"/>
    <mergeCell ref="BD12:BD23"/>
    <mergeCell ref="BE12:BE23"/>
    <mergeCell ref="BF12:BF23"/>
    <mergeCell ref="BG12:BG23"/>
    <mergeCell ref="BH12:BH23"/>
    <mergeCell ref="AW12:AW23"/>
    <mergeCell ref="AX12:AX23"/>
    <mergeCell ref="AZ12:AZ23"/>
    <mergeCell ref="BA12:BA23"/>
    <mergeCell ref="BB12:BB23"/>
    <mergeCell ref="AQ12:AQ23"/>
    <mergeCell ref="AR12:AR23"/>
    <mergeCell ref="AS12:AS23"/>
    <mergeCell ref="AT12:AT23"/>
    <mergeCell ref="AU12:AU23"/>
    <mergeCell ref="AV12:AV23"/>
    <mergeCell ref="AO12:AO23"/>
    <mergeCell ref="AP12:AP23"/>
    <mergeCell ref="AE12:AE23"/>
    <mergeCell ref="AF12:AF23"/>
    <mergeCell ref="AG12:AG23"/>
    <mergeCell ref="AH12:AH23"/>
    <mergeCell ref="AI12:AI23"/>
    <mergeCell ref="AJ12:AJ23"/>
    <mergeCell ref="AY12:AY23"/>
    <mergeCell ref="N12:N23"/>
    <mergeCell ref="O12:O23"/>
    <mergeCell ref="P12:P23"/>
    <mergeCell ref="Q12:Q23"/>
    <mergeCell ref="R12:R23"/>
    <mergeCell ref="AK12:AK23"/>
    <mergeCell ref="AL12:AL23"/>
    <mergeCell ref="AM12:AM23"/>
    <mergeCell ref="AN12:AN23"/>
    <mergeCell ref="G12:G23"/>
    <mergeCell ref="H12:H23"/>
    <mergeCell ref="I12:I23"/>
    <mergeCell ref="J12:J23"/>
    <mergeCell ref="K12:K23"/>
    <mergeCell ref="L12:L23"/>
    <mergeCell ref="AV8:AW8"/>
    <mergeCell ref="AX8:AY8"/>
    <mergeCell ref="AZ8:BA8"/>
    <mergeCell ref="Q7:Q8"/>
    <mergeCell ref="R7:R8"/>
    <mergeCell ref="S7:S9"/>
    <mergeCell ref="T7:T9"/>
    <mergeCell ref="U7:U8"/>
    <mergeCell ref="Y7:Y9"/>
    <mergeCell ref="J7:J8"/>
    <mergeCell ref="K7:L8"/>
    <mergeCell ref="S12:S23"/>
    <mergeCell ref="Z12:Z23"/>
    <mergeCell ref="AA12:AA23"/>
    <mergeCell ref="AB12:AB23"/>
    <mergeCell ref="AC12:AC23"/>
    <mergeCell ref="AD12:AD23"/>
    <mergeCell ref="M12:M23"/>
    <mergeCell ref="Z7:AC7"/>
    <mergeCell ref="AD7:AK7"/>
    <mergeCell ref="AL7:AW7"/>
    <mergeCell ref="AX7:BC7"/>
    <mergeCell ref="BD7:BE8"/>
    <mergeCell ref="BF7:BK7"/>
    <mergeCell ref="AN8:AO8"/>
    <mergeCell ref="AP8:AQ8"/>
    <mergeCell ref="AR8:AS8"/>
    <mergeCell ref="AT8:AU8"/>
    <mergeCell ref="BH8:BH9"/>
    <mergeCell ref="BI8:BI9"/>
    <mergeCell ref="BJ8:BJ9"/>
    <mergeCell ref="BK8:BK9"/>
    <mergeCell ref="BB8:BC8"/>
    <mergeCell ref="BF8:BF9"/>
    <mergeCell ref="BG8:BG9"/>
    <mergeCell ref="M7:M8"/>
    <mergeCell ref="N7:N8"/>
    <mergeCell ref="O7:O8"/>
    <mergeCell ref="P7:P8"/>
    <mergeCell ref="A1:BN4"/>
    <mergeCell ref="A5:K6"/>
    <mergeCell ref="M5:BP5"/>
    <mergeCell ref="Z6:BB6"/>
    <mergeCell ref="A7:A8"/>
    <mergeCell ref="B7:C8"/>
    <mergeCell ref="D7:D8"/>
    <mergeCell ref="E7:F8"/>
    <mergeCell ref="G7:G8"/>
    <mergeCell ref="I7:I8"/>
    <mergeCell ref="BL7:BM8"/>
    <mergeCell ref="BN7:BO8"/>
    <mergeCell ref="BP7:BP8"/>
    <mergeCell ref="Z8:AA8"/>
    <mergeCell ref="AB8:AC8"/>
    <mergeCell ref="AD8:AE8"/>
    <mergeCell ref="AF8:AG8"/>
    <mergeCell ref="AH8:AI8"/>
    <mergeCell ref="AJ8:AK8"/>
    <mergeCell ref="AL8:AM8"/>
  </mergeCells>
  <pageMargins left="1.1023622047244095" right="0.11811023622047245" top="0.35433070866141736" bottom="0.35433070866141736" header="0.31496062992125984" footer="0.31496062992125984"/>
  <pageSetup paperSize="5"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H27"/>
  <sheetViews>
    <sheetView showGridLines="0" zoomScale="70" zoomScaleNormal="70" workbookViewId="0">
      <selection sqref="A1:BN4"/>
    </sheetView>
  </sheetViews>
  <sheetFormatPr baseColWidth="10" defaultColWidth="11.42578125" defaultRowHeight="12.75" x14ac:dyDescent="0.2"/>
  <cols>
    <col min="1" max="1" width="10.5703125" style="1967" customWidth="1"/>
    <col min="2" max="2" width="6.42578125" style="1941" customWidth="1"/>
    <col min="3" max="3" width="11.5703125" style="1941" customWidth="1"/>
    <col min="4" max="4" width="12.85546875" style="1941" customWidth="1"/>
    <col min="5" max="5" width="10" style="1941" customWidth="1"/>
    <col min="6" max="6" width="7" style="1941" customWidth="1"/>
    <col min="7" max="7" width="13.28515625" style="1941" customWidth="1"/>
    <col min="8" max="8" width="15.5703125" style="1941" customWidth="1"/>
    <col min="9" max="9" width="24" style="695" customWidth="1"/>
    <col min="10" max="10" width="23.140625" style="695" customWidth="1"/>
    <col min="11" max="11" width="8.140625" style="500" customWidth="1"/>
    <col min="12" max="12" width="8.42578125" style="500" customWidth="1"/>
    <col min="13" max="13" width="34.28515625" style="500" customWidth="1"/>
    <col min="14" max="14" width="27.7109375" style="1968" customWidth="1"/>
    <col min="15" max="15" width="20.42578125" style="1969" customWidth="1"/>
    <col min="16" max="16" width="13.28515625" style="1970" customWidth="1"/>
    <col min="17" max="17" width="20.7109375" style="1971" customWidth="1"/>
    <col min="18" max="18" width="27.7109375" style="1969" customWidth="1"/>
    <col min="19" max="19" width="36.28515625" style="1969" customWidth="1"/>
    <col min="20" max="20" width="33.5703125" style="1969" customWidth="1"/>
    <col min="21" max="21" width="22.85546875" style="1972" customWidth="1"/>
    <col min="22" max="22" width="23.140625" style="1972" customWidth="1"/>
    <col min="23" max="23" width="23.28515625" style="1972" bestFit="1" customWidth="1"/>
    <col min="24" max="24" width="10.42578125" style="1973" bestFit="1" customWidth="1"/>
    <col min="25" max="25" width="27.85546875" style="1974" customWidth="1"/>
    <col min="26" max="31" width="9" style="1941" bestFit="1" customWidth="1"/>
    <col min="32" max="33" width="7.7109375" style="1941" bestFit="1" customWidth="1"/>
    <col min="34" max="35" width="9" style="1941" bestFit="1" customWidth="1"/>
    <col min="36" max="37" width="7.7109375" style="1941" bestFit="1" customWidth="1"/>
    <col min="38" max="39" width="6.42578125" style="1941" bestFit="1" customWidth="1"/>
    <col min="40" max="41" width="7.7109375" style="1941" bestFit="1" customWidth="1"/>
    <col min="42" max="45" width="3.85546875" style="1941" bestFit="1" customWidth="1"/>
    <col min="46" max="49" width="2.85546875" style="1941" bestFit="1" customWidth="1"/>
    <col min="50" max="55" width="7.7109375" style="1941" bestFit="1" customWidth="1"/>
    <col min="56" max="57" width="9" style="1941" bestFit="1" customWidth="1"/>
    <col min="58" max="58" width="15.85546875" style="1941" bestFit="1" customWidth="1"/>
    <col min="59" max="59" width="19" style="1941" customWidth="1"/>
    <col min="60" max="60" width="20.5703125" style="1941" customWidth="1"/>
    <col min="61" max="61" width="15.42578125" style="1941" customWidth="1"/>
    <col min="62" max="62" width="19.85546875" style="1975" customWidth="1"/>
    <col min="63" max="63" width="18.140625" style="1941" customWidth="1"/>
    <col min="64" max="64" width="16.42578125" style="1976" customWidth="1"/>
    <col min="65" max="65" width="16.5703125" style="1976" customWidth="1"/>
    <col min="66" max="66" width="16.140625" style="1977" customWidth="1"/>
    <col min="67" max="67" width="18.140625" style="1977" customWidth="1"/>
    <col min="68" max="68" width="23.42578125" style="1978" customWidth="1"/>
    <col min="69" max="16384" width="11.42578125" style="1941"/>
  </cols>
  <sheetData>
    <row r="1" spans="1:86" ht="18" customHeight="1" x14ac:dyDescent="0.2">
      <c r="A1" s="2917" t="s">
        <v>1541</v>
      </c>
      <c r="B1" s="2918"/>
      <c r="C1" s="2918"/>
      <c r="D1" s="2918"/>
      <c r="E1" s="2918"/>
      <c r="F1" s="2918"/>
      <c r="G1" s="2918"/>
      <c r="H1" s="2918"/>
      <c r="I1" s="2918"/>
      <c r="J1" s="2918"/>
      <c r="K1" s="2918"/>
      <c r="L1" s="2918"/>
      <c r="M1" s="2918"/>
      <c r="N1" s="2918"/>
      <c r="O1" s="2918"/>
      <c r="P1" s="2918"/>
      <c r="Q1" s="2918"/>
      <c r="R1" s="2918"/>
      <c r="S1" s="2918"/>
      <c r="T1" s="2918"/>
      <c r="U1" s="2918"/>
      <c r="V1" s="2918"/>
      <c r="W1" s="2918"/>
      <c r="X1" s="2918"/>
      <c r="Y1" s="2918"/>
      <c r="Z1" s="2918"/>
      <c r="AA1" s="2918"/>
      <c r="AB1" s="2918"/>
      <c r="AC1" s="2918"/>
      <c r="AD1" s="2918"/>
      <c r="AE1" s="2918"/>
      <c r="AF1" s="2918"/>
      <c r="AG1" s="2918"/>
      <c r="AH1" s="2918"/>
      <c r="AI1" s="2918"/>
      <c r="AJ1" s="2918"/>
      <c r="AK1" s="2918"/>
      <c r="AL1" s="2918"/>
      <c r="AM1" s="2918"/>
      <c r="AN1" s="2918"/>
      <c r="AO1" s="2918"/>
      <c r="AP1" s="2918"/>
      <c r="AQ1" s="2918"/>
      <c r="AR1" s="2918"/>
      <c r="AS1" s="2918"/>
      <c r="AT1" s="2918"/>
      <c r="AU1" s="2918"/>
      <c r="AV1" s="2918"/>
      <c r="AW1" s="2918"/>
      <c r="AX1" s="2918"/>
      <c r="AY1" s="2918"/>
      <c r="AZ1" s="2918"/>
      <c r="BA1" s="2918"/>
      <c r="BB1" s="2918"/>
      <c r="BC1" s="2918"/>
      <c r="BD1" s="2918"/>
      <c r="BE1" s="2918"/>
      <c r="BF1" s="2918"/>
      <c r="BG1" s="2918"/>
      <c r="BH1" s="2918"/>
      <c r="BI1" s="2918"/>
      <c r="BJ1" s="2918"/>
      <c r="BK1" s="2918"/>
      <c r="BL1" s="2918"/>
      <c r="BM1" s="2918"/>
      <c r="BN1" s="2919"/>
      <c r="BO1" s="496" t="s">
        <v>1</v>
      </c>
      <c r="BP1" s="1940" t="s">
        <v>2</v>
      </c>
      <c r="BQ1" s="500"/>
      <c r="BR1" s="500"/>
      <c r="BS1" s="500"/>
      <c r="BT1" s="500"/>
      <c r="BU1" s="500"/>
      <c r="BV1" s="500"/>
      <c r="BW1" s="500"/>
      <c r="BX1" s="500"/>
      <c r="BY1" s="500"/>
      <c r="BZ1" s="500"/>
      <c r="CA1" s="500"/>
      <c r="CB1" s="500"/>
      <c r="CC1" s="500"/>
      <c r="CD1" s="500"/>
      <c r="CE1" s="500"/>
      <c r="CF1" s="500"/>
      <c r="CG1" s="500"/>
      <c r="CH1" s="500"/>
    </row>
    <row r="2" spans="1:86" x14ac:dyDescent="0.2">
      <c r="A2" s="2917"/>
      <c r="B2" s="2918"/>
      <c r="C2" s="2918"/>
      <c r="D2" s="2918"/>
      <c r="E2" s="2918"/>
      <c r="F2" s="2918"/>
      <c r="G2" s="2918"/>
      <c r="H2" s="2918"/>
      <c r="I2" s="2918"/>
      <c r="J2" s="2918"/>
      <c r="K2" s="2918"/>
      <c r="L2" s="2918"/>
      <c r="M2" s="2918"/>
      <c r="N2" s="2918"/>
      <c r="O2" s="2918"/>
      <c r="P2" s="2918"/>
      <c r="Q2" s="2918"/>
      <c r="R2" s="2918"/>
      <c r="S2" s="2918"/>
      <c r="T2" s="2918"/>
      <c r="U2" s="2918"/>
      <c r="V2" s="2918"/>
      <c r="W2" s="2918"/>
      <c r="X2" s="2918"/>
      <c r="Y2" s="2918"/>
      <c r="Z2" s="2918"/>
      <c r="AA2" s="2918"/>
      <c r="AB2" s="2918"/>
      <c r="AC2" s="2918"/>
      <c r="AD2" s="2918"/>
      <c r="AE2" s="2918"/>
      <c r="AF2" s="2918"/>
      <c r="AG2" s="2918"/>
      <c r="AH2" s="2918"/>
      <c r="AI2" s="2918"/>
      <c r="AJ2" s="2918"/>
      <c r="AK2" s="2918"/>
      <c r="AL2" s="2918"/>
      <c r="AM2" s="2918"/>
      <c r="AN2" s="2918"/>
      <c r="AO2" s="2918"/>
      <c r="AP2" s="2918"/>
      <c r="AQ2" s="2918"/>
      <c r="AR2" s="2918"/>
      <c r="AS2" s="2918"/>
      <c r="AT2" s="2918"/>
      <c r="AU2" s="2918"/>
      <c r="AV2" s="2918"/>
      <c r="AW2" s="2918"/>
      <c r="AX2" s="2918"/>
      <c r="AY2" s="2918"/>
      <c r="AZ2" s="2918"/>
      <c r="BA2" s="2918"/>
      <c r="BB2" s="2918"/>
      <c r="BC2" s="2918"/>
      <c r="BD2" s="2918"/>
      <c r="BE2" s="2918"/>
      <c r="BF2" s="2918"/>
      <c r="BG2" s="2918"/>
      <c r="BH2" s="2918"/>
      <c r="BI2" s="2918"/>
      <c r="BJ2" s="2918"/>
      <c r="BK2" s="2918"/>
      <c r="BL2" s="2918"/>
      <c r="BM2" s="2918"/>
      <c r="BN2" s="2919"/>
      <c r="BO2" s="2021" t="s">
        <v>3</v>
      </c>
      <c r="BP2" s="1942">
        <v>6</v>
      </c>
      <c r="BQ2" s="500"/>
      <c r="BR2" s="500"/>
      <c r="BS2" s="500"/>
      <c r="BT2" s="500"/>
      <c r="BU2" s="500"/>
      <c r="BV2" s="500"/>
      <c r="BW2" s="500"/>
      <c r="BX2" s="500"/>
      <c r="BY2" s="500"/>
      <c r="BZ2" s="500"/>
      <c r="CA2" s="500"/>
      <c r="CB2" s="500"/>
      <c r="CC2" s="500"/>
      <c r="CD2" s="500"/>
      <c r="CE2" s="500"/>
      <c r="CF2" s="500"/>
      <c r="CG2" s="500"/>
      <c r="CH2" s="500"/>
    </row>
    <row r="3" spans="1:86" x14ac:dyDescent="0.2">
      <c r="A3" s="2917"/>
      <c r="B3" s="2918"/>
      <c r="C3" s="2918"/>
      <c r="D3" s="2918"/>
      <c r="E3" s="2918"/>
      <c r="F3" s="2918"/>
      <c r="G3" s="2918"/>
      <c r="H3" s="2918"/>
      <c r="I3" s="2918"/>
      <c r="J3" s="2918"/>
      <c r="K3" s="2918"/>
      <c r="L3" s="2918"/>
      <c r="M3" s="2918"/>
      <c r="N3" s="2918"/>
      <c r="O3" s="2918"/>
      <c r="P3" s="2918"/>
      <c r="Q3" s="2918"/>
      <c r="R3" s="2918"/>
      <c r="S3" s="2918"/>
      <c r="T3" s="2918"/>
      <c r="U3" s="2918"/>
      <c r="V3" s="2918"/>
      <c r="W3" s="2918"/>
      <c r="X3" s="2918"/>
      <c r="Y3" s="2918"/>
      <c r="Z3" s="2918"/>
      <c r="AA3" s="2918"/>
      <c r="AB3" s="2918"/>
      <c r="AC3" s="2918"/>
      <c r="AD3" s="2918"/>
      <c r="AE3" s="2918"/>
      <c r="AF3" s="2918"/>
      <c r="AG3" s="2918"/>
      <c r="AH3" s="2918"/>
      <c r="AI3" s="2918"/>
      <c r="AJ3" s="2918"/>
      <c r="AK3" s="2918"/>
      <c r="AL3" s="2918"/>
      <c r="AM3" s="2918"/>
      <c r="AN3" s="2918"/>
      <c r="AO3" s="2918"/>
      <c r="AP3" s="2918"/>
      <c r="AQ3" s="2918"/>
      <c r="AR3" s="2918"/>
      <c r="AS3" s="2918"/>
      <c r="AT3" s="2918"/>
      <c r="AU3" s="2918"/>
      <c r="AV3" s="2918"/>
      <c r="AW3" s="2918"/>
      <c r="AX3" s="2918"/>
      <c r="AY3" s="2918"/>
      <c r="AZ3" s="2918"/>
      <c r="BA3" s="2918"/>
      <c r="BB3" s="2918"/>
      <c r="BC3" s="2918"/>
      <c r="BD3" s="2918"/>
      <c r="BE3" s="2918"/>
      <c r="BF3" s="2918"/>
      <c r="BG3" s="2918"/>
      <c r="BH3" s="2918"/>
      <c r="BI3" s="2918"/>
      <c r="BJ3" s="2918"/>
      <c r="BK3" s="2918"/>
      <c r="BL3" s="2918"/>
      <c r="BM3" s="2918"/>
      <c r="BN3" s="2919"/>
      <c r="BO3" s="2021" t="s">
        <v>5</v>
      </c>
      <c r="BP3" s="1943" t="s">
        <v>6</v>
      </c>
      <c r="BQ3" s="500"/>
      <c r="BR3" s="500"/>
      <c r="BS3" s="500"/>
      <c r="BT3" s="500"/>
      <c r="BU3" s="500"/>
      <c r="BV3" s="500"/>
      <c r="BW3" s="500"/>
      <c r="BX3" s="500"/>
      <c r="BY3" s="500"/>
      <c r="BZ3" s="500"/>
      <c r="CA3" s="500"/>
      <c r="CB3" s="500"/>
      <c r="CC3" s="500"/>
      <c r="CD3" s="500"/>
      <c r="CE3" s="500"/>
      <c r="CF3" s="500"/>
      <c r="CG3" s="500"/>
      <c r="CH3" s="500"/>
    </row>
    <row r="4" spans="1:86" x14ac:dyDescent="0.2">
      <c r="A4" s="2920"/>
      <c r="B4" s="2921"/>
      <c r="C4" s="2921"/>
      <c r="D4" s="2921"/>
      <c r="E4" s="2921"/>
      <c r="F4" s="2921"/>
      <c r="G4" s="2921"/>
      <c r="H4" s="2921"/>
      <c r="I4" s="2921"/>
      <c r="J4" s="2921"/>
      <c r="K4" s="2921"/>
      <c r="L4" s="2921"/>
      <c r="M4" s="2921"/>
      <c r="N4" s="2921"/>
      <c r="O4" s="2921"/>
      <c r="P4" s="2921"/>
      <c r="Q4" s="2921"/>
      <c r="R4" s="2921"/>
      <c r="S4" s="2921"/>
      <c r="T4" s="2921"/>
      <c r="U4" s="2921"/>
      <c r="V4" s="2921"/>
      <c r="W4" s="2921"/>
      <c r="X4" s="2921"/>
      <c r="Y4" s="2921"/>
      <c r="Z4" s="2921"/>
      <c r="AA4" s="2921"/>
      <c r="AB4" s="2921"/>
      <c r="AC4" s="2921"/>
      <c r="AD4" s="2921"/>
      <c r="AE4" s="2921"/>
      <c r="AF4" s="2921"/>
      <c r="AG4" s="2921"/>
      <c r="AH4" s="2921"/>
      <c r="AI4" s="2921"/>
      <c r="AJ4" s="2921"/>
      <c r="AK4" s="2921"/>
      <c r="AL4" s="2921"/>
      <c r="AM4" s="2921"/>
      <c r="AN4" s="2921"/>
      <c r="AO4" s="2921"/>
      <c r="AP4" s="2921"/>
      <c r="AQ4" s="2921"/>
      <c r="AR4" s="2921"/>
      <c r="AS4" s="2921"/>
      <c r="AT4" s="2921"/>
      <c r="AU4" s="2921"/>
      <c r="AV4" s="2921"/>
      <c r="AW4" s="2921"/>
      <c r="AX4" s="2921"/>
      <c r="AY4" s="2921"/>
      <c r="AZ4" s="2921"/>
      <c r="BA4" s="2921"/>
      <c r="BB4" s="2921"/>
      <c r="BC4" s="2921"/>
      <c r="BD4" s="2921"/>
      <c r="BE4" s="2921"/>
      <c r="BF4" s="2921"/>
      <c r="BG4" s="2921"/>
      <c r="BH4" s="2921"/>
      <c r="BI4" s="2921"/>
      <c r="BJ4" s="2921"/>
      <c r="BK4" s="2921"/>
      <c r="BL4" s="2921"/>
      <c r="BM4" s="2921"/>
      <c r="BN4" s="2922"/>
      <c r="BO4" s="2021" t="s">
        <v>7</v>
      </c>
      <c r="BP4" s="1944" t="s">
        <v>311</v>
      </c>
      <c r="BQ4" s="500"/>
      <c r="BR4" s="500"/>
      <c r="BS4" s="500"/>
      <c r="BT4" s="500"/>
      <c r="BU4" s="500"/>
      <c r="BV4" s="500"/>
      <c r="BW4" s="500"/>
      <c r="BX4" s="500"/>
      <c r="BY4" s="500"/>
      <c r="BZ4" s="500"/>
      <c r="CA4" s="500"/>
      <c r="CB4" s="500"/>
      <c r="CC4" s="500"/>
      <c r="CD4" s="500"/>
      <c r="CE4" s="500"/>
      <c r="CF4" s="500"/>
      <c r="CG4" s="500"/>
      <c r="CH4" s="500"/>
    </row>
    <row r="5" spans="1:86" x14ac:dyDescent="0.2">
      <c r="A5" s="2923" t="s">
        <v>312</v>
      </c>
      <c r="B5" s="2924"/>
      <c r="C5" s="2924"/>
      <c r="D5" s="2924"/>
      <c r="E5" s="2924"/>
      <c r="F5" s="2924"/>
      <c r="G5" s="2924"/>
      <c r="H5" s="2924"/>
      <c r="I5" s="2924"/>
      <c r="J5" s="2924"/>
      <c r="K5" s="2924"/>
      <c r="L5" s="2019"/>
      <c r="M5" s="2927" t="s">
        <v>10</v>
      </c>
      <c r="N5" s="2927"/>
      <c r="O5" s="2927"/>
      <c r="P5" s="2927"/>
      <c r="Q5" s="2927"/>
      <c r="R5" s="2927"/>
      <c r="S5" s="2927"/>
      <c r="T5" s="2927"/>
      <c r="U5" s="2927"/>
      <c r="V5" s="2927"/>
      <c r="W5" s="2927"/>
      <c r="X5" s="2927"/>
      <c r="Y5" s="2927"/>
      <c r="Z5" s="2927"/>
      <c r="AA5" s="2927"/>
      <c r="AB5" s="2927"/>
      <c r="AC5" s="2927"/>
      <c r="AD5" s="2927"/>
      <c r="AE5" s="2927"/>
      <c r="AF5" s="2927"/>
      <c r="AG5" s="2927"/>
      <c r="AH5" s="2927"/>
      <c r="AI5" s="2927"/>
      <c r="AJ5" s="2927"/>
      <c r="AK5" s="2927"/>
      <c r="AL5" s="2927"/>
      <c r="AM5" s="2927"/>
      <c r="AN5" s="2927"/>
      <c r="AO5" s="2927"/>
      <c r="AP5" s="2927"/>
      <c r="AQ5" s="2927"/>
      <c r="AR5" s="2927"/>
      <c r="AS5" s="2927"/>
      <c r="AT5" s="2927"/>
      <c r="AU5" s="2927"/>
      <c r="AV5" s="2927"/>
      <c r="AW5" s="2927"/>
      <c r="AX5" s="2927"/>
      <c r="AY5" s="2927"/>
      <c r="AZ5" s="2927"/>
      <c r="BA5" s="2927"/>
      <c r="BB5" s="2927"/>
      <c r="BC5" s="2927"/>
      <c r="BD5" s="2927"/>
      <c r="BE5" s="2927"/>
      <c r="BF5" s="2927"/>
      <c r="BG5" s="2927"/>
      <c r="BH5" s="2927"/>
      <c r="BI5" s="2927"/>
      <c r="BJ5" s="2927"/>
      <c r="BK5" s="2927"/>
      <c r="BL5" s="2927"/>
      <c r="BM5" s="2927"/>
      <c r="BN5" s="2927"/>
      <c r="BO5" s="2928"/>
      <c r="BP5" s="2929"/>
      <c r="BQ5" s="500"/>
      <c r="BR5" s="500"/>
      <c r="BS5" s="500"/>
      <c r="BT5" s="500"/>
      <c r="BU5" s="500"/>
      <c r="BV5" s="500"/>
      <c r="BW5" s="500"/>
      <c r="BX5" s="500"/>
      <c r="BY5" s="500"/>
      <c r="BZ5" s="500"/>
      <c r="CA5" s="500"/>
      <c r="CB5" s="500"/>
      <c r="CC5" s="500"/>
      <c r="CD5" s="500"/>
      <c r="CE5" s="500"/>
      <c r="CF5" s="500"/>
      <c r="CG5" s="500"/>
      <c r="CH5" s="500"/>
    </row>
    <row r="6" spans="1:86" ht="13.5" thickBot="1" x14ac:dyDescent="0.25">
      <c r="A6" s="2925"/>
      <c r="B6" s="2926"/>
      <c r="C6" s="2926"/>
      <c r="D6" s="2926"/>
      <c r="E6" s="2926"/>
      <c r="F6" s="2926"/>
      <c r="G6" s="2926"/>
      <c r="H6" s="2926"/>
      <c r="I6" s="2926"/>
      <c r="J6" s="2926"/>
      <c r="K6" s="2926"/>
      <c r="L6" s="2020"/>
      <c r="M6" s="2022"/>
      <c r="N6" s="517"/>
      <c r="O6" s="519"/>
      <c r="P6" s="2020"/>
      <c r="Q6" s="1945"/>
      <c r="R6" s="2020"/>
      <c r="S6" s="2020"/>
      <c r="T6" s="2020"/>
      <c r="U6" s="2020"/>
      <c r="V6" s="2020"/>
      <c r="W6" s="2020"/>
      <c r="X6" s="2020"/>
      <c r="Y6" s="2020"/>
      <c r="Z6" s="2930" t="s">
        <v>11</v>
      </c>
      <c r="AA6" s="2926"/>
      <c r="AB6" s="2926"/>
      <c r="AC6" s="2926"/>
      <c r="AD6" s="2926"/>
      <c r="AE6" s="2926"/>
      <c r="AF6" s="2926"/>
      <c r="AG6" s="2926"/>
      <c r="AH6" s="2926"/>
      <c r="AI6" s="2926"/>
      <c r="AJ6" s="2926"/>
      <c r="AK6" s="2926"/>
      <c r="AL6" s="2926"/>
      <c r="AM6" s="2926"/>
      <c r="AN6" s="2926"/>
      <c r="AO6" s="2926"/>
      <c r="AP6" s="2926"/>
      <c r="AQ6" s="2926"/>
      <c r="AR6" s="2926"/>
      <c r="AS6" s="2926"/>
      <c r="AT6" s="2926"/>
      <c r="AU6" s="2926"/>
      <c r="AV6" s="2926"/>
      <c r="AW6" s="2926"/>
      <c r="AX6" s="2926"/>
      <c r="AY6" s="2926"/>
      <c r="AZ6" s="2926"/>
      <c r="BA6" s="2926"/>
      <c r="BB6" s="2926"/>
      <c r="BC6" s="2020"/>
      <c r="BD6" s="1946"/>
      <c r="BE6" s="1946"/>
      <c r="BF6" s="1946"/>
      <c r="BG6" s="1946"/>
      <c r="BH6" s="1946"/>
      <c r="BI6" s="1946"/>
      <c r="BJ6" s="1947"/>
      <c r="BK6" s="1946"/>
      <c r="BL6" s="524"/>
      <c r="BM6" s="524"/>
      <c r="BN6" s="524"/>
      <c r="BO6" s="524"/>
      <c r="BP6" s="525"/>
      <c r="BQ6" s="500"/>
      <c r="BR6" s="500"/>
      <c r="BS6" s="500"/>
      <c r="BT6" s="500"/>
      <c r="BU6" s="500"/>
      <c r="BV6" s="500"/>
      <c r="BW6" s="500"/>
      <c r="BX6" s="500"/>
      <c r="BY6" s="500"/>
      <c r="BZ6" s="500"/>
      <c r="CA6" s="500"/>
      <c r="CB6" s="500"/>
      <c r="CC6" s="500"/>
      <c r="CD6" s="500"/>
      <c r="CE6" s="500"/>
      <c r="CF6" s="500"/>
      <c r="CG6" s="500"/>
      <c r="CH6" s="500"/>
    </row>
    <row r="7" spans="1:86" ht="15.75" x14ac:dyDescent="0.2">
      <c r="A7" s="2548" t="s">
        <v>12</v>
      </c>
      <c r="B7" s="2536" t="s">
        <v>13</v>
      </c>
      <c r="C7" s="2537"/>
      <c r="D7" s="2516" t="s">
        <v>12</v>
      </c>
      <c r="E7" s="2536" t="s">
        <v>14</v>
      </c>
      <c r="F7" s="2537"/>
      <c r="G7" s="2516" t="s">
        <v>12</v>
      </c>
      <c r="H7" s="2516" t="s">
        <v>1542</v>
      </c>
      <c r="I7" s="2516" t="s">
        <v>15</v>
      </c>
      <c r="J7" s="2516" t="s">
        <v>16</v>
      </c>
      <c r="K7" s="2580" t="s">
        <v>17</v>
      </c>
      <c r="L7" s="2580"/>
      <c r="M7" s="2516" t="s">
        <v>18</v>
      </c>
      <c r="N7" s="2516" t="s">
        <v>19</v>
      </c>
      <c r="O7" s="2516" t="s">
        <v>10</v>
      </c>
      <c r="P7" s="2562" t="s">
        <v>20</v>
      </c>
      <c r="Q7" s="2564" t="s">
        <v>21</v>
      </c>
      <c r="R7" s="2536" t="s">
        <v>22</v>
      </c>
      <c r="S7" s="2516" t="s">
        <v>23</v>
      </c>
      <c r="T7" s="2516" t="s">
        <v>24</v>
      </c>
      <c r="U7" s="2916" t="s">
        <v>21</v>
      </c>
      <c r="V7" s="2916"/>
      <c r="W7" s="2916"/>
      <c r="X7" s="2548" t="s">
        <v>12</v>
      </c>
      <c r="Y7" s="2516" t="s">
        <v>25</v>
      </c>
      <c r="Z7" s="2551" t="s">
        <v>26</v>
      </c>
      <c r="AA7" s="2552"/>
      <c r="AB7" s="2552"/>
      <c r="AC7" s="2553"/>
      <c r="AD7" s="2554" t="s">
        <v>27</v>
      </c>
      <c r="AE7" s="2555"/>
      <c r="AF7" s="2555"/>
      <c r="AG7" s="2555"/>
      <c r="AH7" s="2555"/>
      <c r="AI7" s="2555"/>
      <c r="AJ7" s="2555"/>
      <c r="AK7" s="2556"/>
      <c r="AL7" s="2677" t="s">
        <v>28</v>
      </c>
      <c r="AM7" s="2678"/>
      <c r="AN7" s="2678"/>
      <c r="AO7" s="2678"/>
      <c r="AP7" s="2678"/>
      <c r="AQ7" s="2678"/>
      <c r="AR7" s="2678"/>
      <c r="AS7" s="2678"/>
      <c r="AT7" s="2678"/>
      <c r="AU7" s="2678"/>
      <c r="AV7" s="2678"/>
      <c r="AW7" s="2679"/>
      <c r="AX7" s="2554" t="s">
        <v>29</v>
      </c>
      <c r="AY7" s="2555"/>
      <c r="AZ7" s="2555"/>
      <c r="BA7" s="2555"/>
      <c r="BB7" s="2555"/>
      <c r="BC7" s="2556"/>
      <c r="BD7" s="2910" t="s">
        <v>30</v>
      </c>
      <c r="BE7" s="2911"/>
      <c r="BF7" s="2577" t="s">
        <v>31</v>
      </c>
      <c r="BG7" s="2578"/>
      <c r="BH7" s="2578"/>
      <c r="BI7" s="2578"/>
      <c r="BJ7" s="2578"/>
      <c r="BK7" s="2579"/>
      <c r="BL7" s="2914" t="s">
        <v>32</v>
      </c>
      <c r="BM7" s="2914"/>
      <c r="BN7" s="2914" t="s">
        <v>33</v>
      </c>
      <c r="BO7" s="2914"/>
      <c r="BP7" s="2671" t="s">
        <v>34</v>
      </c>
      <c r="BQ7" s="500"/>
      <c r="BR7" s="500"/>
      <c r="BS7" s="500"/>
      <c r="BT7" s="500"/>
      <c r="BU7" s="500"/>
      <c r="BV7" s="500"/>
      <c r="BW7" s="500"/>
      <c r="BX7" s="500"/>
      <c r="BY7" s="500"/>
      <c r="BZ7" s="500"/>
      <c r="CA7" s="500"/>
      <c r="CB7" s="500"/>
      <c r="CC7" s="500"/>
      <c r="CD7" s="500"/>
      <c r="CE7" s="500"/>
      <c r="CF7" s="500"/>
      <c r="CG7" s="500"/>
      <c r="CH7" s="500"/>
    </row>
    <row r="8" spans="1:86" ht="131.25" customHeight="1" x14ac:dyDescent="0.2">
      <c r="A8" s="2549"/>
      <c r="B8" s="2538"/>
      <c r="C8" s="2539"/>
      <c r="D8" s="2517"/>
      <c r="E8" s="2538"/>
      <c r="F8" s="2539"/>
      <c r="G8" s="2517"/>
      <c r="H8" s="2517"/>
      <c r="I8" s="2517"/>
      <c r="J8" s="2517"/>
      <c r="K8" s="2516" t="s">
        <v>59</v>
      </c>
      <c r="L8" s="2516" t="s">
        <v>60</v>
      </c>
      <c r="M8" s="2517"/>
      <c r="N8" s="2517"/>
      <c r="O8" s="2517"/>
      <c r="P8" s="2563"/>
      <c r="Q8" s="2565"/>
      <c r="R8" s="2538"/>
      <c r="S8" s="2517"/>
      <c r="T8" s="2517"/>
      <c r="U8" s="2018" t="s">
        <v>229</v>
      </c>
      <c r="V8" s="2018" t="s">
        <v>230</v>
      </c>
      <c r="W8" s="2018" t="s">
        <v>231</v>
      </c>
      <c r="X8" s="2550"/>
      <c r="Y8" s="2517"/>
      <c r="Z8" s="2673" t="s">
        <v>38</v>
      </c>
      <c r="AA8" s="2674"/>
      <c r="AB8" s="2675" t="s">
        <v>39</v>
      </c>
      <c r="AC8" s="2676"/>
      <c r="AD8" s="2673" t="s">
        <v>40</v>
      </c>
      <c r="AE8" s="2674"/>
      <c r="AF8" s="2673" t="s">
        <v>41</v>
      </c>
      <c r="AG8" s="2674"/>
      <c r="AH8" s="2673" t="s">
        <v>42</v>
      </c>
      <c r="AI8" s="2674"/>
      <c r="AJ8" s="2673" t="s">
        <v>43</v>
      </c>
      <c r="AK8" s="2674"/>
      <c r="AL8" s="2673" t="s">
        <v>44</v>
      </c>
      <c r="AM8" s="2674"/>
      <c r="AN8" s="2673" t="s">
        <v>45</v>
      </c>
      <c r="AO8" s="2674"/>
      <c r="AP8" s="2673" t="s">
        <v>46</v>
      </c>
      <c r="AQ8" s="2674"/>
      <c r="AR8" s="2673" t="s">
        <v>47</v>
      </c>
      <c r="AS8" s="2674"/>
      <c r="AT8" s="2673" t="s">
        <v>48</v>
      </c>
      <c r="AU8" s="2674"/>
      <c r="AV8" s="2673" t="s">
        <v>317</v>
      </c>
      <c r="AW8" s="2674"/>
      <c r="AX8" s="2673" t="s">
        <v>50</v>
      </c>
      <c r="AY8" s="2674"/>
      <c r="AZ8" s="2673" t="s">
        <v>51</v>
      </c>
      <c r="BA8" s="2674"/>
      <c r="BB8" s="2673" t="s">
        <v>52</v>
      </c>
      <c r="BC8" s="2674"/>
      <c r="BD8" s="2912"/>
      <c r="BE8" s="2913"/>
      <c r="BF8" s="2568" t="s">
        <v>53</v>
      </c>
      <c r="BG8" s="2567" t="s">
        <v>54</v>
      </c>
      <c r="BH8" s="2568" t="s">
        <v>55</v>
      </c>
      <c r="BI8" s="2569" t="s">
        <v>56</v>
      </c>
      <c r="BJ8" s="2568" t="s">
        <v>57</v>
      </c>
      <c r="BK8" s="2570" t="s">
        <v>58</v>
      </c>
      <c r="BL8" s="2914"/>
      <c r="BM8" s="2914"/>
      <c r="BN8" s="2914"/>
      <c r="BO8" s="2914"/>
      <c r="BP8" s="2672"/>
      <c r="BQ8" s="500"/>
      <c r="BR8" s="500"/>
      <c r="BS8" s="500"/>
      <c r="BT8" s="500"/>
      <c r="BU8" s="500"/>
      <c r="BV8" s="500"/>
      <c r="BW8" s="500"/>
      <c r="BX8" s="500"/>
      <c r="BY8" s="500"/>
      <c r="BZ8" s="500"/>
      <c r="CA8" s="500"/>
      <c r="CB8" s="500"/>
      <c r="CC8" s="500"/>
      <c r="CD8" s="500"/>
      <c r="CE8" s="500"/>
      <c r="CF8" s="500"/>
      <c r="CG8" s="500"/>
      <c r="CH8" s="500"/>
    </row>
    <row r="9" spans="1:86" ht="15.75" x14ac:dyDescent="0.2">
      <c r="A9" s="2550"/>
      <c r="B9" s="2705"/>
      <c r="C9" s="2706"/>
      <c r="D9" s="2540"/>
      <c r="E9" s="2705"/>
      <c r="F9" s="2706"/>
      <c r="G9" s="2540"/>
      <c r="H9" s="2540"/>
      <c r="I9" s="2540"/>
      <c r="J9" s="2540"/>
      <c r="K9" s="2540"/>
      <c r="L9" s="2540"/>
      <c r="M9" s="2540"/>
      <c r="N9" s="1990"/>
      <c r="O9" s="1990"/>
      <c r="P9" s="1993"/>
      <c r="Q9" s="1994"/>
      <c r="R9" s="1991"/>
      <c r="S9" s="2540"/>
      <c r="T9" s="2540"/>
      <c r="U9" s="1948"/>
      <c r="V9" s="1949"/>
      <c r="W9" s="1949"/>
      <c r="X9" s="1992"/>
      <c r="Y9" s="1990"/>
      <c r="Z9" s="1989" t="s">
        <v>59</v>
      </c>
      <c r="AA9" s="1989" t="s">
        <v>60</v>
      </c>
      <c r="AB9" s="1989" t="s">
        <v>59</v>
      </c>
      <c r="AC9" s="1989" t="s">
        <v>60</v>
      </c>
      <c r="AD9" s="1989" t="s">
        <v>59</v>
      </c>
      <c r="AE9" s="1989" t="s">
        <v>60</v>
      </c>
      <c r="AF9" s="1989" t="s">
        <v>59</v>
      </c>
      <c r="AG9" s="1989" t="s">
        <v>60</v>
      </c>
      <c r="AH9" s="1989" t="s">
        <v>59</v>
      </c>
      <c r="AI9" s="1989" t="s">
        <v>60</v>
      </c>
      <c r="AJ9" s="1989" t="s">
        <v>59</v>
      </c>
      <c r="AK9" s="1989" t="s">
        <v>60</v>
      </c>
      <c r="AL9" s="1989" t="s">
        <v>59</v>
      </c>
      <c r="AM9" s="1989" t="s">
        <v>60</v>
      </c>
      <c r="AN9" s="1989" t="s">
        <v>59</v>
      </c>
      <c r="AO9" s="1989" t="s">
        <v>60</v>
      </c>
      <c r="AP9" s="1989" t="s">
        <v>59</v>
      </c>
      <c r="AQ9" s="1989" t="s">
        <v>60</v>
      </c>
      <c r="AR9" s="1989" t="s">
        <v>59</v>
      </c>
      <c r="AS9" s="1989" t="s">
        <v>60</v>
      </c>
      <c r="AT9" s="1989" t="s">
        <v>59</v>
      </c>
      <c r="AU9" s="1989" t="s">
        <v>60</v>
      </c>
      <c r="AV9" s="1989" t="s">
        <v>59</v>
      </c>
      <c r="AW9" s="1989" t="s">
        <v>60</v>
      </c>
      <c r="AX9" s="1989" t="s">
        <v>59</v>
      </c>
      <c r="AY9" s="1989" t="s">
        <v>60</v>
      </c>
      <c r="AZ9" s="1989" t="s">
        <v>59</v>
      </c>
      <c r="BA9" s="1989" t="s">
        <v>60</v>
      </c>
      <c r="BB9" s="1989" t="s">
        <v>59</v>
      </c>
      <c r="BC9" s="1989" t="s">
        <v>60</v>
      </c>
      <c r="BD9" s="1989" t="s">
        <v>59</v>
      </c>
      <c r="BE9" s="1989" t="s">
        <v>60</v>
      </c>
      <c r="BF9" s="2568"/>
      <c r="BG9" s="2567"/>
      <c r="BH9" s="2568"/>
      <c r="BI9" s="2569"/>
      <c r="BJ9" s="2568"/>
      <c r="BK9" s="2571"/>
      <c r="BL9" s="1989" t="s">
        <v>59</v>
      </c>
      <c r="BM9" s="1989" t="s">
        <v>60</v>
      </c>
      <c r="BN9" s="1989" t="s">
        <v>59</v>
      </c>
      <c r="BO9" s="1989" t="s">
        <v>60</v>
      </c>
      <c r="BP9" s="2915"/>
      <c r="BQ9" s="500"/>
      <c r="BR9" s="500"/>
      <c r="BS9" s="500"/>
      <c r="BT9" s="500"/>
      <c r="BU9" s="500"/>
      <c r="BV9" s="500"/>
      <c r="BW9" s="500"/>
      <c r="BX9" s="500"/>
      <c r="BY9" s="500"/>
      <c r="BZ9" s="500"/>
      <c r="CA9" s="500"/>
      <c r="CB9" s="500"/>
      <c r="CC9" s="500"/>
      <c r="CD9" s="500"/>
      <c r="CE9" s="500"/>
      <c r="CF9" s="500"/>
      <c r="CG9" s="500"/>
      <c r="CH9" s="500"/>
    </row>
    <row r="10" spans="1:86" s="1950" customFormat="1" ht="15.75" x14ac:dyDescent="0.2">
      <c r="A10" s="1620">
        <v>4</v>
      </c>
      <c r="B10" s="1621" t="s">
        <v>289</v>
      </c>
      <c r="C10" s="405"/>
      <c r="D10" s="34"/>
      <c r="E10" s="34"/>
      <c r="F10" s="34"/>
      <c r="G10" s="34"/>
      <c r="H10" s="34"/>
      <c r="I10" s="36"/>
      <c r="J10" s="36"/>
      <c r="K10" s="34"/>
      <c r="L10" s="34"/>
      <c r="M10" s="34"/>
      <c r="N10" s="37"/>
      <c r="O10" s="35"/>
      <c r="P10" s="38"/>
      <c r="Q10" s="39"/>
      <c r="R10" s="35"/>
      <c r="S10" s="35"/>
      <c r="T10" s="35"/>
      <c r="U10" s="41"/>
      <c r="V10" s="41"/>
      <c r="W10" s="41"/>
      <c r="X10" s="42"/>
      <c r="Y10" s="37"/>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6"/>
      <c r="BK10" s="34"/>
      <c r="BL10" s="43"/>
      <c r="BM10" s="43"/>
      <c r="BN10" s="43"/>
      <c r="BO10" s="43"/>
      <c r="BP10" s="35"/>
      <c r="BQ10" s="500"/>
      <c r="BR10" s="500"/>
      <c r="BS10" s="500"/>
      <c r="BT10" s="500"/>
      <c r="BU10" s="500"/>
      <c r="BV10" s="500"/>
      <c r="BW10" s="500"/>
      <c r="BX10" s="500"/>
      <c r="BY10" s="500"/>
      <c r="BZ10" s="500"/>
      <c r="CA10" s="500"/>
      <c r="CB10" s="500"/>
      <c r="CC10" s="500"/>
      <c r="CD10" s="500"/>
      <c r="CE10" s="500"/>
      <c r="CF10" s="500"/>
      <c r="CG10" s="500"/>
      <c r="CH10" s="500"/>
    </row>
    <row r="11" spans="1:86" s="500" customFormat="1" ht="15.75" x14ac:dyDescent="0.2">
      <c r="A11" s="1995"/>
      <c r="B11" s="2896"/>
      <c r="C11" s="2897"/>
      <c r="D11" s="1951">
        <v>45</v>
      </c>
      <c r="E11" s="2898" t="s">
        <v>89</v>
      </c>
      <c r="F11" s="2898"/>
      <c r="G11" s="2899"/>
      <c r="H11" s="2898"/>
      <c r="I11" s="2899"/>
      <c r="J11" s="2899"/>
      <c r="K11" s="2899"/>
      <c r="L11" s="2899"/>
      <c r="M11" s="2899"/>
      <c r="N11" s="2899"/>
      <c r="O11" s="418"/>
      <c r="P11" s="1624"/>
      <c r="Q11" s="417"/>
      <c r="R11" s="412"/>
      <c r="S11" s="412"/>
      <c r="T11" s="412"/>
      <c r="U11" s="1565"/>
      <c r="V11" s="1565"/>
      <c r="W11" s="1565"/>
      <c r="X11" s="1566"/>
      <c r="Y11" s="414"/>
      <c r="Z11" s="411"/>
      <c r="AA11" s="411"/>
      <c r="AB11" s="411"/>
      <c r="AC11" s="411"/>
      <c r="AD11" s="411"/>
      <c r="AE11" s="411"/>
      <c r="AF11" s="411"/>
      <c r="AG11" s="411"/>
      <c r="AH11" s="411"/>
      <c r="AI11" s="411"/>
      <c r="AJ11" s="411"/>
      <c r="AK11" s="411"/>
      <c r="AL11" s="411"/>
      <c r="AM11" s="411"/>
      <c r="AN11" s="411"/>
      <c r="AO11" s="411"/>
      <c r="AP11" s="411"/>
      <c r="AQ11" s="411"/>
      <c r="AR11" s="411"/>
      <c r="AS11" s="411"/>
      <c r="AT11" s="411"/>
      <c r="AU11" s="411"/>
      <c r="AV11" s="411"/>
      <c r="AW11" s="411"/>
      <c r="AX11" s="411"/>
      <c r="AY11" s="411"/>
      <c r="AZ11" s="411"/>
      <c r="BA11" s="411"/>
      <c r="BB11" s="411"/>
      <c r="BC11" s="411"/>
      <c r="BD11" s="411"/>
      <c r="BE11" s="411"/>
      <c r="BF11" s="411"/>
      <c r="BG11" s="411"/>
      <c r="BH11" s="411"/>
      <c r="BI11" s="411"/>
      <c r="BJ11" s="1952"/>
      <c r="BK11" s="411"/>
      <c r="BL11" s="557"/>
      <c r="BM11" s="557"/>
      <c r="BN11" s="557"/>
      <c r="BO11" s="557"/>
      <c r="BP11" s="412"/>
      <c r="BQ11" s="1953"/>
    </row>
    <row r="12" spans="1:86" s="500" customFormat="1" ht="45.75" customHeight="1" x14ac:dyDescent="0.2">
      <c r="A12" s="1997"/>
      <c r="B12" s="2900"/>
      <c r="C12" s="2900"/>
      <c r="D12" s="1104"/>
      <c r="E12" s="2901"/>
      <c r="F12" s="2902"/>
      <c r="G12" s="2903" t="s">
        <v>64</v>
      </c>
      <c r="H12" s="2880" t="s">
        <v>1543</v>
      </c>
      <c r="I12" s="2906" t="s">
        <v>1544</v>
      </c>
      <c r="J12" s="2908" t="s">
        <v>1545</v>
      </c>
      <c r="K12" s="2581">
        <v>1</v>
      </c>
      <c r="L12" s="2581">
        <v>1</v>
      </c>
      <c r="M12" s="2581" t="s">
        <v>1546</v>
      </c>
      <c r="N12" s="2721" t="s">
        <v>1547</v>
      </c>
      <c r="O12" s="2892" t="s">
        <v>1548</v>
      </c>
      <c r="P12" s="2894">
        <f>SUM(U12:U17)/Q12</f>
        <v>1</v>
      </c>
      <c r="Q12" s="2884">
        <f>SUM(U12:U17)</f>
        <v>1881149477</v>
      </c>
      <c r="R12" s="2717" t="s">
        <v>1549</v>
      </c>
      <c r="S12" s="2886" t="s">
        <v>1550</v>
      </c>
      <c r="T12" s="2888" t="s">
        <v>1551</v>
      </c>
      <c r="U12" s="1954">
        <v>628217465</v>
      </c>
      <c r="V12" s="1955">
        <v>127550000</v>
      </c>
      <c r="W12" s="1956">
        <v>127550000</v>
      </c>
      <c r="X12" s="2013">
        <v>20</v>
      </c>
      <c r="Y12" s="2014" t="s">
        <v>85</v>
      </c>
      <c r="Z12" s="2890">
        <v>295972</v>
      </c>
      <c r="AA12" s="2890">
        <v>295972</v>
      </c>
      <c r="AB12" s="2860">
        <v>285580</v>
      </c>
      <c r="AC12" s="2860">
        <v>285580</v>
      </c>
      <c r="AD12" s="2860">
        <v>135545</v>
      </c>
      <c r="AE12" s="2860">
        <v>135545</v>
      </c>
      <c r="AF12" s="2860">
        <v>44254</v>
      </c>
      <c r="AG12" s="2860">
        <v>44254</v>
      </c>
      <c r="AH12" s="2860">
        <v>309146</v>
      </c>
      <c r="AI12" s="2860">
        <v>309146</v>
      </c>
      <c r="AJ12" s="2860">
        <v>92607</v>
      </c>
      <c r="AK12" s="2860">
        <v>92607</v>
      </c>
      <c r="AL12" s="2860">
        <v>2145</v>
      </c>
      <c r="AM12" s="2860">
        <v>2145</v>
      </c>
      <c r="AN12" s="2860">
        <v>12718</v>
      </c>
      <c r="AO12" s="2860">
        <v>12718</v>
      </c>
      <c r="AP12" s="2860">
        <v>26</v>
      </c>
      <c r="AQ12" s="2860">
        <v>26</v>
      </c>
      <c r="AR12" s="2860">
        <v>37</v>
      </c>
      <c r="AS12" s="2860">
        <v>37</v>
      </c>
      <c r="AT12" s="2860">
        <v>0</v>
      </c>
      <c r="AU12" s="2860">
        <v>0</v>
      </c>
      <c r="AV12" s="2860">
        <v>0</v>
      </c>
      <c r="AW12" s="2860">
        <v>0</v>
      </c>
      <c r="AX12" s="2860">
        <v>44350</v>
      </c>
      <c r="AY12" s="2860">
        <v>44350</v>
      </c>
      <c r="AZ12" s="2860">
        <v>21944</v>
      </c>
      <c r="BA12" s="2860">
        <v>21944</v>
      </c>
      <c r="BB12" s="2860">
        <v>75687</v>
      </c>
      <c r="BC12" s="2860">
        <v>75687</v>
      </c>
      <c r="BD12" s="2860">
        <f>+Z12+AB12</f>
        <v>581552</v>
      </c>
      <c r="BE12" s="2860">
        <f>+AA12+AC12</f>
        <v>581552</v>
      </c>
      <c r="BF12" s="2860">
        <v>85</v>
      </c>
      <c r="BG12" s="2851">
        <f>+V12+V13+V14+V15+V16+V17</f>
        <v>1170360787</v>
      </c>
      <c r="BH12" s="2851">
        <f>+W12+W13+W14+W15+W16+W17</f>
        <v>1127463773</v>
      </c>
      <c r="BI12" s="2854">
        <f>+BH12/BG12</f>
        <v>0.96334718791291829</v>
      </c>
      <c r="BJ12" s="2857" t="s">
        <v>1552</v>
      </c>
      <c r="BK12" s="2857" t="s">
        <v>1553</v>
      </c>
      <c r="BL12" s="2876">
        <v>43832</v>
      </c>
      <c r="BM12" s="2848">
        <v>43857</v>
      </c>
      <c r="BN12" s="2848">
        <v>44195</v>
      </c>
      <c r="BO12" s="2848">
        <v>44196</v>
      </c>
      <c r="BP12" s="2710" t="s">
        <v>1554</v>
      </c>
      <c r="BQ12" s="1957"/>
    </row>
    <row r="13" spans="1:86" s="500" customFormat="1" ht="39.75" customHeight="1" x14ac:dyDescent="0.2">
      <c r="A13" s="1997"/>
      <c r="B13" s="2006"/>
      <c r="C13" s="2006"/>
      <c r="D13" s="2003"/>
      <c r="E13" s="2005"/>
      <c r="F13" s="2004"/>
      <c r="G13" s="2904"/>
      <c r="H13" s="2880"/>
      <c r="I13" s="2907"/>
      <c r="J13" s="2909"/>
      <c r="K13" s="2582"/>
      <c r="L13" s="2582"/>
      <c r="M13" s="2582"/>
      <c r="N13" s="2722"/>
      <c r="O13" s="2893"/>
      <c r="P13" s="2895"/>
      <c r="Q13" s="2885"/>
      <c r="R13" s="2717"/>
      <c r="S13" s="2886"/>
      <c r="T13" s="2889"/>
      <c r="U13" s="1958">
        <v>198154681</v>
      </c>
      <c r="V13" s="1959">
        <v>186424734</v>
      </c>
      <c r="W13" s="1955">
        <v>186424734</v>
      </c>
      <c r="X13" s="2012">
        <v>88</v>
      </c>
      <c r="Y13" s="2014" t="s">
        <v>411</v>
      </c>
      <c r="Z13" s="2890"/>
      <c r="AA13" s="2890"/>
      <c r="AB13" s="2861"/>
      <c r="AC13" s="2861"/>
      <c r="AD13" s="2861"/>
      <c r="AE13" s="2861"/>
      <c r="AF13" s="2861"/>
      <c r="AG13" s="2861"/>
      <c r="AH13" s="2861"/>
      <c r="AI13" s="2861"/>
      <c r="AJ13" s="2861"/>
      <c r="AK13" s="2861"/>
      <c r="AL13" s="2861"/>
      <c r="AM13" s="2861"/>
      <c r="AN13" s="2861"/>
      <c r="AO13" s="2861"/>
      <c r="AP13" s="2861"/>
      <c r="AQ13" s="2861"/>
      <c r="AR13" s="2861"/>
      <c r="AS13" s="2861"/>
      <c r="AT13" s="2861"/>
      <c r="AU13" s="2861"/>
      <c r="AV13" s="2861"/>
      <c r="AW13" s="2861"/>
      <c r="AX13" s="2861"/>
      <c r="AY13" s="2861"/>
      <c r="AZ13" s="2861"/>
      <c r="BA13" s="2861"/>
      <c r="BB13" s="2861"/>
      <c r="BC13" s="2861"/>
      <c r="BD13" s="2861"/>
      <c r="BE13" s="2861"/>
      <c r="BF13" s="2861"/>
      <c r="BG13" s="2852"/>
      <c r="BH13" s="2852"/>
      <c r="BI13" s="2855"/>
      <c r="BJ13" s="2858"/>
      <c r="BK13" s="2858"/>
      <c r="BL13" s="2877"/>
      <c r="BM13" s="2848"/>
      <c r="BN13" s="2848"/>
      <c r="BO13" s="2848"/>
      <c r="BP13" s="2710"/>
      <c r="BQ13" s="1957"/>
    </row>
    <row r="14" spans="1:86" s="500" customFormat="1" ht="66" customHeight="1" x14ac:dyDescent="0.2">
      <c r="A14" s="1997"/>
      <c r="B14" s="2006"/>
      <c r="C14" s="2006"/>
      <c r="D14" s="2003"/>
      <c r="E14" s="2005"/>
      <c r="F14" s="2004"/>
      <c r="G14" s="2904"/>
      <c r="H14" s="2880"/>
      <c r="I14" s="2907"/>
      <c r="J14" s="2909"/>
      <c r="K14" s="2582"/>
      <c r="L14" s="2582"/>
      <c r="M14" s="2582"/>
      <c r="N14" s="2722"/>
      <c r="O14" s="2893"/>
      <c r="P14" s="2895"/>
      <c r="Q14" s="2885"/>
      <c r="R14" s="2717"/>
      <c r="S14" s="2886"/>
      <c r="T14" s="2016" t="s">
        <v>1555</v>
      </c>
      <c r="U14" s="1960">
        <v>488447537</v>
      </c>
      <c r="V14" s="1961">
        <f>640185868-V16</f>
        <v>486580870</v>
      </c>
      <c r="W14" s="1956">
        <v>443683856</v>
      </c>
      <c r="X14" s="2013">
        <v>20</v>
      </c>
      <c r="Y14" s="2014" t="s">
        <v>85</v>
      </c>
      <c r="Z14" s="2890"/>
      <c r="AA14" s="2890"/>
      <c r="AB14" s="2861"/>
      <c r="AC14" s="2861"/>
      <c r="AD14" s="2861"/>
      <c r="AE14" s="2861"/>
      <c r="AF14" s="2861"/>
      <c r="AG14" s="2861"/>
      <c r="AH14" s="2861"/>
      <c r="AI14" s="2861"/>
      <c r="AJ14" s="2861"/>
      <c r="AK14" s="2861"/>
      <c r="AL14" s="2861"/>
      <c r="AM14" s="2861"/>
      <c r="AN14" s="2861"/>
      <c r="AO14" s="2861"/>
      <c r="AP14" s="2861"/>
      <c r="AQ14" s="2861"/>
      <c r="AR14" s="2861"/>
      <c r="AS14" s="2861"/>
      <c r="AT14" s="2861"/>
      <c r="AU14" s="2861"/>
      <c r="AV14" s="2861"/>
      <c r="AW14" s="2861"/>
      <c r="AX14" s="2861"/>
      <c r="AY14" s="2861"/>
      <c r="AZ14" s="2861"/>
      <c r="BA14" s="2861"/>
      <c r="BB14" s="2861"/>
      <c r="BC14" s="2861"/>
      <c r="BD14" s="2861"/>
      <c r="BE14" s="2861"/>
      <c r="BF14" s="2861"/>
      <c r="BG14" s="2852"/>
      <c r="BH14" s="2852"/>
      <c r="BI14" s="2855"/>
      <c r="BJ14" s="2858"/>
      <c r="BK14" s="2858"/>
      <c r="BL14" s="2877"/>
      <c r="BM14" s="2848"/>
      <c r="BN14" s="2848"/>
      <c r="BO14" s="2848"/>
      <c r="BP14" s="2710"/>
      <c r="BQ14" s="1957"/>
    </row>
    <row r="15" spans="1:86" s="500" customFormat="1" ht="87.75" customHeight="1" x14ac:dyDescent="0.2">
      <c r="A15" s="1997"/>
      <c r="B15" s="2006"/>
      <c r="C15" s="2006"/>
      <c r="D15" s="2003"/>
      <c r="E15" s="2005"/>
      <c r="F15" s="2004"/>
      <c r="G15" s="2904"/>
      <c r="H15" s="2880"/>
      <c r="I15" s="2907"/>
      <c r="J15" s="2909"/>
      <c r="K15" s="2582"/>
      <c r="L15" s="2582"/>
      <c r="M15" s="2582"/>
      <c r="N15" s="2722"/>
      <c r="O15" s="2893"/>
      <c r="P15" s="2895"/>
      <c r="Q15" s="2885"/>
      <c r="R15" s="2717"/>
      <c r="S15" s="2886"/>
      <c r="T15" s="2016" t="s">
        <v>1556</v>
      </c>
      <c r="U15" s="1958">
        <v>162724796</v>
      </c>
      <c r="V15" s="1962">
        <v>141706667</v>
      </c>
      <c r="W15" s="1962">
        <v>141706667</v>
      </c>
      <c r="X15" s="2012">
        <v>88</v>
      </c>
      <c r="Y15" s="2014" t="s">
        <v>411</v>
      </c>
      <c r="Z15" s="2890"/>
      <c r="AA15" s="2890"/>
      <c r="AB15" s="2861"/>
      <c r="AC15" s="2861"/>
      <c r="AD15" s="2861"/>
      <c r="AE15" s="2861"/>
      <c r="AF15" s="2861"/>
      <c r="AG15" s="2861"/>
      <c r="AH15" s="2861"/>
      <c r="AI15" s="2861"/>
      <c r="AJ15" s="2861"/>
      <c r="AK15" s="2861"/>
      <c r="AL15" s="2861"/>
      <c r="AM15" s="2861"/>
      <c r="AN15" s="2861"/>
      <c r="AO15" s="2861"/>
      <c r="AP15" s="2861"/>
      <c r="AQ15" s="2861"/>
      <c r="AR15" s="2861"/>
      <c r="AS15" s="2861"/>
      <c r="AT15" s="2861"/>
      <c r="AU15" s="2861"/>
      <c r="AV15" s="2861"/>
      <c r="AW15" s="2861"/>
      <c r="AX15" s="2861"/>
      <c r="AY15" s="2861"/>
      <c r="AZ15" s="2861"/>
      <c r="BA15" s="2861"/>
      <c r="BB15" s="2861"/>
      <c r="BC15" s="2861"/>
      <c r="BD15" s="2861"/>
      <c r="BE15" s="2861"/>
      <c r="BF15" s="2861"/>
      <c r="BG15" s="2852"/>
      <c r="BH15" s="2852"/>
      <c r="BI15" s="2855"/>
      <c r="BJ15" s="2858"/>
      <c r="BK15" s="2883"/>
      <c r="BL15" s="2877"/>
      <c r="BM15" s="2848"/>
      <c r="BN15" s="2848"/>
      <c r="BO15" s="2848"/>
      <c r="BP15" s="2710"/>
      <c r="BQ15" s="1957"/>
    </row>
    <row r="16" spans="1:86" s="500" customFormat="1" ht="80.25" customHeight="1" x14ac:dyDescent="0.2">
      <c r="A16" s="1997"/>
      <c r="B16" s="2006"/>
      <c r="C16" s="2006"/>
      <c r="D16" s="2003"/>
      <c r="E16" s="2005"/>
      <c r="F16" s="2004"/>
      <c r="G16" s="2904"/>
      <c r="H16" s="2905"/>
      <c r="I16" s="2907"/>
      <c r="J16" s="2909"/>
      <c r="K16" s="2582"/>
      <c r="L16" s="2582"/>
      <c r="M16" s="2582"/>
      <c r="N16" s="2722"/>
      <c r="O16" s="2893"/>
      <c r="P16" s="2895"/>
      <c r="Q16" s="2885"/>
      <c r="R16" s="2863"/>
      <c r="S16" s="2887"/>
      <c r="T16" s="2015" t="s">
        <v>1557</v>
      </c>
      <c r="U16" s="1960">
        <v>153604998</v>
      </c>
      <c r="V16" s="1961">
        <v>153604998</v>
      </c>
      <c r="W16" s="1961">
        <v>153604998</v>
      </c>
      <c r="X16" s="2013">
        <v>20</v>
      </c>
      <c r="Y16" s="2014" t="s">
        <v>85</v>
      </c>
      <c r="Z16" s="2860"/>
      <c r="AA16" s="2860"/>
      <c r="AB16" s="2861"/>
      <c r="AC16" s="2861"/>
      <c r="AD16" s="2861"/>
      <c r="AE16" s="2861"/>
      <c r="AF16" s="2861"/>
      <c r="AG16" s="2861"/>
      <c r="AH16" s="2861"/>
      <c r="AI16" s="2861"/>
      <c r="AJ16" s="2861"/>
      <c r="AK16" s="2861"/>
      <c r="AL16" s="2861"/>
      <c r="AM16" s="2861"/>
      <c r="AN16" s="2861"/>
      <c r="AO16" s="2861"/>
      <c r="AP16" s="2861"/>
      <c r="AQ16" s="2861"/>
      <c r="AR16" s="2861"/>
      <c r="AS16" s="2861"/>
      <c r="AT16" s="2861"/>
      <c r="AU16" s="2861"/>
      <c r="AV16" s="2861"/>
      <c r="AW16" s="2861"/>
      <c r="AX16" s="2861"/>
      <c r="AY16" s="2861"/>
      <c r="AZ16" s="2861"/>
      <c r="BA16" s="2861"/>
      <c r="BB16" s="2861"/>
      <c r="BC16" s="2861"/>
      <c r="BD16" s="2861"/>
      <c r="BE16" s="2861"/>
      <c r="BF16" s="2861"/>
      <c r="BG16" s="2852"/>
      <c r="BH16" s="2852"/>
      <c r="BI16" s="2855"/>
      <c r="BJ16" s="2858"/>
      <c r="BK16" s="2883"/>
      <c r="BL16" s="2877"/>
      <c r="BM16" s="2876"/>
      <c r="BN16" s="2876"/>
      <c r="BO16" s="2876"/>
      <c r="BP16" s="2711"/>
      <c r="BQ16" s="1957"/>
    </row>
    <row r="17" spans="1:69" s="500" customFormat="1" ht="156" customHeight="1" x14ac:dyDescent="0.2">
      <c r="A17" s="1997"/>
      <c r="B17" s="2006"/>
      <c r="C17" s="2006"/>
      <c r="D17" s="2003"/>
      <c r="E17" s="2005"/>
      <c r="F17" s="2004"/>
      <c r="G17" s="2904"/>
      <c r="H17" s="2905"/>
      <c r="I17" s="2907"/>
      <c r="J17" s="2909"/>
      <c r="K17" s="2582"/>
      <c r="L17" s="2891"/>
      <c r="M17" s="2582"/>
      <c r="N17" s="2722"/>
      <c r="O17" s="2893"/>
      <c r="P17" s="2874"/>
      <c r="Q17" s="2885"/>
      <c r="R17" s="2863"/>
      <c r="S17" s="2866"/>
      <c r="T17" s="2017" t="s">
        <v>1558</v>
      </c>
      <c r="U17" s="1963">
        <v>250000000</v>
      </c>
      <c r="V17" s="1955">
        <v>74493518</v>
      </c>
      <c r="W17" s="1956">
        <v>74493518</v>
      </c>
      <c r="X17" s="2012">
        <v>56</v>
      </c>
      <c r="Y17" s="1056" t="s">
        <v>1559</v>
      </c>
      <c r="Z17" s="2860"/>
      <c r="AA17" s="2860"/>
      <c r="AB17" s="2862"/>
      <c r="AC17" s="2862"/>
      <c r="AD17" s="2862"/>
      <c r="AE17" s="2862"/>
      <c r="AF17" s="2862"/>
      <c r="AG17" s="2862"/>
      <c r="AH17" s="2862"/>
      <c r="AI17" s="2862"/>
      <c r="AJ17" s="2862"/>
      <c r="AK17" s="2862"/>
      <c r="AL17" s="2862"/>
      <c r="AM17" s="2862"/>
      <c r="AN17" s="2862"/>
      <c r="AO17" s="2862"/>
      <c r="AP17" s="2862"/>
      <c r="AQ17" s="2862"/>
      <c r="AR17" s="2862"/>
      <c r="AS17" s="2862"/>
      <c r="AT17" s="2862"/>
      <c r="AU17" s="2862"/>
      <c r="AV17" s="2862"/>
      <c r="AW17" s="2862"/>
      <c r="AX17" s="2862"/>
      <c r="AY17" s="2862"/>
      <c r="AZ17" s="2862"/>
      <c r="BA17" s="2862"/>
      <c r="BB17" s="2862"/>
      <c r="BC17" s="2862"/>
      <c r="BD17" s="2862"/>
      <c r="BE17" s="2862"/>
      <c r="BF17" s="2862"/>
      <c r="BG17" s="2853"/>
      <c r="BH17" s="2853"/>
      <c r="BI17" s="2856"/>
      <c r="BJ17" s="2859"/>
      <c r="BK17" s="2859"/>
      <c r="BL17" s="2878"/>
      <c r="BM17" s="2876"/>
      <c r="BN17" s="2876"/>
      <c r="BO17" s="2876"/>
      <c r="BP17" s="2711"/>
      <c r="BQ17" s="1957"/>
    </row>
    <row r="18" spans="1:69" s="500" customFormat="1" ht="54.75" customHeight="1" x14ac:dyDescent="0.2">
      <c r="A18" s="1997"/>
      <c r="B18" s="2006"/>
      <c r="C18" s="2006"/>
      <c r="D18" s="2003"/>
      <c r="E18" s="2005"/>
      <c r="F18" s="2005"/>
      <c r="G18" s="2879" t="s">
        <v>64</v>
      </c>
      <c r="H18" s="2880" t="s">
        <v>1560</v>
      </c>
      <c r="I18" s="2881" t="s">
        <v>1561</v>
      </c>
      <c r="J18" s="2882" t="s">
        <v>1562</v>
      </c>
      <c r="K18" s="2873">
        <v>1</v>
      </c>
      <c r="L18" s="2873">
        <v>1</v>
      </c>
      <c r="M18" s="2625" t="s">
        <v>1563</v>
      </c>
      <c r="N18" s="2777" t="s">
        <v>1564</v>
      </c>
      <c r="O18" s="2779" t="s">
        <v>1565</v>
      </c>
      <c r="P18" s="2874">
        <f>SUM(U18:U20)/Q18</f>
        <v>1</v>
      </c>
      <c r="Q18" s="2875">
        <f>SUM(U18:U20)</f>
        <v>390864000</v>
      </c>
      <c r="R18" s="2863" t="s">
        <v>1566</v>
      </c>
      <c r="S18" s="2866" t="s">
        <v>1567</v>
      </c>
      <c r="T18" s="2869" t="s">
        <v>1568</v>
      </c>
      <c r="U18" s="1963">
        <v>127397336</v>
      </c>
      <c r="V18" s="1955">
        <v>99346663</v>
      </c>
      <c r="W18" s="1956">
        <v>99346663</v>
      </c>
      <c r="X18" s="2013">
        <v>20</v>
      </c>
      <c r="Y18" s="2014" t="s">
        <v>85</v>
      </c>
      <c r="Z18" s="2872">
        <v>295972</v>
      </c>
      <c r="AA18" s="2872">
        <v>295972</v>
      </c>
      <c r="AB18" s="2860">
        <v>285580</v>
      </c>
      <c r="AC18" s="2860">
        <v>285580</v>
      </c>
      <c r="AD18" s="2860">
        <v>135545</v>
      </c>
      <c r="AE18" s="2860">
        <v>135545</v>
      </c>
      <c r="AF18" s="2860">
        <v>44254</v>
      </c>
      <c r="AG18" s="2860">
        <v>44254</v>
      </c>
      <c r="AH18" s="2860">
        <v>309146</v>
      </c>
      <c r="AI18" s="2860">
        <v>309146</v>
      </c>
      <c r="AJ18" s="2860">
        <v>92607</v>
      </c>
      <c r="AK18" s="2860">
        <v>92607</v>
      </c>
      <c r="AL18" s="2860">
        <v>2145</v>
      </c>
      <c r="AM18" s="2860">
        <v>2145</v>
      </c>
      <c r="AN18" s="2860">
        <v>12718</v>
      </c>
      <c r="AO18" s="2860">
        <v>12718</v>
      </c>
      <c r="AP18" s="2860">
        <v>26</v>
      </c>
      <c r="AQ18" s="2860">
        <v>26</v>
      </c>
      <c r="AR18" s="2860">
        <v>37</v>
      </c>
      <c r="AS18" s="2860">
        <v>37</v>
      </c>
      <c r="AT18" s="2860">
        <v>0</v>
      </c>
      <c r="AU18" s="2860">
        <v>0</v>
      </c>
      <c r="AV18" s="2860">
        <v>0</v>
      </c>
      <c r="AW18" s="2860">
        <v>0</v>
      </c>
      <c r="AX18" s="2860">
        <v>44350</v>
      </c>
      <c r="AY18" s="2860">
        <v>44350</v>
      </c>
      <c r="AZ18" s="2860">
        <v>21944</v>
      </c>
      <c r="BA18" s="2860">
        <v>21944</v>
      </c>
      <c r="BB18" s="2860">
        <v>75687</v>
      </c>
      <c r="BC18" s="2860">
        <v>75687</v>
      </c>
      <c r="BD18" s="2860">
        <f>+Z18+AB18</f>
        <v>581552</v>
      </c>
      <c r="BE18" s="2860">
        <f>+AA18+AC18</f>
        <v>581552</v>
      </c>
      <c r="BF18" s="2860">
        <v>26</v>
      </c>
      <c r="BG18" s="2851">
        <f>+V18+V19+V20</f>
        <v>338985627</v>
      </c>
      <c r="BH18" s="2851">
        <f>+W18+W19+W20</f>
        <v>338985627</v>
      </c>
      <c r="BI18" s="2854">
        <f>+BH18/BG18</f>
        <v>1</v>
      </c>
      <c r="BJ18" s="2857" t="s">
        <v>1569</v>
      </c>
      <c r="BK18" s="2857" t="s">
        <v>1570</v>
      </c>
      <c r="BL18" s="2848">
        <v>43832</v>
      </c>
      <c r="BM18" s="2848">
        <v>43857</v>
      </c>
      <c r="BN18" s="2848">
        <v>44195</v>
      </c>
      <c r="BO18" s="2848">
        <v>44196</v>
      </c>
      <c r="BP18" s="2710" t="s">
        <v>1554</v>
      </c>
      <c r="BQ18" s="1957"/>
    </row>
    <row r="19" spans="1:69" s="500" customFormat="1" ht="52.5" customHeight="1" x14ac:dyDescent="0.2">
      <c r="A19" s="1997"/>
      <c r="B19" s="2006"/>
      <c r="C19" s="2006"/>
      <c r="D19" s="2003"/>
      <c r="E19" s="2005"/>
      <c r="F19" s="2005"/>
      <c r="G19" s="2879"/>
      <c r="H19" s="2880"/>
      <c r="I19" s="2881"/>
      <c r="J19" s="2882"/>
      <c r="K19" s="2873"/>
      <c r="L19" s="2873"/>
      <c r="M19" s="2625"/>
      <c r="N19" s="2777"/>
      <c r="O19" s="2779"/>
      <c r="P19" s="2816"/>
      <c r="Q19" s="2875"/>
      <c r="R19" s="2864"/>
      <c r="S19" s="2867"/>
      <c r="T19" s="2870"/>
      <c r="U19" s="1955">
        <v>120000000</v>
      </c>
      <c r="V19" s="1955">
        <v>96172300</v>
      </c>
      <c r="W19" s="1956">
        <v>96172300</v>
      </c>
      <c r="X19" s="2000">
        <v>88</v>
      </c>
      <c r="Y19" s="2014" t="s">
        <v>411</v>
      </c>
      <c r="Z19" s="2872"/>
      <c r="AA19" s="2872"/>
      <c r="AB19" s="2861"/>
      <c r="AC19" s="2861"/>
      <c r="AD19" s="2861"/>
      <c r="AE19" s="2861"/>
      <c r="AF19" s="2861"/>
      <c r="AG19" s="2861"/>
      <c r="AH19" s="2861"/>
      <c r="AI19" s="2861"/>
      <c r="AJ19" s="2861"/>
      <c r="AK19" s="2861"/>
      <c r="AL19" s="2861"/>
      <c r="AM19" s="2861"/>
      <c r="AN19" s="2861"/>
      <c r="AO19" s="2861"/>
      <c r="AP19" s="2861"/>
      <c r="AQ19" s="2861"/>
      <c r="AR19" s="2861"/>
      <c r="AS19" s="2861"/>
      <c r="AT19" s="2861"/>
      <c r="AU19" s="2861"/>
      <c r="AV19" s="2861"/>
      <c r="AW19" s="2861"/>
      <c r="AX19" s="2861"/>
      <c r="AY19" s="2861"/>
      <c r="AZ19" s="2861"/>
      <c r="BA19" s="2861"/>
      <c r="BB19" s="2861"/>
      <c r="BC19" s="2861"/>
      <c r="BD19" s="2861"/>
      <c r="BE19" s="2861"/>
      <c r="BF19" s="2861"/>
      <c r="BG19" s="2852"/>
      <c r="BH19" s="2852"/>
      <c r="BI19" s="2855"/>
      <c r="BJ19" s="2858"/>
      <c r="BK19" s="2858"/>
      <c r="BL19" s="2848"/>
      <c r="BM19" s="2848"/>
      <c r="BN19" s="2848"/>
      <c r="BO19" s="2848"/>
      <c r="BP19" s="2710"/>
      <c r="BQ19" s="1957"/>
    </row>
    <row r="20" spans="1:69" s="500" customFormat="1" ht="175.5" customHeight="1" x14ac:dyDescent="0.2">
      <c r="A20" s="1997"/>
      <c r="B20" s="2006"/>
      <c r="C20" s="2006"/>
      <c r="D20" s="2003"/>
      <c r="E20" s="2005"/>
      <c r="F20" s="2005"/>
      <c r="G20" s="2879"/>
      <c r="H20" s="2880"/>
      <c r="I20" s="2881"/>
      <c r="J20" s="2882"/>
      <c r="K20" s="2873"/>
      <c r="L20" s="2873"/>
      <c r="M20" s="2625"/>
      <c r="N20" s="2777"/>
      <c r="O20" s="2779"/>
      <c r="P20" s="2816"/>
      <c r="Q20" s="2875"/>
      <c r="R20" s="2865"/>
      <c r="S20" s="2868"/>
      <c r="T20" s="2871"/>
      <c r="U20" s="1964">
        <v>143466664</v>
      </c>
      <c r="V20" s="1955">
        <v>143466664</v>
      </c>
      <c r="W20" s="1956">
        <v>143466664</v>
      </c>
      <c r="X20" s="2013">
        <v>20</v>
      </c>
      <c r="Y20" s="2014" t="s">
        <v>85</v>
      </c>
      <c r="Z20" s="2872"/>
      <c r="AA20" s="2872"/>
      <c r="AB20" s="2862"/>
      <c r="AC20" s="2862"/>
      <c r="AD20" s="2862"/>
      <c r="AE20" s="2862"/>
      <c r="AF20" s="2862"/>
      <c r="AG20" s="2862"/>
      <c r="AH20" s="2862"/>
      <c r="AI20" s="2862"/>
      <c r="AJ20" s="2862"/>
      <c r="AK20" s="2862"/>
      <c r="AL20" s="2862"/>
      <c r="AM20" s="2862"/>
      <c r="AN20" s="2862"/>
      <c r="AO20" s="2862"/>
      <c r="AP20" s="2862"/>
      <c r="AQ20" s="2862"/>
      <c r="AR20" s="2862"/>
      <c r="AS20" s="2862"/>
      <c r="AT20" s="2862"/>
      <c r="AU20" s="2862"/>
      <c r="AV20" s="2862"/>
      <c r="AW20" s="2862"/>
      <c r="AX20" s="2862"/>
      <c r="AY20" s="2862"/>
      <c r="AZ20" s="2862"/>
      <c r="BA20" s="2862"/>
      <c r="BB20" s="2862"/>
      <c r="BC20" s="2862"/>
      <c r="BD20" s="2862"/>
      <c r="BE20" s="2862"/>
      <c r="BF20" s="2862"/>
      <c r="BG20" s="2853"/>
      <c r="BH20" s="2853"/>
      <c r="BI20" s="2856"/>
      <c r="BJ20" s="2859"/>
      <c r="BK20" s="2859"/>
      <c r="BL20" s="2848"/>
      <c r="BM20" s="2848"/>
      <c r="BN20" s="2848"/>
      <c r="BO20" s="2848"/>
      <c r="BP20" s="2710"/>
      <c r="BQ20" s="1957"/>
    </row>
    <row r="21" spans="1:69" s="1966" customFormat="1" ht="15.75" x14ac:dyDescent="0.2">
      <c r="A21" s="679"/>
      <c r="B21" s="2849"/>
      <c r="C21" s="2849"/>
      <c r="D21" s="814"/>
      <c r="E21" s="680"/>
      <c r="F21" s="681"/>
      <c r="G21" s="142"/>
      <c r="H21" s="142"/>
      <c r="I21" s="143"/>
      <c r="J21" s="2008"/>
      <c r="K21" s="143"/>
      <c r="L21" s="143"/>
      <c r="M21" s="143"/>
      <c r="N21" s="149"/>
      <c r="O21" s="147"/>
      <c r="P21" s="150"/>
      <c r="Q21" s="1700">
        <f>SUM(Q12:Q18)</f>
        <v>2272013477</v>
      </c>
      <c r="R21" s="147"/>
      <c r="S21" s="147"/>
      <c r="T21" s="685"/>
      <c r="U21" s="1965">
        <f>SUM(U12:U20)</f>
        <v>2272013477</v>
      </c>
      <c r="V21" s="687">
        <f>SUM(V12:V20)</f>
        <v>1509346414</v>
      </c>
      <c r="W21" s="687">
        <f>SUM(W12:W20)</f>
        <v>1466449400</v>
      </c>
      <c r="X21" s="597"/>
      <c r="Y21" s="2007"/>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965">
        <f>SUM(BG12:BG20)</f>
        <v>1509346414</v>
      </c>
      <c r="BH21" s="1965">
        <f>SUM(BH12:BH20)</f>
        <v>1466449400</v>
      </c>
      <c r="BI21" s="143"/>
      <c r="BJ21" s="2008"/>
      <c r="BK21" s="143"/>
      <c r="BL21" s="2001"/>
      <c r="BM21" s="2001"/>
      <c r="BN21" s="154"/>
      <c r="BO21" s="154"/>
      <c r="BP21" s="147"/>
    </row>
    <row r="22" spans="1:69" ht="15" x14ac:dyDescent="0.2">
      <c r="V22" s="176"/>
      <c r="W22" s="176"/>
    </row>
    <row r="23" spans="1:69" x14ac:dyDescent="0.2">
      <c r="Q23" s="1979"/>
      <c r="V23" s="1980"/>
      <c r="W23" s="1980"/>
    </row>
    <row r="24" spans="1:69" x14ac:dyDescent="0.2">
      <c r="C24" s="706"/>
      <c r="D24" s="706"/>
      <c r="E24" s="706"/>
      <c r="F24" s="706"/>
      <c r="G24" s="706"/>
      <c r="H24" s="1950"/>
    </row>
    <row r="25" spans="1:69" x14ac:dyDescent="0.2">
      <c r="C25" s="2850" t="s">
        <v>1571</v>
      </c>
      <c r="D25" s="2850"/>
      <c r="E25" s="2850"/>
      <c r="F25" s="2850"/>
      <c r="G25" s="2850"/>
      <c r="H25" s="2011"/>
    </row>
    <row r="26" spans="1:69" x14ac:dyDescent="0.2">
      <c r="C26" s="2847" t="s">
        <v>1572</v>
      </c>
      <c r="D26" s="2847"/>
      <c r="E26" s="2847"/>
      <c r="F26" s="2847"/>
      <c r="G26" s="2847"/>
      <c r="H26" s="1981"/>
      <c r="Q26" s="1979"/>
    </row>
    <row r="27" spans="1:69" x14ac:dyDescent="0.2">
      <c r="C27" s="500"/>
      <c r="D27" s="1968"/>
      <c r="E27" s="1969"/>
      <c r="F27" s="1970"/>
      <c r="G27" s="1971"/>
      <c r="H27" s="1971"/>
    </row>
  </sheetData>
  <sheetProtection password="A60F" sheet="1" objects="1" scenarios="1"/>
  <mergeCells count="177">
    <mergeCell ref="I7:I9"/>
    <mergeCell ref="J7:J9"/>
    <mergeCell ref="K7:L7"/>
    <mergeCell ref="M7:M9"/>
    <mergeCell ref="N7:N8"/>
    <mergeCell ref="O7:O8"/>
    <mergeCell ref="A1:BN4"/>
    <mergeCell ref="A5:K6"/>
    <mergeCell ref="M5:BP5"/>
    <mergeCell ref="Z6:BB6"/>
    <mergeCell ref="A7:A9"/>
    <mergeCell ref="B7:C9"/>
    <mergeCell ref="D7:D9"/>
    <mergeCell ref="E7:F9"/>
    <mergeCell ref="G7:G9"/>
    <mergeCell ref="H7:H9"/>
    <mergeCell ref="K8:K9"/>
    <mergeCell ref="L8:L9"/>
    <mergeCell ref="Z8:AA8"/>
    <mergeCell ref="AB8:AC8"/>
    <mergeCell ref="AD8:AE8"/>
    <mergeCell ref="X7:X8"/>
    <mergeCell ref="Y7:Y8"/>
    <mergeCell ref="Z7:AC7"/>
    <mergeCell ref="AD7:AK7"/>
    <mergeCell ref="AF8:AG8"/>
    <mergeCell ref="AH8:AI8"/>
    <mergeCell ref="AJ8:AK8"/>
    <mergeCell ref="P7:P8"/>
    <mergeCell ref="Q7:Q8"/>
    <mergeCell ref="R7:R8"/>
    <mergeCell ref="S7:S9"/>
    <mergeCell ref="T7:T9"/>
    <mergeCell ref="U7:W7"/>
    <mergeCell ref="AR8:AS8"/>
    <mergeCell ref="AT8:AU8"/>
    <mergeCell ref="AV8:AW8"/>
    <mergeCell ref="AX8:AY8"/>
    <mergeCell ref="BD7:BE8"/>
    <mergeCell ref="BF7:BK7"/>
    <mergeCell ref="BL7:BM8"/>
    <mergeCell ref="BN7:BO8"/>
    <mergeCell ref="BP7:BP9"/>
    <mergeCell ref="AL7:AW7"/>
    <mergeCell ref="AX7:BC7"/>
    <mergeCell ref="AL8:AM8"/>
    <mergeCell ref="K12:K17"/>
    <mergeCell ref="L12:L17"/>
    <mergeCell ref="M12:M17"/>
    <mergeCell ref="N12:N17"/>
    <mergeCell ref="O12:O17"/>
    <mergeCell ref="P12:P17"/>
    <mergeCell ref="BJ8:BJ9"/>
    <mergeCell ref="BK8:BK9"/>
    <mergeCell ref="B11:C11"/>
    <mergeCell ref="E11:N11"/>
    <mergeCell ref="B12:C12"/>
    <mergeCell ref="E12:F12"/>
    <mergeCell ref="G12:G17"/>
    <mergeCell ref="H12:H17"/>
    <mergeCell ref="I12:I17"/>
    <mergeCell ref="J12:J17"/>
    <mergeCell ref="AZ8:BA8"/>
    <mergeCell ref="BB8:BC8"/>
    <mergeCell ref="BF8:BF9"/>
    <mergeCell ref="BG8:BG9"/>
    <mergeCell ref="BH8:BH9"/>
    <mergeCell ref="BI8:BI9"/>
    <mergeCell ref="AN8:AO8"/>
    <mergeCell ref="AP8:AQ8"/>
    <mergeCell ref="AD12:AD17"/>
    <mergeCell ref="AE12:AE17"/>
    <mergeCell ref="AF12:AF17"/>
    <mergeCell ref="AG12:AG17"/>
    <mergeCell ref="Q12:Q17"/>
    <mergeCell ref="R12:R17"/>
    <mergeCell ref="S12:S17"/>
    <mergeCell ref="T12:T13"/>
    <mergeCell ref="Z12:Z17"/>
    <mergeCell ref="AA12:AA17"/>
    <mergeCell ref="BO12:BO17"/>
    <mergeCell ref="BP12:BP17"/>
    <mergeCell ref="G18:G20"/>
    <mergeCell ref="H18:H20"/>
    <mergeCell ref="I18:I20"/>
    <mergeCell ref="J18:J20"/>
    <mergeCell ref="K18:K20"/>
    <mergeCell ref="BF12:BF17"/>
    <mergeCell ref="BG12:BG17"/>
    <mergeCell ref="BH12:BH17"/>
    <mergeCell ref="BI12:BI17"/>
    <mergeCell ref="BJ12:BJ17"/>
    <mergeCell ref="BK12:BK17"/>
    <mergeCell ref="AZ12:AZ17"/>
    <mergeCell ref="BA12:BA17"/>
    <mergeCell ref="BB12:BB17"/>
    <mergeCell ref="BC12:BC17"/>
    <mergeCell ref="BD12:BD17"/>
    <mergeCell ref="BE12:BE17"/>
    <mergeCell ref="AT12:AT17"/>
    <mergeCell ref="AU12:AU17"/>
    <mergeCell ref="AV12:AV17"/>
    <mergeCell ref="AW12:AW17"/>
    <mergeCell ref="AX12:AX17"/>
    <mergeCell ref="L18:L20"/>
    <mergeCell ref="M18:M20"/>
    <mergeCell ref="N18:N20"/>
    <mergeCell ref="O18:O20"/>
    <mergeCell ref="P18:P20"/>
    <mergeCell ref="Q18:Q20"/>
    <mergeCell ref="BL12:BL17"/>
    <mergeCell ref="BM12:BM17"/>
    <mergeCell ref="BN12:BN17"/>
    <mergeCell ref="AY12:AY17"/>
    <mergeCell ref="AN12:AN17"/>
    <mergeCell ref="AO12:AO17"/>
    <mergeCell ref="AP12:AP17"/>
    <mergeCell ref="AQ12:AQ17"/>
    <mergeCell ref="AR12:AR17"/>
    <mergeCell ref="AS12:AS17"/>
    <mergeCell ref="AH12:AH17"/>
    <mergeCell ref="AI12:AI17"/>
    <mergeCell ref="AJ12:AJ17"/>
    <mergeCell ref="AK12:AK17"/>
    <mergeCell ref="AL12:AL17"/>
    <mergeCell ref="AM12:AM17"/>
    <mergeCell ref="AB12:AB17"/>
    <mergeCell ref="AC12:AC17"/>
    <mergeCell ref="AC18:AC20"/>
    <mergeCell ref="AD18:AD20"/>
    <mergeCell ref="AE18:AE20"/>
    <mergeCell ref="AF18:AF20"/>
    <mergeCell ref="AG18:AG20"/>
    <mergeCell ref="AH18:AH20"/>
    <mergeCell ref="R18:R20"/>
    <mergeCell ref="S18:S20"/>
    <mergeCell ref="T18:T20"/>
    <mergeCell ref="Z18:Z20"/>
    <mergeCell ref="AA18:AA20"/>
    <mergeCell ref="AB18:AB20"/>
    <mergeCell ref="AZ18:AZ20"/>
    <mergeCell ref="AO18:AO20"/>
    <mergeCell ref="AP18:AP20"/>
    <mergeCell ref="AQ18:AQ20"/>
    <mergeCell ref="AR18:AR20"/>
    <mergeCell ref="AS18:AS20"/>
    <mergeCell ref="AT18:AT20"/>
    <mergeCell ref="AI18:AI20"/>
    <mergeCell ref="AJ18:AJ20"/>
    <mergeCell ref="AK18:AK20"/>
    <mergeCell ref="AL18:AL20"/>
    <mergeCell ref="AM18:AM20"/>
    <mergeCell ref="AN18:AN20"/>
    <mergeCell ref="C26:G26"/>
    <mergeCell ref="BM18:BM20"/>
    <mergeCell ref="BN18:BN20"/>
    <mergeCell ref="BO18:BO20"/>
    <mergeCell ref="BP18:BP20"/>
    <mergeCell ref="B21:C21"/>
    <mergeCell ref="C25:G25"/>
    <mergeCell ref="BG18:BG20"/>
    <mergeCell ref="BH18:BH20"/>
    <mergeCell ref="BI18:BI20"/>
    <mergeCell ref="BJ18:BJ20"/>
    <mergeCell ref="BK18:BK20"/>
    <mergeCell ref="BL18:BL20"/>
    <mergeCell ref="BA18:BA20"/>
    <mergeCell ref="BB18:BB20"/>
    <mergeCell ref="BC18:BC20"/>
    <mergeCell ref="BD18:BD20"/>
    <mergeCell ref="BE18:BE20"/>
    <mergeCell ref="BF18:BF20"/>
    <mergeCell ref="AU18:AU20"/>
    <mergeCell ref="AV18:AV20"/>
    <mergeCell ref="AW18:AW20"/>
    <mergeCell ref="AX18:AX20"/>
    <mergeCell ref="AY18:AY20"/>
  </mergeCells>
  <pageMargins left="0.25" right="0.25" top="0.75" bottom="0.75" header="0.3" footer="0.3"/>
  <pageSetup paperSize="10000" scale="58" fitToWidth="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118"/>
  <sheetViews>
    <sheetView showGridLines="0" zoomScale="60" zoomScaleNormal="60" workbookViewId="0">
      <selection sqref="A1:BM4"/>
    </sheetView>
  </sheetViews>
  <sheetFormatPr baseColWidth="10" defaultColWidth="11.42578125" defaultRowHeight="15" x14ac:dyDescent="0.25"/>
  <cols>
    <col min="1" max="1" width="14.140625" style="1347" customWidth="1"/>
    <col min="2" max="2" width="2" style="1348" customWidth="1"/>
    <col min="3" max="3" width="18.140625" style="1348" customWidth="1"/>
    <col min="4" max="4" width="13.7109375" style="1348" customWidth="1"/>
    <col min="5" max="5" width="6.7109375" style="1348" customWidth="1"/>
    <col min="6" max="6" width="14.28515625" style="1348" customWidth="1"/>
    <col min="7" max="7" width="14.85546875" style="1348" customWidth="1"/>
    <col min="8" max="8" width="17.7109375" style="1348" customWidth="1"/>
    <col min="9" max="9" width="38.140625" style="1545" customWidth="1"/>
    <col min="10" max="10" width="38.28515625" style="1545" customWidth="1"/>
    <col min="11" max="11" width="13.85546875" style="184" customWidth="1"/>
    <col min="12" max="12" width="16" style="1847" customWidth="1"/>
    <col min="13" max="13" width="35.42578125" style="184" customWidth="1"/>
    <col min="14" max="14" width="27.42578125" style="184" customWidth="1"/>
    <col min="15" max="15" width="42" style="1545" customWidth="1"/>
    <col min="16" max="16" width="23.42578125" style="173" hidden="1" customWidth="1"/>
    <col min="17" max="17" width="27.85546875" style="1848" bestFit="1" customWidth="1"/>
    <col min="18" max="18" width="90.7109375" style="1545" bestFit="1" customWidth="1"/>
    <col min="19" max="19" width="60.5703125" style="1545" customWidth="1"/>
    <col min="20" max="20" width="75.28515625" style="1545" customWidth="1"/>
    <col min="21" max="21" width="31.5703125" style="1855" customWidth="1"/>
    <col min="22" max="22" width="33.42578125" style="1855" customWidth="1"/>
    <col min="23" max="23" width="28.7109375" style="1855" customWidth="1"/>
    <col min="24" max="24" width="13" style="177" bestFit="1" customWidth="1"/>
    <col min="25" max="25" width="28" style="170" customWidth="1"/>
    <col min="26" max="31" width="10.140625" style="1348" bestFit="1" customWidth="1"/>
    <col min="32" max="33" width="8.7109375" style="1348" bestFit="1" customWidth="1"/>
    <col min="34" max="37" width="10.140625" style="1348" bestFit="1" customWidth="1"/>
    <col min="38" max="39" width="7.28515625" style="1348" bestFit="1" customWidth="1"/>
    <col min="40" max="41" width="8.7109375" style="1348" bestFit="1" customWidth="1"/>
    <col min="42" max="44" width="4.42578125" style="1348" bestFit="1" customWidth="1"/>
    <col min="45" max="45" width="3.7109375" style="1348" bestFit="1" customWidth="1"/>
    <col min="46" max="46" width="4" style="1348" bestFit="1" customWidth="1"/>
    <col min="47" max="47" width="3.7109375" style="1348" bestFit="1" customWidth="1"/>
    <col min="48" max="48" width="4" style="1348" bestFit="1" customWidth="1"/>
    <col min="49" max="49" width="3.7109375" style="1348" bestFit="1" customWidth="1"/>
    <col min="50" max="50" width="8.7109375" style="1348" bestFit="1" customWidth="1"/>
    <col min="51" max="51" width="4.42578125" style="1348" bestFit="1" customWidth="1"/>
    <col min="52" max="55" width="8.7109375" style="1348" bestFit="1" customWidth="1"/>
    <col min="56" max="57" width="10.140625" style="1348" bestFit="1" customWidth="1"/>
    <col min="58" max="58" width="19.140625" style="1348" bestFit="1" customWidth="1"/>
    <col min="59" max="59" width="30.7109375" style="1856" customWidth="1"/>
    <col min="60" max="60" width="33.5703125" style="1856" customWidth="1"/>
    <col min="61" max="61" width="29.5703125" style="1851" customWidth="1"/>
    <col min="62" max="62" width="16.7109375" style="1348" customWidth="1"/>
    <col min="63" max="63" width="30.28515625" style="1348" customWidth="1"/>
    <col min="64" max="65" width="16.42578125" style="180" customWidth="1"/>
    <col min="66" max="67" width="20.85546875" style="180" customWidth="1"/>
    <col min="68" max="68" width="30.85546875" style="1348" customWidth="1"/>
    <col min="69" max="16384" width="11.42578125" style="1348"/>
  </cols>
  <sheetData>
    <row r="1" spans="1:86" ht="15.75" x14ac:dyDescent="0.25">
      <c r="A1" s="2931" t="s">
        <v>1381</v>
      </c>
      <c r="B1" s="2932"/>
      <c r="C1" s="2932"/>
      <c r="D1" s="2932"/>
      <c r="E1" s="2932"/>
      <c r="F1" s="2932"/>
      <c r="G1" s="2932"/>
      <c r="H1" s="2932"/>
      <c r="I1" s="2932"/>
      <c r="J1" s="2932"/>
      <c r="K1" s="2932"/>
      <c r="L1" s="2932"/>
      <c r="M1" s="2932"/>
      <c r="N1" s="2932"/>
      <c r="O1" s="2932"/>
      <c r="P1" s="2932"/>
      <c r="Q1" s="2932"/>
      <c r="R1" s="2932"/>
      <c r="S1" s="2932"/>
      <c r="T1" s="2932"/>
      <c r="U1" s="2932"/>
      <c r="V1" s="2932"/>
      <c r="W1" s="2932"/>
      <c r="X1" s="2932"/>
      <c r="Y1" s="2932"/>
      <c r="Z1" s="2932"/>
      <c r="AA1" s="2932"/>
      <c r="AB1" s="2932"/>
      <c r="AC1" s="2932"/>
      <c r="AD1" s="2932"/>
      <c r="AE1" s="2932"/>
      <c r="AF1" s="2932"/>
      <c r="AG1" s="2932"/>
      <c r="AH1" s="2932"/>
      <c r="AI1" s="2932"/>
      <c r="AJ1" s="2932"/>
      <c r="AK1" s="2932"/>
      <c r="AL1" s="2932"/>
      <c r="AM1" s="2932"/>
      <c r="AN1" s="2932"/>
      <c r="AO1" s="2932"/>
      <c r="AP1" s="2932"/>
      <c r="AQ1" s="2932"/>
      <c r="AR1" s="2932"/>
      <c r="AS1" s="2932"/>
      <c r="AT1" s="2932"/>
      <c r="AU1" s="2932"/>
      <c r="AV1" s="2932"/>
      <c r="AW1" s="2932"/>
      <c r="AX1" s="2932"/>
      <c r="AY1" s="2932"/>
      <c r="AZ1" s="2932"/>
      <c r="BA1" s="2932"/>
      <c r="BB1" s="2932"/>
      <c r="BC1" s="2932"/>
      <c r="BD1" s="2932"/>
      <c r="BE1" s="2932"/>
      <c r="BF1" s="2932"/>
      <c r="BG1" s="2932"/>
      <c r="BH1" s="2932"/>
      <c r="BI1" s="2932"/>
      <c r="BJ1" s="2932"/>
      <c r="BK1" s="2932"/>
      <c r="BL1" s="2932"/>
      <c r="BM1" s="2932"/>
      <c r="BN1" s="1715"/>
      <c r="BO1" s="1716" t="s">
        <v>1</v>
      </c>
      <c r="BP1" s="1717" t="s">
        <v>2</v>
      </c>
      <c r="BR1" s="184"/>
      <c r="BS1" s="184"/>
      <c r="BT1" s="184"/>
      <c r="BU1" s="184"/>
      <c r="BV1" s="184"/>
      <c r="BW1" s="184"/>
      <c r="BX1" s="184"/>
      <c r="BY1" s="184"/>
      <c r="BZ1" s="184"/>
      <c r="CA1" s="184"/>
      <c r="CB1" s="184"/>
      <c r="CC1" s="184"/>
      <c r="CD1" s="184"/>
      <c r="CE1" s="184"/>
      <c r="CF1" s="184"/>
      <c r="CG1" s="184"/>
    </row>
    <row r="2" spans="1:86" ht="15.75" x14ac:dyDescent="0.25">
      <c r="A2" s="2933"/>
      <c r="B2" s="2934"/>
      <c r="C2" s="2934"/>
      <c r="D2" s="2934"/>
      <c r="E2" s="2934"/>
      <c r="F2" s="2934"/>
      <c r="G2" s="2934"/>
      <c r="H2" s="2934"/>
      <c r="I2" s="2934"/>
      <c r="J2" s="2934"/>
      <c r="K2" s="2934"/>
      <c r="L2" s="2934"/>
      <c r="M2" s="2934"/>
      <c r="N2" s="2934"/>
      <c r="O2" s="2934"/>
      <c r="P2" s="2934"/>
      <c r="Q2" s="2934"/>
      <c r="R2" s="2934"/>
      <c r="S2" s="2934"/>
      <c r="T2" s="2934"/>
      <c r="U2" s="2934"/>
      <c r="V2" s="2934"/>
      <c r="W2" s="2934"/>
      <c r="X2" s="2934"/>
      <c r="Y2" s="2934"/>
      <c r="Z2" s="2934"/>
      <c r="AA2" s="2934"/>
      <c r="AB2" s="2934"/>
      <c r="AC2" s="2934"/>
      <c r="AD2" s="2934"/>
      <c r="AE2" s="2934"/>
      <c r="AF2" s="2934"/>
      <c r="AG2" s="2934"/>
      <c r="AH2" s="2934"/>
      <c r="AI2" s="2934"/>
      <c r="AJ2" s="2934"/>
      <c r="AK2" s="2934"/>
      <c r="AL2" s="2934"/>
      <c r="AM2" s="2934"/>
      <c r="AN2" s="2934"/>
      <c r="AO2" s="2934"/>
      <c r="AP2" s="2934"/>
      <c r="AQ2" s="2934"/>
      <c r="AR2" s="2934"/>
      <c r="AS2" s="2934"/>
      <c r="AT2" s="2934"/>
      <c r="AU2" s="2934"/>
      <c r="AV2" s="2934"/>
      <c r="AW2" s="2934"/>
      <c r="AX2" s="2934"/>
      <c r="AY2" s="2934"/>
      <c r="AZ2" s="2934"/>
      <c r="BA2" s="2934"/>
      <c r="BB2" s="2934"/>
      <c r="BC2" s="2934"/>
      <c r="BD2" s="2934"/>
      <c r="BE2" s="2934"/>
      <c r="BF2" s="2934"/>
      <c r="BG2" s="2934"/>
      <c r="BH2" s="2934"/>
      <c r="BI2" s="2934"/>
      <c r="BJ2" s="2934"/>
      <c r="BK2" s="2934"/>
      <c r="BL2" s="2934"/>
      <c r="BM2" s="2934"/>
      <c r="BN2" s="1718"/>
      <c r="BO2" s="1546" t="s">
        <v>3</v>
      </c>
      <c r="BP2" s="1719">
        <v>6</v>
      </c>
      <c r="BQ2" s="1720"/>
      <c r="BR2" s="184"/>
      <c r="BS2" s="184"/>
      <c r="BT2" s="184"/>
      <c r="BU2" s="184"/>
      <c r="BV2" s="184"/>
      <c r="BW2" s="184"/>
      <c r="BX2" s="184"/>
      <c r="BY2" s="184"/>
      <c r="BZ2" s="184"/>
      <c r="CA2" s="184"/>
      <c r="CB2" s="184"/>
      <c r="CC2" s="184"/>
      <c r="CD2" s="184"/>
      <c r="CE2" s="184"/>
      <c r="CF2" s="184"/>
      <c r="CG2" s="184"/>
    </row>
    <row r="3" spans="1:86" ht="15.75" x14ac:dyDescent="0.25">
      <c r="A3" s="2933"/>
      <c r="B3" s="2934"/>
      <c r="C3" s="2934"/>
      <c r="D3" s="2934"/>
      <c r="E3" s="2934"/>
      <c r="F3" s="2934"/>
      <c r="G3" s="2934"/>
      <c r="H3" s="2934"/>
      <c r="I3" s="2934"/>
      <c r="J3" s="2934"/>
      <c r="K3" s="2934"/>
      <c r="L3" s="2934"/>
      <c r="M3" s="2934"/>
      <c r="N3" s="2934"/>
      <c r="O3" s="2934"/>
      <c r="P3" s="2934"/>
      <c r="Q3" s="2934"/>
      <c r="R3" s="2934"/>
      <c r="S3" s="2934"/>
      <c r="T3" s="2934"/>
      <c r="U3" s="2934"/>
      <c r="V3" s="2934"/>
      <c r="W3" s="2934"/>
      <c r="X3" s="2934"/>
      <c r="Y3" s="2934"/>
      <c r="Z3" s="2934"/>
      <c r="AA3" s="2934"/>
      <c r="AB3" s="2934"/>
      <c r="AC3" s="2934"/>
      <c r="AD3" s="2934"/>
      <c r="AE3" s="2934"/>
      <c r="AF3" s="2934"/>
      <c r="AG3" s="2934"/>
      <c r="AH3" s="2934"/>
      <c r="AI3" s="2934"/>
      <c r="AJ3" s="2934"/>
      <c r="AK3" s="2934"/>
      <c r="AL3" s="2934"/>
      <c r="AM3" s="2934"/>
      <c r="AN3" s="2934"/>
      <c r="AO3" s="2934"/>
      <c r="AP3" s="2934"/>
      <c r="AQ3" s="2934"/>
      <c r="AR3" s="2934"/>
      <c r="AS3" s="2934"/>
      <c r="AT3" s="2934"/>
      <c r="AU3" s="2934"/>
      <c r="AV3" s="2934"/>
      <c r="AW3" s="2934"/>
      <c r="AX3" s="2934"/>
      <c r="AY3" s="2934"/>
      <c r="AZ3" s="2934"/>
      <c r="BA3" s="2934"/>
      <c r="BB3" s="2934"/>
      <c r="BC3" s="2934"/>
      <c r="BD3" s="2934"/>
      <c r="BE3" s="2934"/>
      <c r="BF3" s="2934"/>
      <c r="BG3" s="2934"/>
      <c r="BH3" s="2934"/>
      <c r="BI3" s="2934"/>
      <c r="BJ3" s="2934"/>
      <c r="BK3" s="2934"/>
      <c r="BL3" s="2934"/>
      <c r="BM3" s="2934"/>
      <c r="BN3" s="1718"/>
      <c r="BO3" s="1546" t="s">
        <v>5</v>
      </c>
      <c r="BP3" s="1721" t="s">
        <v>6</v>
      </c>
      <c r="BQ3" s="1720"/>
      <c r="BR3" s="184"/>
      <c r="BS3" s="184"/>
      <c r="BT3" s="184"/>
      <c r="BU3" s="184"/>
      <c r="BV3" s="184"/>
      <c r="BW3" s="184"/>
      <c r="BX3" s="184"/>
      <c r="BY3" s="184"/>
      <c r="BZ3" s="184"/>
      <c r="CA3" s="184"/>
      <c r="CB3" s="184"/>
      <c r="CC3" s="184"/>
      <c r="CD3" s="184"/>
      <c r="CE3" s="184"/>
      <c r="CF3" s="184"/>
      <c r="CG3" s="184"/>
    </row>
    <row r="4" spans="1:86" ht="15.75" x14ac:dyDescent="0.25">
      <c r="A4" s="2935"/>
      <c r="B4" s="2936"/>
      <c r="C4" s="2936"/>
      <c r="D4" s="2936"/>
      <c r="E4" s="2936"/>
      <c r="F4" s="2936"/>
      <c r="G4" s="2936"/>
      <c r="H4" s="2936"/>
      <c r="I4" s="2936"/>
      <c r="J4" s="2936"/>
      <c r="K4" s="2936"/>
      <c r="L4" s="2936"/>
      <c r="M4" s="2936"/>
      <c r="N4" s="2936"/>
      <c r="O4" s="2936"/>
      <c r="P4" s="2936"/>
      <c r="Q4" s="2936"/>
      <c r="R4" s="2936"/>
      <c r="S4" s="2936"/>
      <c r="T4" s="2936"/>
      <c r="U4" s="2936"/>
      <c r="V4" s="2936"/>
      <c r="W4" s="2936"/>
      <c r="X4" s="2936"/>
      <c r="Y4" s="2936"/>
      <c r="Z4" s="2936"/>
      <c r="AA4" s="2936"/>
      <c r="AB4" s="2936"/>
      <c r="AC4" s="2936"/>
      <c r="AD4" s="2936"/>
      <c r="AE4" s="2936"/>
      <c r="AF4" s="2936"/>
      <c r="AG4" s="2936"/>
      <c r="AH4" s="2936"/>
      <c r="AI4" s="2936"/>
      <c r="AJ4" s="2936"/>
      <c r="AK4" s="2936"/>
      <c r="AL4" s="2936"/>
      <c r="AM4" s="2936"/>
      <c r="AN4" s="2936"/>
      <c r="AO4" s="2936"/>
      <c r="AP4" s="2936"/>
      <c r="AQ4" s="2936"/>
      <c r="AR4" s="2936"/>
      <c r="AS4" s="2936"/>
      <c r="AT4" s="2936"/>
      <c r="AU4" s="2936"/>
      <c r="AV4" s="2936"/>
      <c r="AW4" s="2936"/>
      <c r="AX4" s="2936"/>
      <c r="AY4" s="2936"/>
      <c r="AZ4" s="2936"/>
      <c r="BA4" s="2936"/>
      <c r="BB4" s="2936"/>
      <c r="BC4" s="2936"/>
      <c r="BD4" s="2936"/>
      <c r="BE4" s="2936"/>
      <c r="BF4" s="2936"/>
      <c r="BG4" s="2936"/>
      <c r="BH4" s="2936"/>
      <c r="BI4" s="2936"/>
      <c r="BJ4" s="2936"/>
      <c r="BK4" s="2936"/>
      <c r="BL4" s="2936"/>
      <c r="BM4" s="2936"/>
      <c r="BN4" s="1032"/>
      <c r="BO4" s="1546" t="s">
        <v>7</v>
      </c>
      <c r="BP4" s="1722" t="s">
        <v>311</v>
      </c>
      <c r="BQ4" s="1720"/>
      <c r="BR4" s="184"/>
      <c r="BS4" s="184"/>
      <c r="BT4" s="184"/>
      <c r="BU4" s="184"/>
      <c r="BV4" s="184"/>
      <c r="BW4" s="184"/>
      <c r="BX4" s="184"/>
      <c r="BY4" s="184"/>
      <c r="BZ4" s="184"/>
      <c r="CA4" s="184"/>
      <c r="CB4" s="184"/>
      <c r="CC4" s="184"/>
      <c r="CD4" s="184"/>
      <c r="CE4" s="184"/>
      <c r="CF4" s="184"/>
      <c r="CG4" s="184"/>
    </row>
    <row r="5" spans="1:86" ht="15.75" x14ac:dyDescent="0.25">
      <c r="A5" s="2527" t="s">
        <v>312</v>
      </c>
      <c r="B5" s="2528"/>
      <c r="C5" s="2528"/>
      <c r="D5" s="2528"/>
      <c r="E5" s="2528"/>
      <c r="F5" s="2528"/>
      <c r="G5" s="2528"/>
      <c r="H5" s="2528"/>
      <c r="I5" s="2528"/>
      <c r="J5" s="2528"/>
      <c r="K5" s="2528"/>
      <c r="L5" s="2528"/>
      <c r="M5" s="1502"/>
      <c r="N5" s="2531" t="s">
        <v>10</v>
      </c>
      <c r="O5" s="2532"/>
      <c r="P5" s="2532"/>
      <c r="Q5" s="2532"/>
      <c r="R5" s="2532"/>
      <c r="S5" s="2532"/>
      <c r="T5" s="2532"/>
      <c r="U5" s="2532"/>
      <c r="V5" s="2532"/>
      <c r="W5" s="2532"/>
      <c r="X5" s="2532"/>
      <c r="Y5" s="2532"/>
      <c r="Z5" s="2532"/>
      <c r="AA5" s="2532"/>
      <c r="AB5" s="2532"/>
      <c r="AC5" s="2532"/>
      <c r="AD5" s="2532"/>
      <c r="AE5" s="2532"/>
      <c r="AF5" s="2532"/>
      <c r="AG5" s="2532"/>
      <c r="AH5" s="2532"/>
      <c r="AI5" s="2532"/>
      <c r="AJ5" s="2532"/>
      <c r="AK5" s="2532"/>
      <c r="AL5" s="2532"/>
      <c r="AM5" s="2532"/>
      <c r="AN5" s="2532"/>
      <c r="AO5" s="2532"/>
      <c r="AP5" s="2532"/>
      <c r="AQ5" s="2532"/>
      <c r="AR5" s="2532"/>
      <c r="AS5" s="2532"/>
      <c r="AT5" s="2532"/>
      <c r="AU5" s="2532"/>
      <c r="AV5" s="2532"/>
      <c r="AW5" s="2532"/>
      <c r="AX5" s="2532"/>
      <c r="AY5" s="2532"/>
      <c r="AZ5" s="2532"/>
      <c r="BA5" s="2532"/>
      <c r="BB5" s="2532"/>
      <c r="BC5" s="2532"/>
      <c r="BD5" s="2532"/>
      <c r="BE5" s="2532"/>
      <c r="BF5" s="2532"/>
      <c r="BG5" s="2532"/>
      <c r="BH5" s="2532"/>
      <c r="BI5" s="2532"/>
      <c r="BJ5" s="2532"/>
      <c r="BK5" s="2532"/>
      <c r="BL5" s="2532"/>
      <c r="BM5" s="2532"/>
      <c r="BN5" s="2532"/>
      <c r="BO5" s="2532"/>
      <c r="BP5" s="2533"/>
      <c r="BQ5" s="1522"/>
      <c r="BR5" s="184"/>
      <c r="BS5" s="184"/>
      <c r="BT5" s="184"/>
      <c r="BU5" s="184"/>
      <c r="BV5" s="184"/>
      <c r="BW5" s="184"/>
      <c r="BX5" s="184"/>
      <c r="BY5" s="184"/>
      <c r="BZ5" s="184"/>
      <c r="CA5" s="184"/>
      <c r="CB5" s="184"/>
      <c r="CC5" s="184"/>
      <c r="CD5" s="184"/>
      <c r="CE5" s="184"/>
      <c r="CF5" s="184"/>
      <c r="CG5" s="184"/>
    </row>
    <row r="6" spans="1:86" ht="16.5" thickBot="1" x14ac:dyDescent="0.3">
      <c r="A6" s="2529"/>
      <c r="B6" s="2530"/>
      <c r="C6" s="2530"/>
      <c r="D6" s="2530"/>
      <c r="E6" s="2530"/>
      <c r="F6" s="2530"/>
      <c r="G6" s="2530"/>
      <c r="H6" s="2530"/>
      <c r="I6" s="2530"/>
      <c r="J6" s="2530"/>
      <c r="K6" s="2530"/>
      <c r="L6" s="2530"/>
      <c r="M6" s="1503"/>
      <c r="N6" s="1523"/>
      <c r="O6" s="1723"/>
      <c r="P6" s="1503"/>
      <c r="Q6" s="1724"/>
      <c r="R6" s="1725"/>
      <c r="S6" s="1503"/>
      <c r="T6" s="1032"/>
      <c r="U6" s="1726"/>
      <c r="V6" s="1726"/>
      <c r="W6" s="1726"/>
      <c r="X6" s="1503"/>
      <c r="Y6" s="397"/>
      <c r="Z6" s="1503"/>
      <c r="AA6" s="2531" t="s">
        <v>11</v>
      </c>
      <c r="AB6" s="2532"/>
      <c r="AC6" s="2532"/>
      <c r="AD6" s="2532"/>
      <c r="AE6" s="2532"/>
      <c r="AF6" s="2532"/>
      <c r="AG6" s="2532"/>
      <c r="AH6" s="2532"/>
      <c r="AI6" s="2532"/>
      <c r="AJ6" s="2532"/>
      <c r="AK6" s="2532"/>
      <c r="AL6" s="2532"/>
      <c r="AM6" s="2532"/>
      <c r="AN6" s="2532"/>
      <c r="AO6" s="2532"/>
      <c r="AP6" s="2532"/>
      <c r="AQ6" s="2532"/>
      <c r="AR6" s="2532"/>
      <c r="AS6" s="2532"/>
      <c r="AT6" s="2532"/>
      <c r="AU6" s="2532"/>
      <c r="AV6" s="2532"/>
      <c r="AW6" s="2532"/>
      <c r="AX6" s="2532"/>
      <c r="AY6" s="2532"/>
      <c r="AZ6" s="2532"/>
      <c r="BA6" s="2532"/>
      <c r="BB6" s="2532"/>
      <c r="BC6" s="2532"/>
      <c r="BD6" s="1503"/>
      <c r="BE6" s="1727"/>
      <c r="BF6" s="1727"/>
      <c r="BG6" s="1724"/>
      <c r="BH6" s="1724"/>
      <c r="BI6" s="1728"/>
      <c r="BJ6" s="1727"/>
      <c r="BK6" s="1727"/>
      <c r="BL6" s="1727"/>
      <c r="BM6" s="400"/>
      <c r="BN6" s="400"/>
      <c r="BO6" s="400"/>
      <c r="BP6" s="400"/>
      <c r="BQ6" s="1729"/>
      <c r="BR6" s="184"/>
      <c r="BS6" s="184"/>
      <c r="BT6" s="184"/>
      <c r="BU6" s="184"/>
      <c r="BV6" s="184"/>
      <c r="BW6" s="184"/>
      <c r="BX6" s="184"/>
      <c r="BY6" s="184"/>
      <c r="BZ6" s="184"/>
      <c r="CA6" s="184"/>
      <c r="CB6" s="184"/>
      <c r="CC6" s="184"/>
      <c r="CD6" s="184"/>
      <c r="CE6" s="184"/>
      <c r="CF6" s="184"/>
      <c r="CG6" s="184"/>
    </row>
    <row r="7" spans="1:86" ht="36" customHeight="1" x14ac:dyDescent="0.25">
      <c r="A7" s="2534" t="s">
        <v>12</v>
      </c>
      <c r="B7" s="2536" t="s">
        <v>13</v>
      </c>
      <c r="C7" s="2537"/>
      <c r="D7" s="2537" t="s">
        <v>12</v>
      </c>
      <c r="E7" s="2536" t="s">
        <v>14</v>
      </c>
      <c r="F7" s="2537"/>
      <c r="G7" s="2537" t="s">
        <v>12</v>
      </c>
      <c r="H7" s="2516" t="s">
        <v>313</v>
      </c>
      <c r="I7" s="2536" t="s">
        <v>15</v>
      </c>
      <c r="J7" s="2516" t="s">
        <v>16</v>
      </c>
      <c r="K7" s="2580" t="s">
        <v>598</v>
      </c>
      <c r="L7" s="2580"/>
      <c r="M7" s="2516" t="s">
        <v>18</v>
      </c>
      <c r="N7" s="2516" t="s">
        <v>19</v>
      </c>
      <c r="O7" s="2516" t="s">
        <v>10</v>
      </c>
      <c r="P7" s="2562" t="s">
        <v>20</v>
      </c>
      <c r="Q7" s="2940" t="s">
        <v>21</v>
      </c>
      <c r="R7" s="2536" t="s">
        <v>22</v>
      </c>
      <c r="S7" s="2536" t="s">
        <v>23</v>
      </c>
      <c r="T7" s="2516" t="s">
        <v>24</v>
      </c>
      <c r="U7" s="2942" t="s">
        <v>21</v>
      </c>
      <c r="V7" s="2942"/>
      <c r="W7" s="2942"/>
      <c r="X7" s="2548" t="s">
        <v>12</v>
      </c>
      <c r="Y7" s="2658" t="s">
        <v>25</v>
      </c>
      <c r="Z7" s="2551" t="s">
        <v>26</v>
      </c>
      <c r="AA7" s="2552"/>
      <c r="AB7" s="2552"/>
      <c r="AC7" s="2553"/>
      <c r="AD7" s="2554" t="s">
        <v>27</v>
      </c>
      <c r="AE7" s="2555"/>
      <c r="AF7" s="2555"/>
      <c r="AG7" s="2555"/>
      <c r="AH7" s="2555"/>
      <c r="AI7" s="2555"/>
      <c r="AJ7" s="2555"/>
      <c r="AK7" s="2556"/>
      <c r="AL7" s="2557" t="s">
        <v>28</v>
      </c>
      <c r="AM7" s="2557"/>
      <c r="AN7" s="2557"/>
      <c r="AO7" s="2557"/>
      <c r="AP7" s="2557"/>
      <c r="AQ7" s="2557"/>
      <c r="AR7" s="2557"/>
      <c r="AS7" s="2557"/>
      <c r="AT7" s="2557"/>
      <c r="AU7" s="2557"/>
      <c r="AV7" s="2557"/>
      <c r="AW7" s="2557"/>
      <c r="AX7" s="2554" t="s">
        <v>29</v>
      </c>
      <c r="AY7" s="2555"/>
      <c r="AZ7" s="2555"/>
      <c r="BA7" s="2555"/>
      <c r="BB7" s="2555"/>
      <c r="BC7" s="2556"/>
      <c r="BD7" s="2680" t="s">
        <v>30</v>
      </c>
      <c r="BE7" s="2680"/>
      <c r="BF7" s="2577" t="s">
        <v>31</v>
      </c>
      <c r="BG7" s="2578"/>
      <c r="BH7" s="2578"/>
      <c r="BI7" s="2578"/>
      <c r="BJ7" s="2578"/>
      <c r="BK7" s="2579"/>
      <c r="BL7" s="2541" t="s">
        <v>32</v>
      </c>
      <c r="BM7" s="2542"/>
      <c r="BN7" s="2541" t="s">
        <v>33</v>
      </c>
      <c r="BO7" s="2542"/>
      <c r="BP7" s="2937" t="s">
        <v>34</v>
      </c>
      <c r="BQ7" s="1730"/>
      <c r="BR7" s="184"/>
      <c r="BS7" s="184"/>
      <c r="BT7" s="184"/>
      <c r="BU7" s="184"/>
      <c r="BV7" s="184"/>
      <c r="BW7" s="184"/>
      <c r="BX7" s="184"/>
      <c r="BY7" s="184"/>
      <c r="BZ7" s="184"/>
      <c r="CA7" s="184"/>
      <c r="CB7" s="184"/>
      <c r="CC7" s="184"/>
      <c r="CD7" s="184"/>
      <c r="CE7" s="184"/>
      <c r="CF7" s="184"/>
      <c r="CG7" s="184"/>
    </row>
    <row r="8" spans="1:86" ht="148.5" customHeight="1" x14ac:dyDescent="0.25">
      <c r="A8" s="2535"/>
      <c r="B8" s="2538"/>
      <c r="C8" s="2539"/>
      <c r="D8" s="2539"/>
      <c r="E8" s="2538"/>
      <c r="F8" s="2539"/>
      <c r="G8" s="2539"/>
      <c r="H8" s="2517"/>
      <c r="I8" s="2538"/>
      <c r="J8" s="2517"/>
      <c r="K8" s="2516" t="s">
        <v>59</v>
      </c>
      <c r="L8" s="2516" t="s">
        <v>60</v>
      </c>
      <c r="M8" s="2517"/>
      <c r="N8" s="2517"/>
      <c r="O8" s="2517"/>
      <c r="P8" s="2563"/>
      <c r="Q8" s="2941"/>
      <c r="R8" s="2538"/>
      <c r="S8" s="2538"/>
      <c r="T8" s="2517"/>
      <c r="U8" s="2938" t="s">
        <v>315</v>
      </c>
      <c r="V8" s="2938" t="s">
        <v>230</v>
      </c>
      <c r="W8" s="2938" t="s">
        <v>316</v>
      </c>
      <c r="X8" s="2549"/>
      <c r="Y8" s="2659"/>
      <c r="Z8" s="2558" t="s">
        <v>38</v>
      </c>
      <c r="AA8" s="2559"/>
      <c r="AB8" s="2558" t="s">
        <v>39</v>
      </c>
      <c r="AC8" s="2559"/>
      <c r="AD8" s="2560" t="s">
        <v>40</v>
      </c>
      <c r="AE8" s="2561"/>
      <c r="AF8" s="2560" t="s">
        <v>41</v>
      </c>
      <c r="AG8" s="2561"/>
      <c r="AH8" s="2560" t="s">
        <v>42</v>
      </c>
      <c r="AI8" s="2561"/>
      <c r="AJ8" s="2560" t="s">
        <v>43</v>
      </c>
      <c r="AK8" s="2561"/>
      <c r="AL8" s="2575" t="s">
        <v>44</v>
      </c>
      <c r="AM8" s="2575"/>
      <c r="AN8" s="2575" t="s">
        <v>45</v>
      </c>
      <c r="AO8" s="2575"/>
      <c r="AP8" s="2575" t="s">
        <v>46</v>
      </c>
      <c r="AQ8" s="2575"/>
      <c r="AR8" s="2575" t="s">
        <v>47</v>
      </c>
      <c r="AS8" s="2575"/>
      <c r="AT8" s="2575" t="s">
        <v>48</v>
      </c>
      <c r="AU8" s="2575"/>
      <c r="AV8" s="2575" t="s">
        <v>49</v>
      </c>
      <c r="AW8" s="2575"/>
      <c r="AX8" s="2560" t="s">
        <v>50</v>
      </c>
      <c r="AY8" s="2561"/>
      <c r="AZ8" s="2560" t="s">
        <v>51</v>
      </c>
      <c r="BA8" s="2561"/>
      <c r="BB8" s="2560" t="s">
        <v>52</v>
      </c>
      <c r="BC8" s="2561"/>
      <c r="BD8" s="2680"/>
      <c r="BE8" s="2680"/>
      <c r="BF8" s="2568" t="s">
        <v>53</v>
      </c>
      <c r="BG8" s="2943" t="s">
        <v>54</v>
      </c>
      <c r="BH8" s="2943" t="s">
        <v>55</v>
      </c>
      <c r="BI8" s="2944" t="s">
        <v>56</v>
      </c>
      <c r="BJ8" s="2568" t="s">
        <v>57</v>
      </c>
      <c r="BK8" s="2570" t="s">
        <v>58</v>
      </c>
      <c r="BL8" s="2543"/>
      <c r="BM8" s="2544"/>
      <c r="BN8" s="2543"/>
      <c r="BO8" s="2544"/>
      <c r="BP8" s="2937"/>
      <c r="BQ8" s="1730"/>
      <c r="BR8" s="184"/>
      <c r="BS8" s="184"/>
      <c r="BT8" s="184"/>
      <c r="BU8" s="184"/>
      <c r="BV8" s="184"/>
      <c r="BW8" s="184"/>
      <c r="BX8" s="184"/>
      <c r="BY8" s="184"/>
      <c r="BZ8" s="184"/>
      <c r="CA8" s="184"/>
      <c r="CB8" s="184"/>
      <c r="CC8" s="184"/>
      <c r="CD8" s="184"/>
      <c r="CE8" s="184"/>
      <c r="CF8" s="184"/>
      <c r="CG8" s="184"/>
    </row>
    <row r="9" spans="1:86" ht="42.6" customHeight="1" x14ac:dyDescent="0.25">
      <c r="A9" s="2535"/>
      <c r="B9" s="2538"/>
      <c r="C9" s="2539"/>
      <c r="D9" s="2539"/>
      <c r="E9" s="2538"/>
      <c r="F9" s="2539"/>
      <c r="G9" s="2539"/>
      <c r="H9" s="2540"/>
      <c r="I9" s="2538"/>
      <c r="J9" s="2517"/>
      <c r="K9" s="2540"/>
      <c r="L9" s="2540"/>
      <c r="M9" s="2517"/>
      <c r="N9" s="2517"/>
      <c r="O9" s="2517"/>
      <c r="P9" s="2563"/>
      <c r="Q9" s="2941"/>
      <c r="R9" s="2538"/>
      <c r="S9" s="2538"/>
      <c r="T9" s="2517"/>
      <c r="U9" s="2939"/>
      <c r="V9" s="2939"/>
      <c r="W9" s="2939"/>
      <c r="X9" s="2550"/>
      <c r="Y9" s="2659"/>
      <c r="Z9" s="403" t="s">
        <v>59</v>
      </c>
      <c r="AA9" s="403" t="s">
        <v>60</v>
      </c>
      <c r="AB9" s="403" t="s">
        <v>59</v>
      </c>
      <c r="AC9" s="403" t="s">
        <v>60</v>
      </c>
      <c r="AD9" s="403" t="s">
        <v>59</v>
      </c>
      <c r="AE9" s="403" t="s">
        <v>60</v>
      </c>
      <c r="AF9" s="403" t="s">
        <v>59</v>
      </c>
      <c r="AG9" s="403" t="s">
        <v>60</v>
      </c>
      <c r="AH9" s="403" t="s">
        <v>59</v>
      </c>
      <c r="AI9" s="403" t="s">
        <v>60</v>
      </c>
      <c r="AJ9" s="403" t="s">
        <v>59</v>
      </c>
      <c r="AK9" s="403" t="s">
        <v>60</v>
      </c>
      <c r="AL9" s="403" t="s">
        <v>59</v>
      </c>
      <c r="AM9" s="403" t="s">
        <v>60</v>
      </c>
      <c r="AN9" s="403" t="s">
        <v>59</v>
      </c>
      <c r="AO9" s="403" t="s">
        <v>60</v>
      </c>
      <c r="AP9" s="403" t="s">
        <v>59</v>
      </c>
      <c r="AQ9" s="403" t="s">
        <v>60</v>
      </c>
      <c r="AR9" s="403" t="s">
        <v>59</v>
      </c>
      <c r="AS9" s="403" t="s">
        <v>60</v>
      </c>
      <c r="AT9" s="403" t="s">
        <v>59</v>
      </c>
      <c r="AU9" s="403" t="s">
        <v>60</v>
      </c>
      <c r="AV9" s="403" t="s">
        <v>59</v>
      </c>
      <c r="AW9" s="403" t="s">
        <v>60</v>
      </c>
      <c r="AX9" s="403" t="s">
        <v>59</v>
      </c>
      <c r="AY9" s="403" t="s">
        <v>60</v>
      </c>
      <c r="AZ9" s="403" t="s">
        <v>59</v>
      </c>
      <c r="BA9" s="403" t="s">
        <v>60</v>
      </c>
      <c r="BB9" s="403" t="s">
        <v>59</v>
      </c>
      <c r="BC9" s="403" t="s">
        <v>60</v>
      </c>
      <c r="BD9" s="403" t="s">
        <v>59</v>
      </c>
      <c r="BE9" s="403" t="s">
        <v>60</v>
      </c>
      <c r="BF9" s="2568"/>
      <c r="BG9" s="2943"/>
      <c r="BH9" s="2943"/>
      <c r="BI9" s="2944"/>
      <c r="BJ9" s="2568"/>
      <c r="BK9" s="2571"/>
      <c r="BL9" s="403" t="s">
        <v>59</v>
      </c>
      <c r="BM9" s="403" t="s">
        <v>60</v>
      </c>
      <c r="BN9" s="403" t="s">
        <v>59</v>
      </c>
      <c r="BO9" s="403" t="s">
        <v>60</v>
      </c>
      <c r="BP9" s="2545"/>
      <c r="BQ9" s="184"/>
      <c r="BR9" s="184"/>
      <c r="BS9" s="184"/>
      <c r="BT9" s="184"/>
      <c r="BU9" s="184"/>
      <c r="BV9" s="184"/>
      <c r="BW9" s="184"/>
      <c r="BX9" s="184"/>
      <c r="BY9" s="184"/>
      <c r="BZ9" s="184"/>
      <c r="CA9" s="184"/>
      <c r="CB9" s="184"/>
      <c r="CC9" s="184"/>
      <c r="CD9" s="184"/>
      <c r="CE9" s="184"/>
      <c r="CF9" s="184"/>
      <c r="CG9" s="184"/>
    </row>
    <row r="10" spans="1:86" ht="27" customHeight="1" x14ac:dyDescent="0.25">
      <c r="A10" s="1731">
        <v>1</v>
      </c>
      <c r="B10" s="2945" t="s">
        <v>233</v>
      </c>
      <c r="C10" s="2945"/>
      <c r="D10" s="2945"/>
      <c r="E10" s="2945"/>
      <c r="F10" s="2945"/>
      <c r="G10" s="2945"/>
      <c r="H10" s="2945"/>
      <c r="I10" s="2945"/>
      <c r="J10" s="2945"/>
      <c r="K10" s="1732"/>
      <c r="L10" s="1732"/>
      <c r="M10" s="1732"/>
      <c r="N10" s="1732"/>
      <c r="O10" s="1733"/>
      <c r="P10" s="1734"/>
      <c r="Q10" s="1735"/>
      <c r="R10" s="1733"/>
      <c r="S10" s="1733"/>
      <c r="T10" s="1733"/>
      <c r="U10" s="1736"/>
      <c r="V10" s="1736"/>
      <c r="W10" s="1736"/>
      <c r="X10" s="1737"/>
      <c r="Y10" s="1738"/>
      <c r="Z10" s="1732"/>
      <c r="AA10" s="1732"/>
      <c r="AB10" s="1732"/>
      <c r="AC10" s="1732"/>
      <c r="AD10" s="1732"/>
      <c r="AE10" s="1732"/>
      <c r="AF10" s="1732"/>
      <c r="AG10" s="1732"/>
      <c r="AH10" s="1732"/>
      <c r="AI10" s="1732"/>
      <c r="AJ10" s="1732"/>
      <c r="AK10" s="1732"/>
      <c r="AL10" s="1732"/>
      <c r="AM10" s="1732"/>
      <c r="AN10" s="1732"/>
      <c r="AO10" s="1732"/>
      <c r="AP10" s="1732"/>
      <c r="AQ10" s="1732"/>
      <c r="AR10" s="1732"/>
      <c r="AS10" s="1732"/>
      <c r="AT10" s="1732"/>
      <c r="AU10" s="1732"/>
      <c r="AV10" s="1732"/>
      <c r="AW10" s="1732"/>
      <c r="AX10" s="1732"/>
      <c r="AY10" s="1732"/>
      <c r="AZ10" s="1732"/>
      <c r="BA10" s="1732"/>
      <c r="BB10" s="1732"/>
      <c r="BC10" s="1732"/>
      <c r="BD10" s="1732"/>
      <c r="BE10" s="1732"/>
      <c r="BF10" s="1732"/>
      <c r="BG10" s="1735"/>
      <c r="BH10" s="1735"/>
      <c r="BI10" s="1739"/>
      <c r="BJ10" s="1737"/>
      <c r="BK10" s="1732"/>
      <c r="BL10" s="1740"/>
      <c r="BM10" s="1740"/>
      <c r="BN10" s="1740"/>
      <c r="BO10" s="1740"/>
      <c r="BP10" s="1741"/>
      <c r="BQ10" s="184"/>
      <c r="BR10" s="184"/>
      <c r="BS10" s="184"/>
      <c r="BT10" s="184"/>
      <c r="BU10" s="184"/>
      <c r="BV10" s="184"/>
      <c r="BW10" s="184"/>
      <c r="BX10" s="184"/>
      <c r="BY10" s="184"/>
      <c r="BZ10" s="184"/>
      <c r="CA10" s="184"/>
      <c r="CB10" s="184"/>
      <c r="CC10" s="184"/>
      <c r="CD10" s="184"/>
      <c r="CE10" s="184"/>
      <c r="CF10" s="184"/>
      <c r="CG10" s="184"/>
      <c r="CH10" s="184"/>
    </row>
    <row r="11" spans="1:86" s="184" customFormat="1" ht="21" customHeight="1" x14ac:dyDescent="0.25">
      <c r="A11" s="1501"/>
      <c r="B11" s="1622"/>
      <c r="C11" s="1623"/>
      <c r="D11" s="1742">
        <v>1</v>
      </c>
      <c r="E11" s="319" t="s">
        <v>1382</v>
      </c>
      <c r="F11" s="319"/>
      <c r="G11" s="1743"/>
      <c r="H11" s="1743"/>
      <c r="I11" s="319"/>
      <c r="J11" s="319"/>
      <c r="K11" s="223"/>
      <c r="L11" s="223"/>
      <c r="M11" s="280"/>
      <c r="N11" s="280"/>
      <c r="O11" s="1744"/>
      <c r="P11" s="320"/>
      <c r="Q11" s="1745"/>
      <c r="R11" s="1744"/>
      <c r="S11" s="1744"/>
      <c r="T11" s="1744"/>
      <c r="U11" s="1746"/>
      <c r="V11" s="1746"/>
      <c r="W11" s="1746"/>
      <c r="X11" s="1747"/>
      <c r="Y11" s="227"/>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1745"/>
      <c r="BH11" s="1745"/>
      <c r="BI11" s="1748"/>
      <c r="BJ11" s="1747"/>
      <c r="BK11" s="280"/>
      <c r="BL11" s="288"/>
      <c r="BM11" s="288"/>
      <c r="BN11" s="288"/>
      <c r="BO11" s="288"/>
      <c r="BP11" s="1749"/>
    </row>
    <row r="12" spans="1:86" s="184" customFormat="1" ht="171" customHeight="1" x14ac:dyDescent="0.25">
      <c r="A12" s="1489"/>
      <c r="B12" s="1545"/>
      <c r="C12" s="1506"/>
      <c r="E12" s="1545"/>
      <c r="F12" s="1506"/>
      <c r="G12" s="1499" t="s">
        <v>64</v>
      </c>
      <c r="H12" s="1862" t="s">
        <v>1383</v>
      </c>
      <c r="I12" s="1750" t="s">
        <v>1384</v>
      </c>
      <c r="J12" s="1515" t="s">
        <v>1385</v>
      </c>
      <c r="K12" s="1751">
        <v>1</v>
      </c>
      <c r="L12" s="1540">
        <v>1</v>
      </c>
      <c r="M12" s="1514" t="s">
        <v>1386</v>
      </c>
      <c r="N12" s="1498" t="s">
        <v>1387</v>
      </c>
      <c r="O12" s="1512" t="s">
        <v>1388</v>
      </c>
      <c r="P12" s="1510">
        <f>+U12/Q12</f>
        <v>1</v>
      </c>
      <c r="Q12" s="1752">
        <f>SUM(U12)</f>
        <v>3000000</v>
      </c>
      <c r="R12" s="1500" t="s">
        <v>1389</v>
      </c>
      <c r="S12" s="1500" t="s">
        <v>1390</v>
      </c>
      <c r="T12" s="1750" t="s">
        <v>1384</v>
      </c>
      <c r="U12" s="1753">
        <v>3000000</v>
      </c>
      <c r="V12" s="1754">
        <v>1999898</v>
      </c>
      <c r="W12" s="1754">
        <v>1999898</v>
      </c>
      <c r="X12" s="1509">
        <v>88</v>
      </c>
      <c r="Y12" s="1999" t="s">
        <v>247</v>
      </c>
      <c r="Z12" s="126">
        <v>295972</v>
      </c>
      <c r="AA12" s="126"/>
      <c r="AB12" s="126">
        <v>294321</v>
      </c>
      <c r="AC12" s="126"/>
      <c r="AD12" s="126">
        <v>132302</v>
      </c>
      <c r="AE12" s="126"/>
      <c r="AF12" s="126">
        <v>43426</v>
      </c>
      <c r="AG12" s="126"/>
      <c r="AH12" s="126">
        <v>313940</v>
      </c>
      <c r="AI12" s="126"/>
      <c r="AJ12" s="126">
        <v>100625</v>
      </c>
      <c r="AK12" s="126"/>
      <c r="AL12" s="126">
        <v>2145</v>
      </c>
      <c r="AM12" s="126"/>
      <c r="AN12" s="126">
        <v>12718</v>
      </c>
      <c r="AO12" s="126"/>
      <c r="AP12" s="126">
        <v>36</v>
      </c>
      <c r="AQ12" s="126"/>
      <c r="AR12" s="126">
        <v>0</v>
      </c>
      <c r="AS12" s="126"/>
      <c r="AT12" s="126">
        <v>0</v>
      </c>
      <c r="AU12" s="126"/>
      <c r="AV12" s="126">
        <v>0</v>
      </c>
      <c r="AW12" s="126"/>
      <c r="AX12" s="126">
        <v>70</v>
      </c>
      <c r="AY12" s="126"/>
      <c r="AZ12" s="126">
        <v>21944</v>
      </c>
      <c r="BA12" s="126"/>
      <c r="BB12" s="126">
        <v>285</v>
      </c>
      <c r="BC12" s="126"/>
      <c r="BD12" s="126">
        <v>590292</v>
      </c>
      <c r="BE12" s="1755"/>
      <c r="BF12" s="126">
        <v>0</v>
      </c>
      <c r="BG12" s="1756">
        <f>+V12</f>
        <v>1999898</v>
      </c>
      <c r="BH12" s="1756">
        <f>+W12</f>
        <v>1999898</v>
      </c>
      <c r="BI12" s="1757">
        <f>+BG12/BH12</f>
        <v>1</v>
      </c>
      <c r="BJ12" s="1509"/>
      <c r="BK12" s="1494"/>
      <c r="BL12" s="1492"/>
      <c r="BM12" s="1492"/>
      <c r="BN12" s="1492"/>
      <c r="BO12" s="1493"/>
      <c r="BP12" s="1509" t="s">
        <v>1391</v>
      </c>
    </row>
    <row r="13" spans="1:86" s="184" customFormat="1" ht="31.5" customHeight="1" x14ac:dyDescent="0.25">
      <c r="A13" s="45"/>
      <c r="B13" s="275"/>
      <c r="C13" s="1627"/>
      <c r="D13" s="1742">
        <v>13</v>
      </c>
      <c r="E13" s="2946" t="s">
        <v>1392</v>
      </c>
      <c r="F13" s="2947"/>
      <c r="G13" s="2947"/>
      <c r="H13" s="2947"/>
      <c r="I13" s="2947"/>
      <c r="J13" s="222"/>
      <c r="K13" s="223"/>
      <c r="L13" s="223"/>
      <c r="M13" s="1758"/>
      <c r="N13" s="1053"/>
      <c r="O13" s="222"/>
      <c r="P13" s="320"/>
      <c r="Q13" s="1759"/>
      <c r="R13" s="279"/>
      <c r="S13" s="279"/>
      <c r="T13" s="222"/>
      <c r="U13" s="1760"/>
      <c r="V13" s="1760"/>
      <c r="W13" s="1760"/>
      <c r="X13" s="1747"/>
      <c r="Y13" s="1744"/>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582"/>
      <c r="BG13" s="1761"/>
      <c r="BH13" s="1762"/>
      <c r="BI13" s="1748"/>
      <c r="BJ13" s="1747"/>
      <c r="BK13" s="280"/>
      <c r="BL13" s="288"/>
      <c r="BM13" s="288"/>
      <c r="BN13" s="288"/>
      <c r="BO13" s="288"/>
      <c r="BP13" s="1763"/>
    </row>
    <row r="14" spans="1:86" ht="183.75" customHeight="1" x14ac:dyDescent="0.25">
      <c r="A14" s="1764"/>
      <c r="C14" s="1765"/>
      <c r="D14" s="1766"/>
      <c r="E14" s="1766"/>
      <c r="F14" s="462"/>
      <c r="G14" s="1499" t="s">
        <v>64</v>
      </c>
      <c r="H14" s="1862" t="s">
        <v>1393</v>
      </c>
      <c r="I14" s="1750" t="s">
        <v>1394</v>
      </c>
      <c r="J14" s="1515" t="s">
        <v>1395</v>
      </c>
      <c r="K14" s="969">
        <v>2</v>
      </c>
      <c r="L14" s="1552">
        <v>2</v>
      </c>
      <c r="M14" s="1514" t="s">
        <v>1396</v>
      </c>
      <c r="N14" s="1498" t="s">
        <v>1397</v>
      </c>
      <c r="O14" s="1500" t="s">
        <v>1398</v>
      </c>
      <c r="P14" s="1550">
        <f>+U14/Q14</f>
        <v>1</v>
      </c>
      <c r="Q14" s="1752">
        <f>SUM(U14)</f>
        <v>60746979</v>
      </c>
      <c r="R14" s="1500" t="s">
        <v>1399</v>
      </c>
      <c r="S14" s="1500" t="s">
        <v>1400</v>
      </c>
      <c r="T14" s="1750" t="s">
        <v>1394</v>
      </c>
      <c r="U14" s="1753">
        <v>60746979</v>
      </c>
      <c r="V14" s="1753">
        <v>0</v>
      </c>
      <c r="W14" s="1753">
        <v>0</v>
      </c>
      <c r="X14" s="361">
        <v>88</v>
      </c>
      <c r="Y14" s="1999" t="s">
        <v>247</v>
      </c>
      <c r="Z14" s="126">
        <v>295972</v>
      </c>
      <c r="AA14" s="126"/>
      <c r="AB14" s="126">
        <v>294321</v>
      </c>
      <c r="AC14" s="126"/>
      <c r="AD14" s="126">
        <v>132302</v>
      </c>
      <c r="AE14" s="126"/>
      <c r="AF14" s="126">
        <v>43426</v>
      </c>
      <c r="AG14" s="126"/>
      <c r="AH14" s="126">
        <v>313940</v>
      </c>
      <c r="AI14" s="126"/>
      <c r="AJ14" s="126">
        <v>100625</v>
      </c>
      <c r="AK14" s="126"/>
      <c r="AL14" s="126">
        <v>2145</v>
      </c>
      <c r="AM14" s="126"/>
      <c r="AN14" s="126">
        <v>12718</v>
      </c>
      <c r="AO14" s="126"/>
      <c r="AP14" s="126">
        <v>36</v>
      </c>
      <c r="AQ14" s="126"/>
      <c r="AR14" s="126">
        <v>0</v>
      </c>
      <c r="AS14" s="126"/>
      <c r="AT14" s="126">
        <v>0</v>
      </c>
      <c r="AU14" s="126"/>
      <c r="AV14" s="126">
        <v>0</v>
      </c>
      <c r="AW14" s="126"/>
      <c r="AX14" s="126">
        <v>70</v>
      </c>
      <c r="AY14" s="126"/>
      <c r="AZ14" s="126">
        <v>21944</v>
      </c>
      <c r="BA14" s="126"/>
      <c r="BB14" s="126">
        <v>285</v>
      </c>
      <c r="BC14" s="126"/>
      <c r="BD14" s="126">
        <v>590292</v>
      </c>
      <c r="BE14" s="1755"/>
      <c r="BF14" s="126"/>
      <c r="BG14" s="1756">
        <v>0</v>
      </c>
      <c r="BH14" s="1756">
        <v>0</v>
      </c>
      <c r="BI14" s="1767" t="e">
        <f>+BG14/BH14</f>
        <v>#DIV/0!</v>
      </c>
      <c r="BJ14" s="361"/>
      <c r="BK14" s="1494"/>
      <c r="BL14" s="1492"/>
      <c r="BM14" s="1492"/>
      <c r="BN14" s="1492"/>
      <c r="BO14" s="1493"/>
      <c r="BP14" s="1509" t="s">
        <v>1391</v>
      </c>
    </row>
    <row r="15" spans="1:86" s="184" customFormat="1" ht="41.25" customHeight="1" x14ac:dyDescent="0.25">
      <c r="A15" s="45"/>
      <c r="B15" s="275"/>
      <c r="C15" s="1627"/>
      <c r="D15" s="1742">
        <v>15</v>
      </c>
      <c r="E15" s="2948" t="s">
        <v>617</v>
      </c>
      <c r="F15" s="2949"/>
      <c r="G15" s="2949"/>
      <c r="H15" s="2949"/>
      <c r="I15" s="2949"/>
      <c r="J15" s="2949"/>
      <c r="K15" s="2949"/>
      <c r="L15" s="2949"/>
      <c r="M15" s="1744"/>
      <c r="N15" s="1053"/>
      <c r="O15" s="222"/>
      <c r="P15" s="320"/>
      <c r="Q15" s="1759"/>
      <c r="R15" s="279"/>
      <c r="S15" s="279"/>
      <c r="T15" s="222"/>
      <c r="U15" s="1760"/>
      <c r="V15" s="1760"/>
      <c r="W15" s="1760"/>
      <c r="X15" s="1747"/>
      <c r="Y15" s="1744"/>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582"/>
      <c r="BG15" s="1761"/>
      <c r="BH15" s="1762"/>
      <c r="BI15" s="1748"/>
      <c r="BJ15" s="1747"/>
      <c r="BK15" s="280"/>
      <c r="BL15" s="288"/>
      <c r="BM15" s="288"/>
      <c r="BN15" s="288"/>
      <c r="BO15" s="288"/>
      <c r="BP15" s="89"/>
    </row>
    <row r="16" spans="1:86" ht="106.5" customHeight="1" x14ac:dyDescent="0.25">
      <c r="A16" s="1334"/>
      <c r="B16" s="1518"/>
      <c r="C16" s="1519"/>
      <c r="D16" s="2950"/>
      <c r="E16" s="2951"/>
      <c r="F16" s="2952"/>
      <c r="G16" s="2618" t="s">
        <v>64</v>
      </c>
      <c r="H16" s="2620" t="s">
        <v>1401</v>
      </c>
      <c r="I16" s="2698" t="s">
        <v>1402</v>
      </c>
      <c r="J16" s="2717" t="s">
        <v>619</v>
      </c>
      <c r="K16" s="2953">
        <v>9</v>
      </c>
      <c r="L16" s="2954">
        <v>0</v>
      </c>
      <c r="M16" s="2625" t="s">
        <v>1403</v>
      </c>
      <c r="N16" s="2626" t="s">
        <v>1404</v>
      </c>
      <c r="O16" s="2698" t="s">
        <v>1405</v>
      </c>
      <c r="P16" s="2715">
        <f>Q16/SUM(Q16,Q33,Q37,Q51,Q92,Q107,Q110)</f>
        <v>0.32295647257631482</v>
      </c>
      <c r="Q16" s="2961">
        <f>SUM(U16:U31)</f>
        <v>628874337</v>
      </c>
      <c r="R16" s="2717" t="s">
        <v>1406</v>
      </c>
      <c r="S16" s="2717" t="s">
        <v>1407</v>
      </c>
      <c r="T16" s="1532" t="s">
        <v>1408</v>
      </c>
      <c r="U16" s="1768">
        <v>15000000</v>
      </c>
      <c r="V16" s="1769">
        <v>8824975.0999999996</v>
      </c>
      <c r="W16" s="1769">
        <v>8824975.0999999996</v>
      </c>
      <c r="X16" s="74">
        <v>82</v>
      </c>
      <c r="Y16" s="2009" t="s">
        <v>1808</v>
      </c>
      <c r="Z16" s="2957">
        <v>295972</v>
      </c>
      <c r="AA16" s="2666"/>
      <c r="AB16" s="2960">
        <v>285580</v>
      </c>
      <c r="AC16" s="2666"/>
      <c r="AD16" s="2960">
        <v>135545</v>
      </c>
      <c r="AE16" s="2666"/>
      <c r="AF16" s="2960">
        <v>44254</v>
      </c>
      <c r="AG16" s="2666"/>
      <c r="AH16" s="2960">
        <v>309146</v>
      </c>
      <c r="AI16" s="2666"/>
      <c r="AJ16" s="2960">
        <v>92607</v>
      </c>
      <c r="AK16" s="2666"/>
      <c r="AL16" s="2960">
        <v>2145</v>
      </c>
      <c r="AM16" s="2666"/>
      <c r="AN16" s="2960">
        <v>12718</v>
      </c>
      <c r="AO16" s="2666"/>
      <c r="AP16" s="2960">
        <v>26</v>
      </c>
      <c r="AQ16" s="2666"/>
      <c r="AR16" s="2960">
        <v>37</v>
      </c>
      <c r="AS16" s="2666"/>
      <c r="AT16" s="2960">
        <v>0</v>
      </c>
      <c r="AU16" s="2666"/>
      <c r="AV16" s="2960">
        <v>0</v>
      </c>
      <c r="AW16" s="2666"/>
      <c r="AX16" s="2960">
        <v>44350</v>
      </c>
      <c r="AY16" s="2666"/>
      <c r="AZ16" s="2960">
        <v>21944</v>
      </c>
      <c r="BA16" s="2666"/>
      <c r="BB16" s="2960">
        <v>75687</v>
      </c>
      <c r="BC16" s="2666"/>
      <c r="BD16" s="2960">
        <f>+Z16+AB16</f>
        <v>581552</v>
      </c>
      <c r="BE16" s="2972"/>
      <c r="BF16" s="2751">
        <v>48</v>
      </c>
      <c r="BG16" s="2973">
        <f>+V16+V17+V18+V19+V20+V21+V22+V23+V24+V25+V26+V27+V28+V29+V30+V31</f>
        <v>310970132.10000002</v>
      </c>
      <c r="BH16" s="2973">
        <f>+W16+W17+W18+W19+W20+W21+W22+W23+W24+W25+W26+W27+W28+W29+W30+W31</f>
        <v>310970132.10000002</v>
      </c>
      <c r="BI16" s="2969">
        <f>BH16/BG16</f>
        <v>1</v>
      </c>
      <c r="BJ16" s="2970" t="s">
        <v>1409</v>
      </c>
      <c r="BK16" s="2594" t="s">
        <v>1410</v>
      </c>
      <c r="BL16" s="2631">
        <v>43853</v>
      </c>
      <c r="BM16" s="2631">
        <v>43853</v>
      </c>
      <c r="BN16" s="2631">
        <v>44195</v>
      </c>
      <c r="BO16" s="2631">
        <v>44195</v>
      </c>
      <c r="BP16" s="2738" t="s">
        <v>1391</v>
      </c>
    </row>
    <row r="17" spans="1:68" ht="69.599999999999994" customHeight="1" x14ac:dyDescent="0.25">
      <c r="A17" s="1334"/>
      <c r="B17" s="1518"/>
      <c r="C17" s="1519"/>
      <c r="D17" s="2950"/>
      <c r="E17" s="2951"/>
      <c r="F17" s="2952"/>
      <c r="G17" s="2618"/>
      <c r="H17" s="2620"/>
      <c r="I17" s="2698"/>
      <c r="J17" s="2717"/>
      <c r="K17" s="2953"/>
      <c r="L17" s="2955"/>
      <c r="M17" s="2625"/>
      <c r="N17" s="2626"/>
      <c r="O17" s="2698"/>
      <c r="P17" s="2715"/>
      <c r="Q17" s="2961"/>
      <c r="R17" s="2717"/>
      <c r="S17" s="2717"/>
      <c r="T17" s="1532" t="s">
        <v>1411</v>
      </c>
      <c r="U17" s="1768">
        <v>21857448.609999999</v>
      </c>
      <c r="V17" s="1769">
        <v>0</v>
      </c>
      <c r="W17" s="1769">
        <v>0</v>
      </c>
      <c r="X17" s="74">
        <v>82</v>
      </c>
      <c r="Y17" s="2009" t="s">
        <v>1808</v>
      </c>
      <c r="Z17" s="2958"/>
      <c r="AA17" s="2666"/>
      <c r="AB17" s="2960"/>
      <c r="AC17" s="2666"/>
      <c r="AD17" s="2960"/>
      <c r="AE17" s="2666"/>
      <c r="AF17" s="2960"/>
      <c r="AG17" s="2666"/>
      <c r="AH17" s="2960"/>
      <c r="AI17" s="2666"/>
      <c r="AJ17" s="2960"/>
      <c r="AK17" s="2666"/>
      <c r="AL17" s="2960"/>
      <c r="AM17" s="2666"/>
      <c r="AN17" s="2960"/>
      <c r="AO17" s="2666"/>
      <c r="AP17" s="2960"/>
      <c r="AQ17" s="2666"/>
      <c r="AR17" s="2960"/>
      <c r="AS17" s="2666"/>
      <c r="AT17" s="2960"/>
      <c r="AU17" s="2666"/>
      <c r="AV17" s="2960"/>
      <c r="AW17" s="2666"/>
      <c r="AX17" s="2960"/>
      <c r="AY17" s="2666"/>
      <c r="AZ17" s="2960"/>
      <c r="BA17" s="2666"/>
      <c r="BB17" s="2960"/>
      <c r="BC17" s="2666"/>
      <c r="BD17" s="2960"/>
      <c r="BE17" s="2972"/>
      <c r="BF17" s="2751"/>
      <c r="BG17" s="2974"/>
      <c r="BH17" s="2974"/>
      <c r="BI17" s="2969"/>
      <c r="BJ17" s="2970"/>
      <c r="BK17" s="2595"/>
      <c r="BL17" s="2632"/>
      <c r="BM17" s="2632"/>
      <c r="BN17" s="2632"/>
      <c r="BO17" s="2632"/>
      <c r="BP17" s="2739"/>
    </row>
    <row r="18" spans="1:68" ht="81" customHeight="1" x14ac:dyDescent="0.25">
      <c r="A18" s="1334"/>
      <c r="B18" s="1518"/>
      <c r="C18" s="1519"/>
      <c r="D18" s="2950"/>
      <c r="E18" s="2951"/>
      <c r="F18" s="2952"/>
      <c r="G18" s="2618"/>
      <c r="H18" s="2620"/>
      <c r="I18" s="2698"/>
      <c r="J18" s="2717"/>
      <c r="K18" s="2953"/>
      <c r="L18" s="2955"/>
      <c r="M18" s="2625"/>
      <c r="N18" s="2626"/>
      <c r="O18" s="2698"/>
      <c r="P18" s="2715"/>
      <c r="Q18" s="2961"/>
      <c r="R18" s="2717"/>
      <c r="S18" s="2717"/>
      <c r="T18" s="1532" t="s">
        <v>1412</v>
      </c>
      <c r="U18" s="1768">
        <v>53729000</v>
      </c>
      <c r="V18" s="1770">
        <v>53729000</v>
      </c>
      <c r="W18" s="1770">
        <v>53729000</v>
      </c>
      <c r="X18" s="1451" t="s">
        <v>1252</v>
      </c>
      <c r="Y18" s="2009" t="s">
        <v>1809</v>
      </c>
      <c r="Z18" s="2958"/>
      <c r="AA18" s="2666"/>
      <c r="AB18" s="2960"/>
      <c r="AC18" s="2666"/>
      <c r="AD18" s="2960"/>
      <c r="AE18" s="2666"/>
      <c r="AF18" s="2960"/>
      <c r="AG18" s="2666"/>
      <c r="AH18" s="2960"/>
      <c r="AI18" s="2666"/>
      <c r="AJ18" s="2960"/>
      <c r="AK18" s="2666"/>
      <c r="AL18" s="2960"/>
      <c r="AM18" s="2666"/>
      <c r="AN18" s="2960"/>
      <c r="AO18" s="2666"/>
      <c r="AP18" s="2960"/>
      <c r="AQ18" s="2666"/>
      <c r="AR18" s="2960"/>
      <c r="AS18" s="2666"/>
      <c r="AT18" s="2960"/>
      <c r="AU18" s="2666"/>
      <c r="AV18" s="2960"/>
      <c r="AW18" s="2666"/>
      <c r="AX18" s="2960"/>
      <c r="AY18" s="2666"/>
      <c r="AZ18" s="2960"/>
      <c r="BA18" s="2666"/>
      <c r="BB18" s="2960"/>
      <c r="BC18" s="2666"/>
      <c r="BD18" s="2960"/>
      <c r="BE18" s="2972"/>
      <c r="BF18" s="2751"/>
      <c r="BG18" s="2974"/>
      <c r="BH18" s="2974"/>
      <c r="BI18" s="2969"/>
      <c r="BJ18" s="2970"/>
      <c r="BK18" s="2595"/>
      <c r="BL18" s="2632"/>
      <c r="BM18" s="2632"/>
      <c r="BN18" s="2632"/>
      <c r="BO18" s="2632"/>
      <c r="BP18" s="2739"/>
    </row>
    <row r="19" spans="1:68" ht="75" x14ac:dyDescent="0.25">
      <c r="A19" s="1334"/>
      <c r="B19" s="1518"/>
      <c r="C19" s="1519"/>
      <c r="D19" s="2950"/>
      <c r="E19" s="2951"/>
      <c r="F19" s="2952"/>
      <c r="G19" s="2618"/>
      <c r="H19" s="2620"/>
      <c r="I19" s="2698"/>
      <c r="J19" s="2717"/>
      <c r="K19" s="2953"/>
      <c r="L19" s="2955"/>
      <c r="M19" s="2625"/>
      <c r="N19" s="2626"/>
      <c r="O19" s="2698"/>
      <c r="P19" s="2715"/>
      <c r="Q19" s="2961"/>
      <c r="R19" s="2717"/>
      <c r="S19" s="2717"/>
      <c r="T19" s="1532" t="s">
        <v>1413</v>
      </c>
      <c r="U19" s="1768">
        <v>47918000</v>
      </c>
      <c r="V19" s="1769">
        <v>40826499</v>
      </c>
      <c r="W19" s="1769">
        <v>40826499</v>
      </c>
      <c r="X19" s="1771">
        <v>82</v>
      </c>
      <c r="Y19" s="2009" t="s">
        <v>1808</v>
      </c>
      <c r="Z19" s="2958"/>
      <c r="AA19" s="2666"/>
      <c r="AB19" s="2960"/>
      <c r="AC19" s="2666"/>
      <c r="AD19" s="2960"/>
      <c r="AE19" s="2666"/>
      <c r="AF19" s="2960"/>
      <c r="AG19" s="2666"/>
      <c r="AH19" s="2960"/>
      <c r="AI19" s="2666"/>
      <c r="AJ19" s="2960"/>
      <c r="AK19" s="2666"/>
      <c r="AL19" s="2960"/>
      <c r="AM19" s="2666"/>
      <c r="AN19" s="2960"/>
      <c r="AO19" s="2666"/>
      <c r="AP19" s="2960"/>
      <c r="AQ19" s="2666"/>
      <c r="AR19" s="2960"/>
      <c r="AS19" s="2666"/>
      <c r="AT19" s="2960"/>
      <c r="AU19" s="2666"/>
      <c r="AV19" s="2960"/>
      <c r="AW19" s="2666"/>
      <c r="AX19" s="2960"/>
      <c r="AY19" s="2666"/>
      <c r="AZ19" s="2960"/>
      <c r="BA19" s="2666"/>
      <c r="BB19" s="2960"/>
      <c r="BC19" s="2666"/>
      <c r="BD19" s="2960"/>
      <c r="BE19" s="2972"/>
      <c r="BF19" s="2751"/>
      <c r="BG19" s="2974"/>
      <c r="BH19" s="2974"/>
      <c r="BI19" s="2969"/>
      <c r="BJ19" s="2970"/>
      <c r="BK19" s="2595"/>
      <c r="BL19" s="2632"/>
      <c r="BM19" s="2632"/>
      <c r="BN19" s="2632"/>
      <c r="BO19" s="2632"/>
      <c r="BP19" s="2739"/>
    </row>
    <row r="20" spans="1:68" ht="45" x14ac:dyDescent="0.25">
      <c r="A20" s="1334"/>
      <c r="B20" s="1518"/>
      <c r="C20" s="1519"/>
      <c r="D20" s="2950"/>
      <c r="E20" s="2951"/>
      <c r="F20" s="2952"/>
      <c r="G20" s="2618"/>
      <c r="H20" s="2620"/>
      <c r="I20" s="2698"/>
      <c r="J20" s="2717"/>
      <c r="K20" s="2953"/>
      <c r="L20" s="2955"/>
      <c r="M20" s="2625"/>
      <c r="N20" s="2626"/>
      <c r="O20" s="2698"/>
      <c r="P20" s="2715"/>
      <c r="Q20" s="2961"/>
      <c r="R20" s="2717"/>
      <c r="S20" s="2717"/>
      <c r="T20" s="1532" t="s">
        <v>1414</v>
      </c>
      <c r="U20" s="1768">
        <v>0</v>
      </c>
      <c r="V20" s="1769">
        <v>0</v>
      </c>
      <c r="W20" s="1769">
        <v>0</v>
      </c>
      <c r="X20" s="1772"/>
      <c r="Y20" s="2276"/>
      <c r="Z20" s="2958"/>
      <c r="AA20" s="2666"/>
      <c r="AB20" s="2960"/>
      <c r="AC20" s="2666"/>
      <c r="AD20" s="2960"/>
      <c r="AE20" s="2666"/>
      <c r="AF20" s="2960"/>
      <c r="AG20" s="2666"/>
      <c r="AH20" s="2960"/>
      <c r="AI20" s="2666"/>
      <c r="AJ20" s="2960"/>
      <c r="AK20" s="2666"/>
      <c r="AL20" s="2960"/>
      <c r="AM20" s="2666"/>
      <c r="AN20" s="2960"/>
      <c r="AO20" s="2666"/>
      <c r="AP20" s="2960"/>
      <c r="AQ20" s="2666"/>
      <c r="AR20" s="2960"/>
      <c r="AS20" s="2666"/>
      <c r="AT20" s="2960"/>
      <c r="AU20" s="2666"/>
      <c r="AV20" s="2960"/>
      <c r="AW20" s="2666"/>
      <c r="AX20" s="2960"/>
      <c r="AY20" s="2666"/>
      <c r="AZ20" s="2960"/>
      <c r="BA20" s="2666"/>
      <c r="BB20" s="2960"/>
      <c r="BC20" s="2666"/>
      <c r="BD20" s="2960"/>
      <c r="BE20" s="2972"/>
      <c r="BF20" s="2751"/>
      <c r="BG20" s="2974"/>
      <c r="BH20" s="2974"/>
      <c r="BI20" s="2969"/>
      <c r="BJ20" s="2970"/>
      <c r="BK20" s="2595"/>
      <c r="BL20" s="2632"/>
      <c r="BM20" s="2632"/>
      <c r="BN20" s="2632"/>
      <c r="BO20" s="2632"/>
      <c r="BP20" s="2739"/>
    </row>
    <row r="21" spans="1:68" ht="45" x14ac:dyDescent="0.25">
      <c r="A21" s="1334"/>
      <c r="B21" s="1518"/>
      <c r="C21" s="1519"/>
      <c r="D21" s="2950"/>
      <c r="E21" s="2951"/>
      <c r="F21" s="2952"/>
      <c r="G21" s="2618"/>
      <c r="H21" s="2620"/>
      <c r="I21" s="2698"/>
      <c r="J21" s="2717"/>
      <c r="K21" s="2953"/>
      <c r="L21" s="2955"/>
      <c r="M21" s="2625"/>
      <c r="N21" s="2626"/>
      <c r="O21" s="2698"/>
      <c r="P21" s="2715"/>
      <c r="Q21" s="2961"/>
      <c r="R21" s="2717"/>
      <c r="S21" s="2717"/>
      <c r="T21" s="1532" t="s">
        <v>1415</v>
      </c>
      <c r="U21" s="1768">
        <v>10666000</v>
      </c>
      <c r="V21" s="1769">
        <v>10666000</v>
      </c>
      <c r="W21" s="1769">
        <v>10666000</v>
      </c>
      <c r="X21" s="1451" t="s">
        <v>1252</v>
      </c>
      <c r="Y21" s="2009" t="s">
        <v>1809</v>
      </c>
      <c r="Z21" s="2958"/>
      <c r="AA21" s="2666"/>
      <c r="AB21" s="2960"/>
      <c r="AC21" s="2666"/>
      <c r="AD21" s="2960"/>
      <c r="AE21" s="2666"/>
      <c r="AF21" s="2960"/>
      <c r="AG21" s="2666"/>
      <c r="AH21" s="2960"/>
      <c r="AI21" s="2666"/>
      <c r="AJ21" s="2960"/>
      <c r="AK21" s="2666"/>
      <c r="AL21" s="2960"/>
      <c r="AM21" s="2666"/>
      <c r="AN21" s="2960"/>
      <c r="AO21" s="2666"/>
      <c r="AP21" s="2960"/>
      <c r="AQ21" s="2666"/>
      <c r="AR21" s="2960"/>
      <c r="AS21" s="2666"/>
      <c r="AT21" s="2960"/>
      <c r="AU21" s="2666"/>
      <c r="AV21" s="2960"/>
      <c r="AW21" s="2666"/>
      <c r="AX21" s="2960"/>
      <c r="AY21" s="2666"/>
      <c r="AZ21" s="2960"/>
      <c r="BA21" s="2666"/>
      <c r="BB21" s="2960"/>
      <c r="BC21" s="2666"/>
      <c r="BD21" s="2960"/>
      <c r="BE21" s="2972"/>
      <c r="BF21" s="2751"/>
      <c r="BG21" s="2974"/>
      <c r="BH21" s="2974"/>
      <c r="BI21" s="2969"/>
      <c r="BJ21" s="2970"/>
      <c r="BK21" s="2595"/>
      <c r="BL21" s="2632"/>
      <c r="BM21" s="2632"/>
      <c r="BN21" s="2632"/>
      <c r="BO21" s="2632"/>
      <c r="BP21" s="2739"/>
    </row>
    <row r="22" spans="1:68" ht="60" x14ac:dyDescent="0.25">
      <c r="A22" s="1334"/>
      <c r="B22" s="1518"/>
      <c r="C22" s="1519"/>
      <c r="D22" s="2950"/>
      <c r="E22" s="2951"/>
      <c r="F22" s="2952"/>
      <c r="G22" s="2618"/>
      <c r="H22" s="2620"/>
      <c r="I22" s="2698"/>
      <c r="J22" s="2717"/>
      <c r="K22" s="2953"/>
      <c r="L22" s="2955"/>
      <c r="M22" s="2625"/>
      <c r="N22" s="2626"/>
      <c r="O22" s="2698"/>
      <c r="P22" s="2715"/>
      <c r="Q22" s="2961"/>
      <c r="R22" s="2717"/>
      <c r="S22" s="2717"/>
      <c r="T22" s="1532" t="s">
        <v>1416</v>
      </c>
      <c r="U22" s="1768">
        <v>21976000</v>
      </c>
      <c r="V22" s="1769">
        <v>21658333</v>
      </c>
      <c r="W22" s="1769">
        <v>21658333</v>
      </c>
      <c r="X22" s="1771">
        <v>82</v>
      </c>
      <c r="Y22" s="2009" t="s">
        <v>1808</v>
      </c>
      <c r="Z22" s="2958"/>
      <c r="AA22" s="2666"/>
      <c r="AB22" s="2960"/>
      <c r="AC22" s="2666"/>
      <c r="AD22" s="2960"/>
      <c r="AE22" s="2666"/>
      <c r="AF22" s="2960"/>
      <c r="AG22" s="2666"/>
      <c r="AH22" s="2960"/>
      <c r="AI22" s="2666"/>
      <c r="AJ22" s="2960"/>
      <c r="AK22" s="2666"/>
      <c r="AL22" s="2960"/>
      <c r="AM22" s="2666"/>
      <c r="AN22" s="2960"/>
      <c r="AO22" s="2666"/>
      <c r="AP22" s="2960"/>
      <c r="AQ22" s="2666"/>
      <c r="AR22" s="2960"/>
      <c r="AS22" s="2666"/>
      <c r="AT22" s="2960"/>
      <c r="AU22" s="2666"/>
      <c r="AV22" s="2960"/>
      <c r="AW22" s="2666"/>
      <c r="AX22" s="2960"/>
      <c r="AY22" s="2666"/>
      <c r="AZ22" s="2960"/>
      <c r="BA22" s="2666"/>
      <c r="BB22" s="2960"/>
      <c r="BC22" s="2666"/>
      <c r="BD22" s="2960"/>
      <c r="BE22" s="2972"/>
      <c r="BF22" s="2751"/>
      <c r="BG22" s="2974"/>
      <c r="BH22" s="2974"/>
      <c r="BI22" s="2969"/>
      <c r="BJ22" s="2970"/>
      <c r="BK22" s="2595"/>
      <c r="BL22" s="2632"/>
      <c r="BM22" s="2632"/>
      <c r="BN22" s="2632"/>
      <c r="BO22" s="2632"/>
      <c r="BP22" s="2739"/>
    </row>
    <row r="23" spans="1:68" ht="56.25" customHeight="1" x14ac:dyDescent="0.25">
      <c r="A23" s="1334"/>
      <c r="B23" s="1518"/>
      <c r="C23" s="1519"/>
      <c r="D23" s="2950"/>
      <c r="E23" s="2951"/>
      <c r="F23" s="2952"/>
      <c r="G23" s="2618"/>
      <c r="H23" s="2620"/>
      <c r="I23" s="2698"/>
      <c r="J23" s="2717"/>
      <c r="K23" s="2953"/>
      <c r="L23" s="2955"/>
      <c r="M23" s="2625"/>
      <c r="N23" s="2626"/>
      <c r="O23" s="2698"/>
      <c r="P23" s="2715"/>
      <c r="Q23" s="2961"/>
      <c r="R23" s="2717"/>
      <c r="S23" s="2717"/>
      <c r="T23" s="1532" t="s">
        <v>1417</v>
      </c>
      <c r="U23" s="1768">
        <v>65133333</v>
      </c>
      <c r="V23" s="1769">
        <v>65133325</v>
      </c>
      <c r="W23" s="1773">
        <v>65133325</v>
      </c>
      <c r="X23" s="1451" t="s">
        <v>1252</v>
      </c>
      <c r="Y23" s="2009" t="s">
        <v>1809</v>
      </c>
      <c r="Z23" s="2958"/>
      <c r="AA23" s="2666"/>
      <c r="AB23" s="2960"/>
      <c r="AC23" s="2666"/>
      <c r="AD23" s="2960"/>
      <c r="AE23" s="2666"/>
      <c r="AF23" s="2960"/>
      <c r="AG23" s="2666"/>
      <c r="AH23" s="2960"/>
      <c r="AI23" s="2666"/>
      <c r="AJ23" s="2960"/>
      <c r="AK23" s="2666"/>
      <c r="AL23" s="2960"/>
      <c r="AM23" s="2666"/>
      <c r="AN23" s="2960"/>
      <c r="AO23" s="2666"/>
      <c r="AP23" s="2960"/>
      <c r="AQ23" s="2666"/>
      <c r="AR23" s="2960"/>
      <c r="AS23" s="2666"/>
      <c r="AT23" s="2960"/>
      <c r="AU23" s="2666"/>
      <c r="AV23" s="2960"/>
      <c r="AW23" s="2666"/>
      <c r="AX23" s="2960"/>
      <c r="AY23" s="2666"/>
      <c r="AZ23" s="2960"/>
      <c r="BA23" s="2666"/>
      <c r="BB23" s="2960"/>
      <c r="BC23" s="2666"/>
      <c r="BD23" s="2960"/>
      <c r="BE23" s="2972"/>
      <c r="BF23" s="2751"/>
      <c r="BG23" s="2974"/>
      <c r="BH23" s="2974"/>
      <c r="BI23" s="2969"/>
      <c r="BJ23" s="2970"/>
      <c r="BK23" s="2595"/>
      <c r="BL23" s="2632"/>
      <c r="BM23" s="2632"/>
      <c r="BN23" s="2632"/>
      <c r="BO23" s="2632"/>
      <c r="BP23" s="2739"/>
    </row>
    <row r="24" spans="1:68" ht="63.75" customHeight="1" x14ac:dyDescent="0.25">
      <c r="A24" s="1334"/>
      <c r="B24" s="1518"/>
      <c r="C24" s="1519"/>
      <c r="D24" s="2950"/>
      <c r="E24" s="2951"/>
      <c r="F24" s="2952"/>
      <c r="G24" s="2618"/>
      <c r="H24" s="2620"/>
      <c r="I24" s="2698"/>
      <c r="J24" s="2717"/>
      <c r="K24" s="2953"/>
      <c r="L24" s="2955"/>
      <c r="M24" s="2625"/>
      <c r="N24" s="2626"/>
      <c r="O24" s="2698"/>
      <c r="P24" s="2715"/>
      <c r="Q24" s="2961"/>
      <c r="R24" s="2717"/>
      <c r="S24" s="2717"/>
      <c r="T24" s="1532" t="s">
        <v>1418</v>
      </c>
      <c r="U24" s="1768">
        <v>50486400</v>
      </c>
      <c r="V24" s="1773">
        <v>40460333</v>
      </c>
      <c r="W24" s="1773">
        <v>40460333</v>
      </c>
      <c r="X24" s="1771">
        <v>82</v>
      </c>
      <c r="Y24" s="2009" t="s">
        <v>1808</v>
      </c>
      <c r="Z24" s="2958"/>
      <c r="AA24" s="2666"/>
      <c r="AB24" s="2960"/>
      <c r="AC24" s="2666"/>
      <c r="AD24" s="2960"/>
      <c r="AE24" s="2666"/>
      <c r="AF24" s="2960"/>
      <c r="AG24" s="2666"/>
      <c r="AH24" s="2960"/>
      <c r="AI24" s="2666"/>
      <c r="AJ24" s="2960"/>
      <c r="AK24" s="2666"/>
      <c r="AL24" s="2960"/>
      <c r="AM24" s="2666"/>
      <c r="AN24" s="2960"/>
      <c r="AO24" s="2666"/>
      <c r="AP24" s="2960"/>
      <c r="AQ24" s="2666"/>
      <c r="AR24" s="2960"/>
      <c r="AS24" s="2666"/>
      <c r="AT24" s="2960"/>
      <c r="AU24" s="2666"/>
      <c r="AV24" s="2960"/>
      <c r="AW24" s="2666"/>
      <c r="AX24" s="2960"/>
      <c r="AY24" s="2666"/>
      <c r="AZ24" s="2960"/>
      <c r="BA24" s="2666"/>
      <c r="BB24" s="2960"/>
      <c r="BC24" s="2666"/>
      <c r="BD24" s="2960"/>
      <c r="BE24" s="2972"/>
      <c r="BF24" s="2751"/>
      <c r="BG24" s="2974"/>
      <c r="BH24" s="2974"/>
      <c r="BI24" s="2969"/>
      <c r="BJ24" s="2970"/>
      <c r="BK24" s="2595"/>
      <c r="BL24" s="2632"/>
      <c r="BM24" s="2632"/>
      <c r="BN24" s="2632"/>
      <c r="BO24" s="2632"/>
      <c r="BP24" s="2739"/>
    </row>
    <row r="25" spans="1:68" ht="64.5" customHeight="1" x14ac:dyDescent="0.25">
      <c r="A25" s="1334"/>
      <c r="B25" s="1518"/>
      <c r="C25" s="1519"/>
      <c r="D25" s="2950"/>
      <c r="E25" s="2951"/>
      <c r="F25" s="2952"/>
      <c r="G25" s="2618"/>
      <c r="H25" s="2620"/>
      <c r="I25" s="2698"/>
      <c r="J25" s="2717"/>
      <c r="K25" s="2953"/>
      <c r="L25" s="2955"/>
      <c r="M25" s="2625"/>
      <c r="N25" s="2626"/>
      <c r="O25" s="2698"/>
      <c r="P25" s="2715"/>
      <c r="Q25" s="2961"/>
      <c r="R25" s="2717"/>
      <c r="S25" s="2717"/>
      <c r="T25" s="1532" t="s">
        <v>1419</v>
      </c>
      <c r="U25" s="1768">
        <v>25560000</v>
      </c>
      <c r="V25" s="1769">
        <v>25560000</v>
      </c>
      <c r="W25" s="1769">
        <v>25560000</v>
      </c>
      <c r="X25" s="1451" t="s">
        <v>1252</v>
      </c>
      <c r="Y25" s="2009" t="s">
        <v>1809</v>
      </c>
      <c r="Z25" s="2958"/>
      <c r="AA25" s="2666"/>
      <c r="AB25" s="2960"/>
      <c r="AC25" s="2666"/>
      <c r="AD25" s="2960"/>
      <c r="AE25" s="2666"/>
      <c r="AF25" s="2960"/>
      <c r="AG25" s="2666"/>
      <c r="AH25" s="2960"/>
      <c r="AI25" s="2666"/>
      <c r="AJ25" s="2960"/>
      <c r="AK25" s="2666"/>
      <c r="AL25" s="2960"/>
      <c r="AM25" s="2666"/>
      <c r="AN25" s="2960"/>
      <c r="AO25" s="2666"/>
      <c r="AP25" s="2960"/>
      <c r="AQ25" s="2666"/>
      <c r="AR25" s="2960"/>
      <c r="AS25" s="2666"/>
      <c r="AT25" s="2960"/>
      <c r="AU25" s="2666"/>
      <c r="AV25" s="2960"/>
      <c r="AW25" s="2666"/>
      <c r="AX25" s="2960"/>
      <c r="AY25" s="2666"/>
      <c r="AZ25" s="2960"/>
      <c r="BA25" s="2666"/>
      <c r="BB25" s="2960"/>
      <c r="BC25" s="2666"/>
      <c r="BD25" s="2960"/>
      <c r="BE25" s="2972"/>
      <c r="BF25" s="2751"/>
      <c r="BG25" s="2974"/>
      <c r="BH25" s="2974"/>
      <c r="BI25" s="2969"/>
      <c r="BJ25" s="2970"/>
      <c r="BK25" s="2595"/>
      <c r="BL25" s="2632"/>
      <c r="BM25" s="2632"/>
      <c r="BN25" s="2632"/>
      <c r="BO25" s="2632"/>
      <c r="BP25" s="2739"/>
    </row>
    <row r="26" spans="1:68" ht="84.6" customHeight="1" x14ac:dyDescent="0.25">
      <c r="A26" s="1334"/>
      <c r="B26" s="1518"/>
      <c r="C26" s="1519"/>
      <c r="D26" s="2950"/>
      <c r="E26" s="2951"/>
      <c r="F26" s="2952"/>
      <c r="G26" s="2618"/>
      <c r="H26" s="2620"/>
      <c r="I26" s="2698"/>
      <c r="J26" s="2717"/>
      <c r="K26" s="2953"/>
      <c r="L26" s="2955"/>
      <c r="M26" s="2625"/>
      <c r="N26" s="2626"/>
      <c r="O26" s="2698"/>
      <c r="P26" s="2715"/>
      <c r="Q26" s="2961"/>
      <c r="R26" s="2717"/>
      <c r="S26" s="2717"/>
      <c r="T26" s="1532" t="s">
        <v>1420</v>
      </c>
      <c r="U26" s="1774">
        <f>32887500</f>
        <v>32887500</v>
      </c>
      <c r="V26" s="1775">
        <v>30511667</v>
      </c>
      <c r="W26" s="1775">
        <v>30511667</v>
      </c>
      <c r="X26" s="74">
        <v>82</v>
      </c>
      <c r="Y26" s="2009" t="s">
        <v>1808</v>
      </c>
      <c r="Z26" s="2958"/>
      <c r="AA26" s="2666"/>
      <c r="AB26" s="2960"/>
      <c r="AC26" s="2666"/>
      <c r="AD26" s="2960"/>
      <c r="AE26" s="2666"/>
      <c r="AF26" s="2960"/>
      <c r="AG26" s="2666"/>
      <c r="AH26" s="2960"/>
      <c r="AI26" s="2666"/>
      <c r="AJ26" s="2960"/>
      <c r="AK26" s="2666"/>
      <c r="AL26" s="2960"/>
      <c r="AM26" s="2666"/>
      <c r="AN26" s="2960"/>
      <c r="AO26" s="2666"/>
      <c r="AP26" s="2960"/>
      <c r="AQ26" s="2666"/>
      <c r="AR26" s="2960"/>
      <c r="AS26" s="2666"/>
      <c r="AT26" s="2960"/>
      <c r="AU26" s="2666"/>
      <c r="AV26" s="2960"/>
      <c r="AW26" s="2666"/>
      <c r="AX26" s="2960"/>
      <c r="AY26" s="2666"/>
      <c r="AZ26" s="2960"/>
      <c r="BA26" s="2666"/>
      <c r="BB26" s="2960"/>
      <c r="BC26" s="2666"/>
      <c r="BD26" s="2960"/>
      <c r="BE26" s="2972"/>
      <c r="BF26" s="2751"/>
      <c r="BG26" s="2974"/>
      <c r="BH26" s="2974"/>
      <c r="BI26" s="2969"/>
      <c r="BJ26" s="2970"/>
      <c r="BK26" s="2595"/>
      <c r="BL26" s="2632"/>
      <c r="BM26" s="2632"/>
      <c r="BN26" s="2632"/>
      <c r="BO26" s="2632"/>
      <c r="BP26" s="2739"/>
    </row>
    <row r="27" spans="1:68" ht="115.5" customHeight="1" x14ac:dyDescent="0.25">
      <c r="A27" s="1334"/>
      <c r="B27" s="1518"/>
      <c r="C27" s="1519"/>
      <c r="D27" s="2950"/>
      <c r="E27" s="2951"/>
      <c r="F27" s="2952"/>
      <c r="G27" s="2618"/>
      <c r="H27" s="2620"/>
      <c r="I27" s="2698"/>
      <c r="J27" s="2717"/>
      <c r="K27" s="2953"/>
      <c r="L27" s="2955"/>
      <c r="M27" s="2625"/>
      <c r="N27" s="2626"/>
      <c r="O27" s="2698"/>
      <c r="P27" s="2715"/>
      <c r="Q27" s="2961"/>
      <c r="R27" s="2717"/>
      <c r="S27" s="2717"/>
      <c r="T27" s="1532" t="s">
        <v>1421</v>
      </c>
      <c r="U27" s="1768">
        <v>18070000</v>
      </c>
      <c r="V27" s="1773">
        <v>8800000</v>
      </c>
      <c r="W27" s="1773">
        <v>8800000</v>
      </c>
      <c r="X27" s="74">
        <v>82</v>
      </c>
      <c r="Y27" s="2009" t="s">
        <v>1808</v>
      </c>
      <c r="Z27" s="2958"/>
      <c r="AA27" s="2666"/>
      <c r="AB27" s="2960"/>
      <c r="AC27" s="2666"/>
      <c r="AD27" s="2960"/>
      <c r="AE27" s="2666"/>
      <c r="AF27" s="2960"/>
      <c r="AG27" s="2666"/>
      <c r="AH27" s="2960"/>
      <c r="AI27" s="2666"/>
      <c r="AJ27" s="2960"/>
      <c r="AK27" s="2666"/>
      <c r="AL27" s="2960"/>
      <c r="AM27" s="2666"/>
      <c r="AN27" s="2960"/>
      <c r="AO27" s="2666"/>
      <c r="AP27" s="2960"/>
      <c r="AQ27" s="2666"/>
      <c r="AR27" s="2960"/>
      <c r="AS27" s="2666"/>
      <c r="AT27" s="2960"/>
      <c r="AU27" s="2666"/>
      <c r="AV27" s="2960"/>
      <c r="AW27" s="2666"/>
      <c r="AX27" s="2960"/>
      <c r="AY27" s="2666"/>
      <c r="AZ27" s="2960"/>
      <c r="BA27" s="2666"/>
      <c r="BB27" s="2960"/>
      <c r="BC27" s="2666"/>
      <c r="BD27" s="2960"/>
      <c r="BE27" s="2972"/>
      <c r="BF27" s="2751"/>
      <c r="BG27" s="2974"/>
      <c r="BH27" s="2974"/>
      <c r="BI27" s="2969"/>
      <c r="BJ27" s="2970"/>
      <c r="BK27" s="2595"/>
      <c r="BL27" s="2632"/>
      <c r="BM27" s="2632"/>
      <c r="BN27" s="2632"/>
      <c r="BO27" s="2632"/>
      <c r="BP27" s="2739"/>
    </row>
    <row r="28" spans="1:68" ht="55.15" customHeight="1" x14ac:dyDescent="0.25">
      <c r="A28" s="1334"/>
      <c r="B28" s="1518"/>
      <c r="C28" s="1519"/>
      <c r="D28" s="2950"/>
      <c r="E28" s="2951"/>
      <c r="F28" s="2952"/>
      <c r="G28" s="2618"/>
      <c r="H28" s="2620"/>
      <c r="I28" s="2698"/>
      <c r="J28" s="2717"/>
      <c r="K28" s="2953"/>
      <c r="L28" s="2955"/>
      <c r="M28" s="2625"/>
      <c r="N28" s="2626"/>
      <c r="O28" s="2698"/>
      <c r="P28" s="2715"/>
      <c r="Q28" s="2961"/>
      <c r="R28" s="2717"/>
      <c r="S28" s="2717"/>
      <c r="T28" s="1532" t="s">
        <v>1422</v>
      </c>
      <c r="U28" s="1768">
        <v>4800000</v>
      </c>
      <c r="V28" s="1773">
        <v>4800000</v>
      </c>
      <c r="W28" s="1773">
        <v>4800000</v>
      </c>
      <c r="X28" s="1451" t="s">
        <v>1252</v>
      </c>
      <c r="Y28" s="2009" t="s">
        <v>1809</v>
      </c>
      <c r="Z28" s="2958"/>
      <c r="AA28" s="2666"/>
      <c r="AB28" s="2960"/>
      <c r="AC28" s="2666"/>
      <c r="AD28" s="2960"/>
      <c r="AE28" s="2666"/>
      <c r="AF28" s="2960"/>
      <c r="AG28" s="2666"/>
      <c r="AH28" s="2960"/>
      <c r="AI28" s="2666"/>
      <c r="AJ28" s="2960"/>
      <c r="AK28" s="2666"/>
      <c r="AL28" s="2960"/>
      <c r="AM28" s="2666"/>
      <c r="AN28" s="2960"/>
      <c r="AO28" s="2666"/>
      <c r="AP28" s="2960"/>
      <c r="AQ28" s="2666"/>
      <c r="AR28" s="2960"/>
      <c r="AS28" s="2666"/>
      <c r="AT28" s="2960"/>
      <c r="AU28" s="2666"/>
      <c r="AV28" s="2960"/>
      <c r="AW28" s="2666"/>
      <c r="AX28" s="2960"/>
      <c r="AY28" s="2666"/>
      <c r="AZ28" s="2960"/>
      <c r="BA28" s="2666"/>
      <c r="BB28" s="2960"/>
      <c r="BC28" s="2666"/>
      <c r="BD28" s="2960"/>
      <c r="BE28" s="2972"/>
      <c r="BF28" s="2751"/>
      <c r="BG28" s="2974"/>
      <c r="BH28" s="2974"/>
      <c r="BI28" s="2969"/>
      <c r="BJ28" s="2970"/>
      <c r="BK28" s="2595"/>
      <c r="BL28" s="2632"/>
      <c r="BM28" s="2632"/>
      <c r="BN28" s="2632"/>
      <c r="BO28" s="2632"/>
      <c r="BP28" s="2739"/>
    </row>
    <row r="29" spans="1:68" ht="52.5" customHeight="1" x14ac:dyDescent="0.25">
      <c r="A29" s="1334"/>
      <c r="B29" s="1518"/>
      <c r="C29" s="1519"/>
      <c r="D29" s="2950"/>
      <c r="E29" s="2951"/>
      <c r="F29" s="2952"/>
      <c r="G29" s="2618"/>
      <c r="H29" s="2620"/>
      <c r="I29" s="2698"/>
      <c r="J29" s="2717"/>
      <c r="K29" s="2953"/>
      <c r="L29" s="2955"/>
      <c r="M29" s="2625"/>
      <c r="N29" s="2626"/>
      <c r="O29" s="2698"/>
      <c r="P29" s="2715"/>
      <c r="Q29" s="2961"/>
      <c r="R29" s="2717"/>
      <c r="S29" s="2717"/>
      <c r="T29" s="2962" t="s">
        <v>1423</v>
      </c>
      <c r="U29" s="1774">
        <v>252303448.61000001</v>
      </c>
      <c r="V29" s="1769">
        <v>0</v>
      </c>
      <c r="W29" s="1769">
        <v>0</v>
      </c>
      <c r="X29" s="1451" t="s">
        <v>1252</v>
      </c>
      <c r="Y29" s="2009" t="s">
        <v>1809</v>
      </c>
      <c r="Z29" s="2958"/>
      <c r="AA29" s="2666"/>
      <c r="AB29" s="2960"/>
      <c r="AC29" s="2666"/>
      <c r="AD29" s="2960"/>
      <c r="AE29" s="2666"/>
      <c r="AF29" s="2960"/>
      <c r="AG29" s="2666"/>
      <c r="AH29" s="2960"/>
      <c r="AI29" s="2666"/>
      <c r="AJ29" s="2960"/>
      <c r="AK29" s="2666"/>
      <c r="AL29" s="2960"/>
      <c r="AM29" s="2666"/>
      <c r="AN29" s="2960"/>
      <c r="AO29" s="2666"/>
      <c r="AP29" s="2960"/>
      <c r="AQ29" s="2666"/>
      <c r="AR29" s="2960"/>
      <c r="AS29" s="2666"/>
      <c r="AT29" s="2960"/>
      <c r="AU29" s="2666"/>
      <c r="AV29" s="2960"/>
      <c r="AW29" s="2666"/>
      <c r="AX29" s="2960"/>
      <c r="AY29" s="2666"/>
      <c r="AZ29" s="2960"/>
      <c r="BA29" s="2666"/>
      <c r="BB29" s="2960"/>
      <c r="BC29" s="2666"/>
      <c r="BD29" s="2960"/>
      <c r="BE29" s="2972"/>
      <c r="BF29" s="2751"/>
      <c r="BG29" s="2974"/>
      <c r="BH29" s="2974"/>
      <c r="BI29" s="2969"/>
      <c r="BJ29" s="2970"/>
      <c r="BK29" s="2595"/>
      <c r="BL29" s="2632"/>
      <c r="BM29" s="2632"/>
      <c r="BN29" s="2632"/>
      <c r="BO29" s="2632"/>
      <c r="BP29" s="2739"/>
    </row>
    <row r="30" spans="1:68" ht="63.75" customHeight="1" x14ac:dyDescent="0.25">
      <c r="A30" s="1334"/>
      <c r="B30" s="1518"/>
      <c r="C30" s="1519"/>
      <c r="D30" s="2950"/>
      <c r="E30" s="2951"/>
      <c r="F30" s="2952"/>
      <c r="G30" s="2618"/>
      <c r="H30" s="2620"/>
      <c r="I30" s="2698"/>
      <c r="J30" s="2717"/>
      <c r="K30" s="2953"/>
      <c r="L30" s="2955"/>
      <c r="M30" s="2625"/>
      <c r="N30" s="2626"/>
      <c r="O30" s="2698"/>
      <c r="P30" s="2715"/>
      <c r="Q30" s="2961"/>
      <c r="R30" s="2717"/>
      <c r="S30" s="2717"/>
      <c r="T30" s="2963"/>
      <c r="U30" s="1768">
        <v>8487206.7799999993</v>
      </c>
      <c r="V30" s="1769">
        <v>0</v>
      </c>
      <c r="W30" s="1769">
        <v>0</v>
      </c>
      <c r="X30" s="74">
        <v>82</v>
      </c>
      <c r="Y30" s="2009" t="s">
        <v>1808</v>
      </c>
      <c r="Z30" s="2958"/>
      <c r="AA30" s="2666"/>
      <c r="AB30" s="2960"/>
      <c r="AC30" s="2666"/>
      <c r="AD30" s="2960"/>
      <c r="AE30" s="2666"/>
      <c r="AF30" s="2960"/>
      <c r="AG30" s="2666"/>
      <c r="AH30" s="2960"/>
      <c r="AI30" s="2666"/>
      <c r="AJ30" s="2960"/>
      <c r="AK30" s="2666"/>
      <c r="AL30" s="2960"/>
      <c r="AM30" s="2666"/>
      <c r="AN30" s="2960"/>
      <c r="AO30" s="2666"/>
      <c r="AP30" s="2960"/>
      <c r="AQ30" s="2666"/>
      <c r="AR30" s="2960"/>
      <c r="AS30" s="2666"/>
      <c r="AT30" s="2960"/>
      <c r="AU30" s="2666"/>
      <c r="AV30" s="2960"/>
      <c r="AW30" s="2666"/>
      <c r="AX30" s="2960"/>
      <c r="AY30" s="2666"/>
      <c r="AZ30" s="2960"/>
      <c r="BA30" s="2666"/>
      <c r="BB30" s="2960"/>
      <c r="BC30" s="2666"/>
      <c r="BD30" s="2960"/>
      <c r="BE30" s="2972"/>
      <c r="BF30" s="2751"/>
      <c r="BG30" s="2974"/>
      <c r="BH30" s="2974"/>
      <c r="BI30" s="2969"/>
      <c r="BJ30" s="2970"/>
      <c r="BK30" s="2595"/>
      <c r="BL30" s="2632"/>
      <c r="BM30" s="2632"/>
      <c r="BN30" s="2632"/>
      <c r="BO30" s="2632"/>
      <c r="BP30" s="2739"/>
    </row>
    <row r="31" spans="1:68" ht="72" customHeight="1" x14ac:dyDescent="0.25">
      <c r="A31" s="1764"/>
      <c r="C31" s="1765"/>
      <c r="D31" s="2950"/>
      <c r="E31" s="2951"/>
      <c r="F31" s="2952"/>
      <c r="G31" s="2618"/>
      <c r="H31" s="2620"/>
      <c r="I31" s="2698"/>
      <c r="J31" s="2717"/>
      <c r="K31" s="2953"/>
      <c r="L31" s="2956"/>
      <c r="M31" s="2625"/>
      <c r="N31" s="2626"/>
      <c r="O31" s="2698"/>
      <c r="P31" s="2715"/>
      <c r="Q31" s="2961"/>
      <c r="R31" s="2717"/>
      <c r="S31" s="2717"/>
      <c r="T31" s="1532" t="s">
        <v>1424</v>
      </c>
      <c r="U31" s="1774">
        <v>0</v>
      </c>
      <c r="V31" s="1769">
        <v>0</v>
      </c>
      <c r="W31" s="1769">
        <v>0</v>
      </c>
      <c r="X31" s="1534"/>
      <c r="Y31" s="2010"/>
      <c r="Z31" s="2959"/>
      <c r="AA31" s="2666"/>
      <c r="AB31" s="2960"/>
      <c r="AC31" s="2666"/>
      <c r="AD31" s="2960"/>
      <c r="AE31" s="2666"/>
      <c r="AF31" s="2960"/>
      <c r="AG31" s="2666"/>
      <c r="AH31" s="2960"/>
      <c r="AI31" s="2666"/>
      <c r="AJ31" s="2960"/>
      <c r="AK31" s="2666"/>
      <c r="AL31" s="2960"/>
      <c r="AM31" s="2666"/>
      <c r="AN31" s="2960"/>
      <c r="AO31" s="2666"/>
      <c r="AP31" s="2960"/>
      <c r="AQ31" s="2666"/>
      <c r="AR31" s="2960"/>
      <c r="AS31" s="2666"/>
      <c r="AT31" s="2960"/>
      <c r="AU31" s="2666"/>
      <c r="AV31" s="2960"/>
      <c r="AW31" s="2666"/>
      <c r="AX31" s="2960"/>
      <c r="AY31" s="2666"/>
      <c r="AZ31" s="2960"/>
      <c r="BA31" s="2666"/>
      <c r="BB31" s="2960"/>
      <c r="BC31" s="2666"/>
      <c r="BD31" s="2960"/>
      <c r="BE31" s="2972"/>
      <c r="BF31" s="2751"/>
      <c r="BG31" s="2975"/>
      <c r="BH31" s="2975"/>
      <c r="BI31" s="2969"/>
      <c r="BJ31" s="2970"/>
      <c r="BK31" s="2971"/>
      <c r="BL31" s="2756"/>
      <c r="BM31" s="2756"/>
      <c r="BN31" s="2756"/>
      <c r="BO31" s="2756"/>
      <c r="BP31" s="2740"/>
    </row>
    <row r="32" spans="1:68" s="184" customFormat="1" ht="27" customHeight="1" x14ac:dyDescent="0.25">
      <c r="A32" s="45"/>
      <c r="B32" s="275"/>
      <c r="C32" s="1627"/>
      <c r="D32" s="1742">
        <v>25</v>
      </c>
      <c r="E32" s="2964" t="s">
        <v>703</v>
      </c>
      <c r="F32" s="2965"/>
      <c r="G32" s="2965"/>
      <c r="H32" s="2965"/>
      <c r="I32" s="2965"/>
      <c r="J32" s="2965"/>
      <c r="K32" s="223"/>
      <c r="L32" s="223"/>
      <c r="M32" s="1776"/>
      <c r="N32" s="1777"/>
      <c r="O32" s="220"/>
      <c r="P32" s="228"/>
      <c r="Q32" s="1778"/>
      <c r="R32" s="328"/>
      <c r="S32" s="328"/>
      <c r="T32" s="220"/>
      <c r="U32" s="1779"/>
      <c r="V32" s="1779"/>
      <c r="W32" s="1779"/>
      <c r="X32" s="1780"/>
      <c r="Y32" s="1776"/>
      <c r="Z32" s="1330"/>
      <c r="AA32" s="1330"/>
      <c r="AB32" s="1330"/>
      <c r="AC32" s="1330"/>
      <c r="AD32" s="1330"/>
      <c r="AE32" s="1330"/>
      <c r="AF32" s="1330"/>
      <c r="AG32" s="1330"/>
      <c r="AH32" s="1330"/>
      <c r="AI32" s="1330"/>
      <c r="AJ32" s="1330"/>
      <c r="AK32" s="1330"/>
      <c r="AL32" s="1330"/>
      <c r="AM32" s="1330"/>
      <c r="AN32" s="1330"/>
      <c r="AO32" s="1330"/>
      <c r="AP32" s="1330"/>
      <c r="AQ32" s="1330"/>
      <c r="AR32" s="1330"/>
      <c r="AS32" s="1330"/>
      <c r="AT32" s="1330"/>
      <c r="AU32" s="1330"/>
      <c r="AV32" s="1330"/>
      <c r="AW32" s="1330"/>
      <c r="AX32" s="1330"/>
      <c r="AY32" s="1330"/>
      <c r="AZ32" s="1330"/>
      <c r="BA32" s="1330"/>
      <c r="BB32" s="1330"/>
      <c r="BC32" s="1330"/>
      <c r="BD32" s="1330"/>
      <c r="BE32" s="1330"/>
      <c r="BF32" s="414"/>
      <c r="BG32" s="1781"/>
      <c r="BH32" s="1782"/>
      <c r="BI32" s="1331"/>
      <c r="BJ32" s="1780"/>
      <c r="BK32" s="1330"/>
      <c r="BL32" s="1332"/>
      <c r="BM32" s="1332"/>
      <c r="BN32" s="1332"/>
      <c r="BO32" s="1332"/>
      <c r="BP32" s="1783"/>
    </row>
    <row r="33" spans="1:68" ht="133.5" customHeight="1" x14ac:dyDescent="0.25">
      <c r="A33" s="1334"/>
      <c r="B33" s="1518"/>
      <c r="C33" s="1519"/>
      <c r="D33" s="2966"/>
      <c r="E33" s="2951"/>
      <c r="F33" s="2968"/>
      <c r="G33" s="2618" t="s">
        <v>1425</v>
      </c>
      <c r="H33" s="2620" t="s">
        <v>1426</v>
      </c>
      <c r="I33" s="2698" t="s">
        <v>1427</v>
      </c>
      <c r="J33" s="2981" t="s">
        <v>1428</v>
      </c>
      <c r="K33" s="2984">
        <v>1</v>
      </c>
      <c r="L33" s="2985">
        <v>5</v>
      </c>
      <c r="M33" s="2751" t="s">
        <v>1429</v>
      </c>
      <c r="N33" s="2988" t="s">
        <v>1404</v>
      </c>
      <c r="O33" s="2724" t="s">
        <v>1405</v>
      </c>
      <c r="P33" s="2976">
        <f>Q33/SUM(Q16,Q33,Q37,Q51,Q92,Q107,Q110)</f>
        <v>2.5677345502517688E-2</v>
      </c>
      <c r="Q33" s="2977">
        <f>SUM(U33:U35)</f>
        <v>50000000</v>
      </c>
      <c r="R33" s="2725" t="s">
        <v>1406</v>
      </c>
      <c r="S33" s="2725" t="s">
        <v>1407</v>
      </c>
      <c r="T33" s="1529" t="s">
        <v>1430</v>
      </c>
      <c r="U33" s="1784">
        <v>22400000</v>
      </c>
      <c r="V33" s="1773">
        <v>11459999</v>
      </c>
      <c r="W33" s="1773">
        <v>11459999</v>
      </c>
      <c r="X33" s="2283">
        <v>20</v>
      </c>
      <c r="Y33" s="2002" t="s">
        <v>124</v>
      </c>
      <c r="Z33" s="2978">
        <v>295972</v>
      </c>
      <c r="AA33" s="2978"/>
      <c r="AB33" s="2995">
        <v>285580</v>
      </c>
      <c r="AC33" s="2978"/>
      <c r="AD33" s="2995">
        <v>135545</v>
      </c>
      <c r="AE33" s="2978"/>
      <c r="AF33" s="2995">
        <v>44254</v>
      </c>
      <c r="AG33" s="2978"/>
      <c r="AH33" s="2995">
        <v>309146</v>
      </c>
      <c r="AI33" s="2978"/>
      <c r="AJ33" s="2995">
        <v>92607</v>
      </c>
      <c r="AK33" s="2978"/>
      <c r="AL33" s="2995">
        <v>2145</v>
      </c>
      <c r="AM33" s="2978"/>
      <c r="AN33" s="2995">
        <v>12718</v>
      </c>
      <c r="AO33" s="2978"/>
      <c r="AP33" s="2998">
        <v>26</v>
      </c>
      <c r="AQ33" s="2978"/>
      <c r="AR33" s="2995">
        <v>37</v>
      </c>
      <c r="AS33" s="2978"/>
      <c r="AT33" s="2995">
        <v>0</v>
      </c>
      <c r="AU33" s="2978"/>
      <c r="AV33" s="2995">
        <v>0</v>
      </c>
      <c r="AW33" s="2978"/>
      <c r="AX33" s="2995">
        <v>44350</v>
      </c>
      <c r="AY33" s="2978"/>
      <c r="AZ33" s="2995">
        <v>21944</v>
      </c>
      <c r="BA33" s="2978"/>
      <c r="BB33" s="2995">
        <v>75687</v>
      </c>
      <c r="BC33" s="2978"/>
      <c r="BD33" s="2995">
        <f>+Z33+AB33</f>
        <v>581552</v>
      </c>
      <c r="BE33" s="2996"/>
      <c r="BF33" s="2751">
        <v>2</v>
      </c>
      <c r="BG33" s="2973">
        <f>+V33+V34+V35</f>
        <v>27099956</v>
      </c>
      <c r="BH33" s="2973">
        <f>+W33+W34+W35</f>
        <v>27099956</v>
      </c>
      <c r="BI33" s="2627">
        <f>BH33/BG33</f>
        <v>1</v>
      </c>
      <c r="BJ33" s="2992">
        <v>20</v>
      </c>
      <c r="BK33" s="2594" t="s">
        <v>1410</v>
      </c>
      <c r="BL33" s="3001">
        <v>44069</v>
      </c>
      <c r="BM33" s="3001">
        <v>44069</v>
      </c>
      <c r="BN33" s="2655">
        <v>44160</v>
      </c>
      <c r="BO33" s="2655">
        <v>44160</v>
      </c>
      <c r="BP33" s="2710" t="s">
        <v>1391</v>
      </c>
    </row>
    <row r="34" spans="1:68" ht="75.75" customHeight="1" x14ac:dyDescent="0.25">
      <c r="A34" s="1334"/>
      <c r="B34" s="1518"/>
      <c r="C34" s="1519"/>
      <c r="D34" s="2950"/>
      <c r="E34" s="2951"/>
      <c r="F34" s="2968"/>
      <c r="G34" s="2618"/>
      <c r="H34" s="2620"/>
      <c r="I34" s="2698"/>
      <c r="J34" s="2982"/>
      <c r="K34" s="2984"/>
      <c r="L34" s="2986"/>
      <c r="M34" s="2751"/>
      <c r="N34" s="2988"/>
      <c r="O34" s="2724"/>
      <c r="P34" s="2976"/>
      <c r="Q34" s="2977"/>
      <c r="R34" s="2725"/>
      <c r="S34" s="2725"/>
      <c r="T34" s="1528" t="s">
        <v>1418</v>
      </c>
      <c r="U34" s="1773">
        <v>12600000</v>
      </c>
      <c r="V34" s="1785">
        <v>10640000</v>
      </c>
      <c r="W34" s="1785">
        <v>10640000</v>
      </c>
      <c r="X34" s="2283">
        <v>20</v>
      </c>
      <c r="Y34" s="2002" t="s">
        <v>124</v>
      </c>
      <c r="Z34" s="2979"/>
      <c r="AA34" s="2979"/>
      <c r="AB34" s="2995"/>
      <c r="AC34" s="2979"/>
      <c r="AD34" s="2995"/>
      <c r="AE34" s="2979"/>
      <c r="AF34" s="2995"/>
      <c r="AG34" s="2979"/>
      <c r="AH34" s="2995"/>
      <c r="AI34" s="2979"/>
      <c r="AJ34" s="2995"/>
      <c r="AK34" s="2979"/>
      <c r="AL34" s="2995"/>
      <c r="AM34" s="2979"/>
      <c r="AN34" s="2995"/>
      <c r="AO34" s="2979"/>
      <c r="AP34" s="2998"/>
      <c r="AQ34" s="2979"/>
      <c r="AR34" s="2995"/>
      <c r="AS34" s="2979"/>
      <c r="AT34" s="2995"/>
      <c r="AU34" s="2979"/>
      <c r="AV34" s="2995"/>
      <c r="AW34" s="2979"/>
      <c r="AX34" s="2995"/>
      <c r="AY34" s="2979"/>
      <c r="AZ34" s="2995"/>
      <c r="BA34" s="2979"/>
      <c r="BB34" s="2995"/>
      <c r="BC34" s="2979"/>
      <c r="BD34" s="2995"/>
      <c r="BE34" s="2997"/>
      <c r="BF34" s="2751"/>
      <c r="BG34" s="2974"/>
      <c r="BH34" s="2974"/>
      <c r="BI34" s="2628"/>
      <c r="BJ34" s="2993"/>
      <c r="BK34" s="2595"/>
      <c r="BL34" s="3001"/>
      <c r="BM34" s="3001"/>
      <c r="BN34" s="2656"/>
      <c r="BO34" s="2656"/>
      <c r="BP34" s="2710"/>
    </row>
    <row r="35" spans="1:68" ht="76.5" customHeight="1" x14ac:dyDescent="0.25">
      <c r="A35" s="1764"/>
      <c r="C35" s="1765"/>
      <c r="D35" s="2967"/>
      <c r="E35" s="2951"/>
      <c r="F35" s="2968"/>
      <c r="G35" s="2618"/>
      <c r="H35" s="2620"/>
      <c r="I35" s="2698"/>
      <c r="J35" s="2983"/>
      <c r="K35" s="2984"/>
      <c r="L35" s="2987"/>
      <c r="M35" s="2751"/>
      <c r="N35" s="2988"/>
      <c r="O35" s="2724"/>
      <c r="P35" s="2976"/>
      <c r="Q35" s="2977"/>
      <c r="R35" s="2725"/>
      <c r="S35" s="2725"/>
      <c r="T35" s="1529" t="s">
        <v>1431</v>
      </c>
      <c r="U35" s="1773">
        <v>15000000</v>
      </c>
      <c r="V35" s="1769">
        <v>4999957</v>
      </c>
      <c r="W35" s="1769">
        <v>4999957</v>
      </c>
      <c r="X35" s="637">
        <v>88</v>
      </c>
      <c r="Y35" s="1999" t="s">
        <v>247</v>
      </c>
      <c r="Z35" s="2980"/>
      <c r="AA35" s="2979"/>
      <c r="AB35" s="2978"/>
      <c r="AC35" s="2979"/>
      <c r="AD35" s="2978"/>
      <c r="AE35" s="2979"/>
      <c r="AF35" s="2978"/>
      <c r="AG35" s="2979"/>
      <c r="AH35" s="2978"/>
      <c r="AI35" s="2979"/>
      <c r="AJ35" s="2978"/>
      <c r="AK35" s="2979"/>
      <c r="AL35" s="2978"/>
      <c r="AM35" s="2979"/>
      <c r="AN35" s="2978"/>
      <c r="AO35" s="2979"/>
      <c r="AP35" s="2999"/>
      <c r="AQ35" s="2979"/>
      <c r="AR35" s="2978"/>
      <c r="AS35" s="2979"/>
      <c r="AT35" s="2978"/>
      <c r="AU35" s="2979"/>
      <c r="AV35" s="2978"/>
      <c r="AW35" s="2979"/>
      <c r="AX35" s="2978"/>
      <c r="AY35" s="2979"/>
      <c r="AZ35" s="2978"/>
      <c r="BA35" s="2979"/>
      <c r="BB35" s="2978"/>
      <c r="BC35" s="2979"/>
      <c r="BD35" s="2978"/>
      <c r="BE35" s="2997"/>
      <c r="BF35" s="2751"/>
      <c r="BG35" s="2975"/>
      <c r="BH35" s="2975"/>
      <c r="BI35" s="2991"/>
      <c r="BJ35" s="2994"/>
      <c r="BK35" s="2971"/>
      <c r="BL35" s="3001"/>
      <c r="BM35" s="3001"/>
      <c r="BN35" s="2657"/>
      <c r="BO35" s="2657"/>
      <c r="BP35" s="2710"/>
    </row>
    <row r="36" spans="1:68" s="184" customFormat="1" ht="27" customHeight="1" x14ac:dyDescent="0.25">
      <c r="A36" s="45"/>
      <c r="B36" s="275"/>
      <c r="C36" s="1627"/>
      <c r="D36" s="1742">
        <v>39</v>
      </c>
      <c r="E36" s="2989" t="s">
        <v>602</v>
      </c>
      <c r="F36" s="2990"/>
      <c r="G36" s="2990"/>
      <c r="H36" s="2990"/>
      <c r="I36" s="2990"/>
      <c r="J36" s="2990"/>
      <c r="K36" s="223"/>
      <c r="L36" s="223"/>
      <c r="M36" s="1786"/>
      <c r="N36" s="1094"/>
      <c r="O36" s="278"/>
      <c r="P36" s="281"/>
      <c r="Q36" s="1787"/>
      <c r="R36" s="286"/>
      <c r="S36" s="286"/>
      <c r="T36" s="278"/>
      <c r="U36" s="1788"/>
      <c r="V36" s="1788"/>
      <c r="W36" s="1788"/>
      <c r="X36" s="1789"/>
      <c r="Y36" s="1786"/>
      <c r="Z36" s="414"/>
      <c r="AA36" s="414"/>
      <c r="AB36" s="414"/>
      <c r="AC36" s="414"/>
      <c r="AD36" s="414"/>
      <c r="AE36" s="414"/>
      <c r="AF36" s="414"/>
      <c r="AG36" s="414"/>
      <c r="AH36" s="414"/>
      <c r="AI36" s="414"/>
      <c r="AJ36" s="414"/>
      <c r="AK36" s="414"/>
      <c r="AL36" s="414"/>
      <c r="AM36" s="414"/>
      <c r="AN36" s="414"/>
      <c r="AO36" s="414"/>
      <c r="AP36" s="414"/>
      <c r="AQ36" s="414"/>
      <c r="AR36" s="414"/>
      <c r="AS36" s="414"/>
      <c r="AT36" s="414"/>
      <c r="AU36" s="414"/>
      <c r="AV36" s="414"/>
      <c r="AW36" s="414"/>
      <c r="AX36" s="414"/>
      <c r="AY36" s="414"/>
      <c r="AZ36" s="414"/>
      <c r="BA36" s="414"/>
      <c r="BB36" s="414"/>
      <c r="BC36" s="414"/>
      <c r="BD36" s="414"/>
      <c r="BE36" s="1790"/>
      <c r="BF36" s="414"/>
      <c r="BG36" s="1781"/>
      <c r="BH36" s="1782"/>
      <c r="BI36" s="1331"/>
      <c r="BJ36" s="1789"/>
      <c r="BK36" s="1791"/>
      <c r="BL36" s="1792"/>
      <c r="BM36" s="1792"/>
      <c r="BN36" s="1792"/>
      <c r="BO36" s="1792"/>
      <c r="BP36" s="1793"/>
    </row>
    <row r="37" spans="1:68" ht="70.150000000000006" customHeight="1" x14ac:dyDescent="0.25">
      <c r="A37" s="1334"/>
      <c r="B37" s="1518"/>
      <c r="C37" s="1519"/>
      <c r="D37" s="2950"/>
      <c r="E37" s="2951"/>
      <c r="F37" s="2952"/>
      <c r="G37" s="2618" t="s">
        <v>64</v>
      </c>
      <c r="H37" s="2620" t="s">
        <v>1432</v>
      </c>
      <c r="I37" s="3000" t="s">
        <v>1433</v>
      </c>
      <c r="J37" s="2717" t="s">
        <v>605</v>
      </c>
      <c r="K37" s="2953">
        <v>3</v>
      </c>
      <c r="L37" s="2954">
        <v>3</v>
      </c>
      <c r="M37" s="3016" t="s">
        <v>1434</v>
      </c>
      <c r="N37" s="3018" t="s">
        <v>1404</v>
      </c>
      <c r="O37" s="3021" t="s">
        <v>1405</v>
      </c>
      <c r="P37" s="3023">
        <f>Q37/SUM(Q16,Q33,Q37,Q51,Q92,Q107,Q110)</f>
        <v>0.50215160777148882</v>
      </c>
      <c r="Q37" s="3002">
        <f>SUM(U37:U49)</f>
        <v>977810591.28999996</v>
      </c>
      <c r="R37" s="3005" t="s">
        <v>1406</v>
      </c>
      <c r="S37" s="3007" t="s">
        <v>1407</v>
      </c>
      <c r="T37" s="1539" t="s">
        <v>1435</v>
      </c>
      <c r="U37" s="1784">
        <v>25000000</v>
      </c>
      <c r="V37" s="1773">
        <v>15026308.9</v>
      </c>
      <c r="W37" s="1773">
        <v>15026308.9</v>
      </c>
      <c r="X37" s="1451" t="s">
        <v>1252</v>
      </c>
      <c r="Y37" s="2009" t="s">
        <v>1809</v>
      </c>
      <c r="Z37" s="3010">
        <v>295972</v>
      </c>
      <c r="AA37" s="3013"/>
      <c r="AB37" s="3010">
        <v>285580</v>
      </c>
      <c r="AC37" s="3013"/>
      <c r="AD37" s="3010">
        <v>135545</v>
      </c>
      <c r="AE37" s="3013"/>
      <c r="AF37" s="3010">
        <v>44254</v>
      </c>
      <c r="AG37" s="3013"/>
      <c r="AH37" s="3010">
        <v>309146</v>
      </c>
      <c r="AI37" s="3013"/>
      <c r="AJ37" s="3010">
        <v>92607</v>
      </c>
      <c r="AK37" s="3013"/>
      <c r="AL37" s="3010">
        <v>2145</v>
      </c>
      <c r="AM37" s="3013"/>
      <c r="AN37" s="3010">
        <v>12718</v>
      </c>
      <c r="AO37" s="3013"/>
      <c r="AP37" s="3010">
        <v>26</v>
      </c>
      <c r="AQ37" s="3013"/>
      <c r="AR37" s="3010">
        <v>37</v>
      </c>
      <c r="AS37" s="3013"/>
      <c r="AT37" s="3010">
        <v>0</v>
      </c>
      <c r="AU37" s="3013"/>
      <c r="AV37" s="3010">
        <v>0</v>
      </c>
      <c r="AW37" s="3013"/>
      <c r="AX37" s="3010">
        <v>44350</v>
      </c>
      <c r="AY37" s="3013"/>
      <c r="AZ37" s="3010">
        <v>21944</v>
      </c>
      <c r="BA37" s="3013"/>
      <c r="BB37" s="3010">
        <v>75687</v>
      </c>
      <c r="BC37" s="3013"/>
      <c r="BD37" s="3010">
        <f>+Z37+AB37</f>
        <v>581552</v>
      </c>
      <c r="BE37" s="3013"/>
      <c r="BF37" s="2594">
        <v>52</v>
      </c>
      <c r="BG37" s="2973">
        <f>+V37+V38+V39+V40+V41+V42+V43+V44+V45+V46+V47+V48+V49</f>
        <v>514072133.89999998</v>
      </c>
      <c r="BH37" s="2973">
        <f>+W37+W38+W39+W40+W41+W42+W43+W44+W45+W46+W47+W48+W49</f>
        <v>483088367.89999998</v>
      </c>
      <c r="BI37" s="2627">
        <f>BH37/BG37</f>
        <v>0.93972875797615762</v>
      </c>
      <c r="BJ37" s="2992">
        <v>4</v>
      </c>
      <c r="BK37" s="2594" t="s">
        <v>1410</v>
      </c>
      <c r="BL37" s="3026">
        <v>43857</v>
      </c>
      <c r="BM37" s="3026">
        <v>43857</v>
      </c>
      <c r="BN37" s="3026">
        <v>44196</v>
      </c>
      <c r="BO37" s="3026">
        <v>44196</v>
      </c>
      <c r="BP37" s="2738" t="s">
        <v>1391</v>
      </c>
    </row>
    <row r="38" spans="1:68" ht="78" customHeight="1" x14ac:dyDescent="0.25">
      <c r="A38" s="1334"/>
      <c r="B38" s="1518"/>
      <c r="C38" s="1519"/>
      <c r="D38" s="2950"/>
      <c r="E38" s="2951"/>
      <c r="F38" s="2952"/>
      <c r="G38" s="2618"/>
      <c r="H38" s="2620"/>
      <c r="I38" s="3000"/>
      <c r="J38" s="2717"/>
      <c r="K38" s="2953"/>
      <c r="L38" s="2955"/>
      <c r="M38" s="2623"/>
      <c r="N38" s="3019"/>
      <c r="O38" s="2831"/>
      <c r="P38" s="3024"/>
      <c r="Q38" s="3003"/>
      <c r="R38" s="2864"/>
      <c r="S38" s="3008"/>
      <c r="T38" s="1539" t="s">
        <v>1436</v>
      </c>
      <c r="U38" s="1784">
        <f>29725314.58+10274685</f>
        <v>39999999.579999998</v>
      </c>
      <c r="V38" s="1773">
        <v>10500000</v>
      </c>
      <c r="W38" s="1773">
        <v>10500000</v>
      </c>
      <c r="X38" s="1451" t="s">
        <v>1252</v>
      </c>
      <c r="Y38" s="2009" t="s">
        <v>1809</v>
      </c>
      <c r="Z38" s="3011"/>
      <c r="AA38" s="3014"/>
      <c r="AB38" s="3011"/>
      <c r="AC38" s="3014"/>
      <c r="AD38" s="3011"/>
      <c r="AE38" s="3014"/>
      <c r="AF38" s="3011"/>
      <c r="AG38" s="3014"/>
      <c r="AH38" s="3011"/>
      <c r="AI38" s="3014"/>
      <c r="AJ38" s="3011"/>
      <c r="AK38" s="3014"/>
      <c r="AL38" s="3011"/>
      <c r="AM38" s="3014"/>
      <c r="AN38" s="3011"/>
      <c r="AO38" s="3014"/>
      <c r="AP38" s="3011"/>
      <c r="AQ38" s="3014"/>
      <c r="AR38" s="3011"/>
      <c r="AS38" s="3014"/>
      <c r="AT38" s="3011"/>
      <c r="AU38" s="3014"/>
      <c r="AV38" s="3011"/>
      <c r="AW38" s="3014"/>
      <c r="AX38" s="3011"/>
      <c r="AY38" s="3014"/>
      <c r="AZ38" s="3011"/>
      <c r="BA38" s="3014"/>
      <c r="BB38" s="3011"/>
      <c r="BC38" s="3014"/>
      <c r="BD38" s="3011"/>
      <c r="BE38" s="3014"/>
      <c r="BF38" s="2595"/>
      <c r="BG38" s="2974"/>
      <c r="BH38" s="2974"/>
      <c r="BI38" s="2628"/>
      <c r="BJ38" s="2993"/>
      <c r="BK38" s="2595"/>
      <c r="BL38" s="3027"/>
      <c r="BM38" s="3027"/>
      <c r="BN38" s="3027"/>
      <c r="BO38" s="3027"/>
      <c r="BP38" s="2739"/>
    </row>
    <row r="39" spans="1:68" ht="45" x14ac:dyDescent="0.25">
      <c r="A39" s="1334"/>
      <c r="B39" s="1518"/>
      <c r="C39" s="1519"/>
      <c r="D39" s="2950"/>
      <c r="E39" s="2951"/>
      <c r="F39" s="2952"/>
      <c r="G39" s="2618"/>
      <c r="H39" s="2620"/>
      <c r="I39" s="3000"/>
      <c r="J39" s="2717"/>
      <c r="K39" s="2953"/>
      <c r="L39" s="2955"/>
      <c r="M39" s="2623"/>
      <c r="N39" s="3019"/>
      <c r="O39" s="2831"/>
      <c r="P39" s="3024"/>
      <c r="Q39" s="3003"/>
      <c r="R39" s="2864"/>
      <c r="S39" s="3008"/>
      <c r="T39" s="1539" t="s">
        <v>1412</v>
      </c>
      <c r="U39" s="1784">
        <v>14417000</v>
      </c>
      <c r="V39" s="1773">
        <v>14417000</v>
      </c>
      <c r="W39" s="1773">
        <v>14417000</v>
      </c>
      <c r="X39" s="1451" t="s">
        <v>1252</v>
      </c>
      <c r="Y39" s="2009" t="s">
        <v>1809</v>
      </c>
      <c r="Z39" s="3011"/>
      <c r="AA39" s="3014"/>
      <c r="AB39" s="3011"/>
      <c r="AC39" s="3014"/>
      <c r="AD39" s="3011"/>
      <c r="AE39" s="3014"/>
      <c r="AF39" s="3011"/>
      <c r="AG39" s="3014"/>
      <c r="AH39" s="3011"/>
      <c r="AI39" s="3014"/>
      <c r="AJ39" s="3011"/>
      <c r="AK39" s="3014"/>
      <c r="AL39" s="3011"/>
      <c r="AM39" s="3014"/>
      <c r="AN39" s="3011"/>
      <c r="AO39" s="3014"/>
      <c r="AP39" s="3011"/>
      <c r="AQ39" s="3014"/>
      <c r="AR39" s="3011"/>
      <c r="AS39" s="3014"/>
      <c r="AT39" s="3011"/>
      <c r="AU39" s="3014"/>
      <c r="AV39" s="3011"/>
      <c r="AW39" s="3014"/>
      <c r="AX39" s="3011"/>
      <c r="AY39" s="3014"/>
      <c r="AZ39" s="3011"/>
      <c r="BA39" s="3014"/>
      <c r="BB39" s="3011"/>
      <c r="BC39" s="3014"/>
      <c r="BD39" s="3011"/>
      <c r="BE39" s="3014"/>
      <c r="BF39" s="2595"/>
      <c r="BG39" s="2974"/>
      <c r="BH39" s="2974"/>
      <c r="BI39" s="2628"/>
      <c r="BJ39" s="2993"/>
      <c r="BK39" s="2595"/>
      <c r="BL39" s="3027"/>
      <c r="BM39" s="3027"/>
      <c r="BN39" s="3027"/>
      <c r="BO39" s="3027"/>
      <c r="BP39" s="2739"/>
    </row>
    <row r="40" spans="1:68" ht="75" x14ac:dyDescent="0.25">
      <c r="A40" s="1334"/>
      <c r="B40" s="1518"/>
      <c r="C40" s="1519"/>
      <c r="D40" s="2950"/>
      <c r="E40" s="2951"/>
      <c r="F40" s="2952"/>
      <c r="G40" s="2618"/>
      <c r="H40" s="2620"/>
      <c r="I40" s="3000"/>
      <c r="J40" s="2717"/>
      <c r="K40" s="2953"/>
      <c r="L40" s="2955"/>
      <c r="M40" s="2623"/>
      <c r="N40" s="3019"/>
      <c r="O40" s="2831"/>
      <c r="P40" s="3024"/>
      <c r="Q40" s="3003"/>
      <c r="R40" s="2864"/>
      <c r="S40" s="3008"/>
      <c r="T40" s="1539" t="s">
        <v>1437</v>
      </c>
      <c r="U40" s="1784">
        <v>72627000</v>
      </c>
      <c r="V40" s="1773">
        <v>49886033</v>
      </c>
      <c r="W40" s="1773">
        <v>49886033</v>
      </c>
      <c r="X40" s="1451" t="s">
        <v>1252</v>
      </c>
      <c r="Y40" s="2009" t="s">
        <v>1809</v>
      </c>
      <c r="Z40" s="3011"/>
      <c r="AA40" s="3014"/>
      <c r="AB40" s="3011"/>
      <c r="AC40" s="3014"/>
      <c r="AD40" s="3011"/>
      <c r="AE40" s="3014"/>
      <c r="AF40" s="3011"/>
      <c r="AG40" s="3014"/>
      <c r="AH40" s="3011"/>
      <c r="AI40" s="3014"/>
      <c r="AJ40" s="3011"/>
      <c r="AK40" s="3014"/>
      <c r="AL40" s="3011"/>
      <c r="AM40" s="3014"/>
      <c r="AN40" s="3011"/>
      <c r="AO40" s="3014"/>
      <c r="AP40" s="3011"/>
      <c r="AQ40" s="3014"/>
      <c r="AR40" s="3011"/>
      <c r="AS40" s="3014"/>
      <c r="AT40" s="3011"/>
      <c r="AU40" s="3014"/>
      <c r="AV40" s="3011"/>
      <c r="AW40" s="3014"/>
      <c r="AX40" s="3011"/>
      <c r="AY40" s="3014"/>
      <c r="AZ40" s="3011"/>
      <c r="BA40" s="3014"/>
      <c r="BB40" s="3011"/>
      <c r="BC40" s="3014"/>
      <c r="BD40" s="3011"/>
      <c r="BE40" s="3014"/>
      <c r="BF40" s="2595"/>
      <c r="BG40" s="2974"/>
      <c r="BH40" s="2974"/>
      <c r="BI40" s="2628"/>
      <c r="BJ40" s="2993"/>
      <c r="BK40" s="2595"/>
      <c r="BL40" s="3027"/>
      <c r="BM40" s="3027"/>
      <c r="BN40" s="3027"/>
      <c r="BO40" s="3027"/>
      <c r="BP40" s="2739"/>
    </row>
    <row r="41" spans="1:68" ht="45" x14ac:dyDescent="0.25">
      <c r="A41" s="1334"/>
      <c r="B41" s="1518"/>
      <c r="C41" s="1519"/>
      <c r="D41" s="2950"/>
      <c r="E41" s="2951"/>
      <c r="F41" s="2952"/>
      <c r="G41" s="2618"/>
      <c r="H41" s="2620"/>
      <c r="I41" s="3000"/>
      <c r="J41" s="2717"/>
      <c r="K41" s="2953"/>
      <c r="L41" s="2955"/>
      <c r="M41" s="2623"/>
      <c r="N41" s="3019"/>
      <c r="O41" s="2831"/>
      <c r="P41" s="3024"/>
      <c r="Q41" s="3003"/>
      <c r="R41" s="2864"/>
      <c r="S41" s="3008"/>
      <c r="T41" s="1539" t="s">
        <v>1438</v>
      </c>
      <c r="U41" s="1784">
        <v>15600000</v>
      </c>
      <c r="V41" s="1773">
        <v>15600000</v>
      </c>
      <c r="W41" s="1773">
        <v>15600000</v>
      </c>
      <c r="X41" s="1451" t="s">
        <v>1252</v>
      </c>
      <c r="Y41" s="2009" t="s">
        <v>1809</v>
      </c>
      <c r="Z41" s="3011"/>
      <c r="AA41" s="3014"/>
      <c r="AB41" s="3011"/>
      <c r="AC41" s="3014"/>
      <c r="AD41" s="3011"/>
      <c r="AE41" s="3014"/>
      <c r="AF41" s="3011"/>
      <c r="AG41" s="3014"/>
      <c r="AH41" s="3011"/>
      <c r="AI41" s="3014"/>
      <c r="AJ41" s="3011"/>
      <c r="AK41" s="3014"/>
      <c r="AL41" s="3011"/>
      <c r="AM41" s="3014"/>
      <c r="AN41" s="3011"/>
      <c r="AO41" s="3014"/>
      <c r="AP41" s="3011"/>
      <c r="AQ41" s="3014"/>
      <c r="AR41" s="3011"/>
      <c r="AS41" s="3014"/>
      <c r="AT41" s="3011"/>
      <c r="AU41" s="3014"/>
      <c r="AV41" s="3011"/>
      <c r="AW41" s="3014"/>
      <c r="AX41" s="3011"/>
      <c r="AY41" s="3014"/>
      <c r="AZ41" s="3011"/>
      <c r="BA41" s="3014"/>
      <c r="BB41" s="3011"/>
      <c r="BC41" s="3014"/>
      <c r="BD41" s="3011"/>
      <c r="BE41" s="3014"/>
      <c r="BF41" s="2595"/>
      <c r="BG41" s="2974"/>
      <c r="BH41" s="2974"/>
      <c r="BI41" s="2628"/>
      <c r="BJ41" s="2993"/>
      <c r="BK41" s="2595"/>
      <c r="BL41" s="3027"/>
      <c r="BM41" s="3027"/>
      <c r="BN41" s="3027"/>
      <c r="BO41" s="3027"/>
      <c r="BP41" s="2739"/>
    </row>
    <row r="42" spans="1:68" ht="45" x14ac:dyDescent="0.25">
      <c r="A42" s="1334"/>
      <c r="B42" s="1518"/>
      <c r="C42" s="1519"/>
      <c r="D42" s="2950"/>
      <c r="E42" s="2951"/>
      <c r="F42" s="2952"/>
      <c r="G42" s="2618"/>
      <c r="H42" s="2620"/>
      <c r="I42" s="3000"/>
      <c r="J42" s="2717"/>
      <c r="K42" s="2953"/>
      <c r="L42" s="2955"/>
      <c r="M42" s="2623"/>
      <c r="N42" s="3019"/>
      <c r="O42" s="2831"/>
      <c r="P42" s="3024"/>
      <c r="Q42" s="3003"/>
      <c r="R42" s="2864"/>
      <c r="S42" s="3008"/>
      <c r="T42" s="1539" t="s">
        <v>1415</v>
      </c>
      <c r="U42" s="1784">
        <v>3500000</v>
      </c>
      <c r="V42" s="1773">
        <v>3500000</v>
      </c>
      <c r="W42" s="1773">
        <v>3500000</v>
      </c>
      <c r="X42" s="1451" t="s">
        <v>1252</v>
      </c>
      <c r="Y42" s="2009" t="s">
        <v>1809</v>
      </c>
      <c r="Z42" s="3011"/>
      <c r="AA42" s="3014"/>
      <c r="AB42" s="3011"/>
      <c r="AC42" s="3014"/>
      <c r="AD42" s="3011"/>
      <c r="AE42" s="3014"/>
      <c r="AF42" s="3011"/>
      <c r="AG42" s="3014"/>
      <c r="AH42" s="3011"/>
      <c r="AI42" s="3014"/>
      <c r="AJ42" s="3011"/>
      <c r="AK42" s="3014"/>
      <c r="AL42" s="3011"/>
      <c r="AM42" s="3014"/>
      <c r="AN42" s="3011"/>
      <c r="AO42" s="3014"/>
      <c r="AP42" s="3011"/>
      <c r="AQ42" s="3014"/>
      <c r="AR42" s="3011"/>
      <c r="AS42" s="3014"/>
      <c r="AT42" s="3011"/>
      <c r="AU42" s="3014"/>
      <c r="AV42" s="3011"/>
      <c r="AW42" s="3014"/>
      <c r="AX42" s="3011"/>
      <c r="AY42" s="3014"/>
      <c r="AZ42" s="3011"/>
      <c r="BA42" s="3014"/>
      <c r="BB42" s="3011"/>
      <c r="BC42" s="3014"/>
      <c r="BD42" s="3011"/>
      <c r="BE42" s="3014"/>
      <c r="BF42" s="2595"/>
      <c r="BG42" s="2974"/>
      <c r="BH42" s="2974"/>
      <c r="BI42" s="2628"/>
      <c r="BJ42" s="2993"/>
      <c r="BK42" s="2595"/>
      <c r="BL42" s="3027"/>
      <c r="BM42" s="3027"/>
      <c r="BN42" s="3027"/>
      <c r="BO42" s="3027"/>
      <c r="BP42" s="2739"/>
    </row>
    <row r="43" spans="1:68" ht="60" x14ac:dyDescent="0.25">
      <c r="A43" s="1334"/>
      <c r="B43" s="1518"/>
      <c r="C43" s="1519"/>
      <c r="D43" s="2950"/>
      <c r="E43" s="2951"/>
      <c r="F43" s="2952"/>
      <c r="G43" s="2618"/>
      <c r="H43" s="2620"/>
      <c r="I43" s="3000"/>
      <c r="J43" s="2717"/>
      <c r="K43" s="2953"/>
      <c r="L43" s="2955"/>
      <c r="M43" s="2623"/>
      <c r="N43" s="3019"/>
      <c r="O43" s="2831"/>
      <c r="P43" s="3024"/>
      <c r="Q43" s="3003"/>
      <c r="R43" s="2864"/>
      <c r="S43" s="3008"/>
      <c r="T43" s="1539" t="s">
        <v>1439</v>
      </c>
      <c r="U43" s="1784">
        <v>32214000</v>
      </c>
      <c r="V43" s="1773">
        <v>23733333</v>
      </c>
      <c r="W43" s="1773">
        <v>23733333</v>
      </c>
      <c r="X43" s="1451" t="s">
        <v>1252</v>
      </c>
      <c r="Y43" s="2009" t="s">
        <v>1809</v>
      </c>
      <c r="Z43" s="3011"/>
      <c r="AA43" s="3014"/>
      <c r="AB43" s="3011"/>
      <c r="AC43" s="3014"/>
      <c r="AD43" s="3011"/>
      <c r="AE43" s="3014"/>
      <c r="AF43" s="3011"/>
      <c r="AG43" s="3014"/>
      <c r="AH43" s="3011"/>
      <c r="AI43" s="3014"/>
      <c r="AJ43" s="3011"/>
      <c r="AK43" s="3014"/>
      <c r="AL43" s="3011"/>
      <c r="AM43" s="3014"/>
      <c r="AN43" s="3011"/>
      <c r="AO43" s="3014"/>
      <c r="AP43" s="3011"/>
      <c r="AQ43" s="3014"/>
      <c r="AR43" s="3011"/>
      <c r="AS43" s="3014"/>
      <c r="AT43" s="3011"/>
      <c r="AU43" s="3014"/>
      <c r="AV43" s="3011"/>
      <c r="AW43" s="3014"/>
      <c r="AX43" s="3011"/>
      <c r="AY43" s="3014"/>
      <c r="AZ43" s="3011"/>
      <c r="BA43" s="3014"/>
      <c r="BB43" s="3011"/>
      <c r="BC43" s="3014"/>
      <c r="BD43" s="3011"/>
      <c r="BE43" s="3014"/>
      <c r="BF43" s="2595"/>
      <c r="BG43" s="2974"/>
      <c r="BH43" s="2974"/>
      <c r="BI43" s="2628"/>
      <c r="BJ43" s="2993"/>
      <c r="BK43" s="2595"/>
      <c r="BL43" s="3027"/>
      <c r="BM43" s="3027"/>
      <c r="BN43" s="3027"/>
      <c r="BO43" s="3027"/>
      <c r="BP43" s="2739"/>
    </row>
    <row r="44" spans="1:68" ht="30" x14ac:dyDescent="0.25">
      <c r="A44" s="1334"/>
      <c r="B44" s="1518"/>
      <c r="C44" s="1519"/>
      <c r="D44" s="2950"/>
      <c r="E44" s="2951"/>
      <c r="F44" s="2952"/>
      <c r="G44" s="2618"/>
      <c r="H44" s="2620"/>
      <c r="I44" s="3000"/>
      <c r="J44" s="2717"/>
      <c r="K44" s="2953"/>
      <c r="L44" s="2955"/>
      <c r="M44" s="2623"/>
      <c r="N44" s="3019"/>
      <c r="O44" s="2831"/>
      <c r="P44" s="3024"/>
      <c r="Q44" s="3003"/>
      <c r="R44" s="2864"/>
      <c r="S44" s="3008"/>
      <c r="T44" s="1539" t="s">
        <v>1417</v>
      </c>
      <c r="U44" s="1784">
        <v>33200000</v>
      </c>
      <c r="V44" s="1773">
        <v>33200000</v>
      </c>
      <c r="W44" s="1773">
        <v>33200000</v>
      </c>
      <c r="X44" s="1451" t="s">
        <v>1252</v>
      </c>
      <c r="Y44" s="2009" t="s">
        <v>1809</v>
      </c>
      <c r="Z44" s="3011"/>
      <c r="AA44" s="3014"/>
      <c r="AB44" s="3011"/>
      <c r="AC44" s="3014"/>
      <c r="AD44" s="3011"/>
      <c r="AE44" s="3014"/>
      <c r="AF44" s="3011"/>
      <c r="AG44" s="3014"/>
      <c r="AH44" s="3011"/>
      <c r="AI44" s="3014"/>
      <c r="AJ44" s="3011"/>
      <c r="AK44" s="3014"/>
      <c r="AL44" s="3011"/>
      <c r="AM44" s="3014"/>
      <c r="AN44" s="3011"/>
      <c r="AO44" s="3014"/>
      <c r="AP44" s="3011"/>
      <c r="AQ44" s="3014"/>
      <c r="AR44" s="3011"/>
      <c r="AS44" s="3014"/>
      <c r="AT44" s="3011"/>
      <c r="AU44" s="3014"/>
      <c r="AV44" s="3011"/>
      <c r="AW44" s="3014"/>
      <c r="AX44" s="3011"/>
      <c r="AY44" s="3014"/>
      <c r="AZ44" s="3011"/>
      <c r="BA44" s="3014"/>
      <c r="BB44" s="3011"/>
      <c r="BC44" s="3014"/>
      <c r="BD44" s="3011"/>
      <c r="BE44" s="3014"/>
      <c r="BF44" s="2595"/>
      <c r="BG44" s="2974"/>
      <c r="BH44" s="2974"/>
      <c r="BI44" s="2628"/>
      <c r="BJ44" s="2993"/>
      <c r="BK44" s="2595"/>
      <c r="BL44" s="3027"/>
      <c r="BM44" s="3027"/>
      <c r="BN44" s="3027"/>
      <c r="BO44" s="3027"/>
      <c r="BP44" s="2739"/>
    </row>
    <row r="45" spans="1:68" ht="30" x14ac:dyDescent="0.25">
      <c r="A45" s="1334"/>
      <c r="B45" s="1518"/>
      <c r="C45" s="1519"/>
      <c r="D45" s="2950"/>
      <c r="E45" s="2951"/>
      <c r="F45" s="2952"/>
      <c r="G45" s="2618"/>
      <c r="H45" s="2620"/>
      <c r="I45" s="3000"/>
      <c r="J45" s="2717"/>
      <c r="K45" s="2953"/>
      <c r="L45" s="2955"/>
      <c r="M45" s="2623"/>
      <c r="N45" s="3019"/>
      <c r="O45" s="2831"/>
      <c r="P45" s="3024"/>
      <c r="Q45" s="3003"/>
      <c r="R45" s="2864"/>
      <c r="S45" s="3008"/>
      <c r="T45" s="1539" t="s">
        <v>1418</v>
      </c>
      <c r="U45" s="1784">
        <v>194417100</v>
      </c>
      <c r="V45" s="1773">
        <v>148145698</v>
      </c>
      <c r="W45" s="1773">
        <v>148145698</v>
      </c>
      <c r="X45" s="1451" t="s">
        <v>1252</v>
      </c>
      <c r="Y45" s="2009" t="s">
        <v>1809</v>
      </c>
      <c r="Z45" s="3011"/>
      <c r="AA45" s="3014"/>
      <c r="AB45" s="3011"/>
      <c r="AC45" s="3014"/>
      <c r="AD45" s="3011"/>
      <c r="AE45" s="3014"/>
      <c r="AF45" s="3011"/>
      <c r="AG45" s="3014"/>
      <c r="AH45" s="3011"/>
      <c r="AI45" s="3014"/>
      <c r="AJ45" s="3011"/>
      <c r="AK45" s="3014"/>
      <c r="AL45" s="3011"/>
      <c r="AM45" s="3014"/>
      <c r="AN45" s="3011"/>
      <c r="AO45" s="3014"/>
      <c r="AP45" s="3011"/>
      <c r="AQ45" s="3014"/>
      <c r="AR45" s="3011"/>
      <c r="AS45" s="3014"/>
      <c r="AT45" s="3011"/>
      <c r="AU45" s="3014"/>
      <c r="AV45" s="3011"/>
      <c r="AW45" s="3014"/>
      <c r="AX45" s="3011"/>
      <c r="AY45" s="3014"/>
      <c r="AZ45" s="3011"/>
      <c r="BA45" s="3014"/>
      <c r="BB45" s="3011"/>
      <c r="BC45" s="3014"/>
      <c r="BD45" s="3011"/>
      <c r="BE45" s="3014"/>
      <c r="BF45" s="2595"/>
      <c r="BG45" s="2974"/>
      <c r="BH45" s="2974"/>
      <c r="BI45" s="2628"/>
      <c r="BJ45" s="2993"/>
      <c r="BK45" s="2595"/>
      <c r="BL45" s="3027"/>
      <c r="BM45" s="3027"/>
      <c r="BN45" s="3027"/>
      <c r="BO45" s="3027"/>
      <c r="BP45" s="2739"/>
    </row>
    <row r="46" spans="1:68" ht="61.5" customHeight="1" x14ac:dyDescent="0.25">
      <c r="A46" s="1334"/>
      <c r="B46" s="1518"/>
      <c r="C46" s="1519"/>
      <c r="D46" s="2950"/>
      <c r="E46" s="2951"/>
      <c r="F46" s="2952"/>
      <c r="G46" s="2618"/>
      <c r="H46" s="2620"/>
      <c r="I46" s="3000"/>
      <c r="J46" s="2717"/>
      <c r="K46" s="2953"/>
      <c r="L46" s="2955"/>
      <c r="M46" s="2623"/>
      <c r="N46" s="3019"/>
      <c r="O46" s="2831"/>
      <c r="P46" s="3024"/>
      <c r="Q46" s="3003"/>
      <c r="R46" s="2864"/>
      <c r="S46" s="3008"/>
      <c r="T46" s="1539" t="s">
        <v>1419</v>
      </c>
      <c r="U46" s="1784">
        <v>22575000</v>
      </c>
      <c r="V46" s="1773">
        <v>22575000</v>
      </c>
      <c r="W46" s="1773">
        <v>22575000</v>
      </c>
      <c r="X46" s="1451" t="s">
        <v>1252</v>
      </c>
      <c r="Y46" s="2009" t="s">
        <v>1809</v>
      </c>
      <c r="Z46" s="3011"/>
      <c r="AA46" s="3014"/>
      <c r="AB46" s="3011"/>
      <c r="AC46" s="3014"/>
      <c r="AD46" s="3011"/>
      <c r="AE46" s="3014"/>
      <c r="AF46" s="3011"/>
      <c r="AG46" s="3014"/>
      <c r="AH46" s="3011"/>
      <c r="AI46" s="3014"/>
      <c r="AJ46" s="3011"/>
      <c r="AK46" s="3014"/>
      <c r="AL46" s="3011"/>
      <c r="AM46" s="3014"/>
      <c r="AN46" s="3011"/>
      <c r="AO46" s="3014"/>
      <c r="AP46" s="3011"/>
      <c r="AQ46" s="3014"/>
      <c r="AR46" s="3011"/>
      <c r="AS46" s="3014"/>
      <c r="AT46" s="3011"/>
      <c r="AU46" s="3014"/>
      <c r="AV46" s="3011"/>
      <c r="AW46" s="3014"/>
      <c r="AX46" s="3011"/>
      <c r="AY46" s="3014"/>
      <c r="AZ46" s="3011"/>
      <c r="BA46" s="3014"/>
      <c r="BB46" s="3011"/>
      <c r="BC46" s="3014"/>
      <c r="BD46" s="3011"/>
      <c r="BE46" s="3014"/>
      <c r="BF46" s="2595"/>
      <c r="BG46" s="2974"/>
      <c r="BH46" s="2974"/>
      <c r="BI46" s="2628"/>
      <c r="BJ46" s="2993"/>
      <c r="BK46" s="2595"/>
      <c r="BL46" s="3027"/>
      <c r="BM46" s="3027"/>
      <c r="BN46" s="3027"/>
      <c r="BO46" s="3027"/>
      <c r="BP46" s="2739"/>
    </row>
    <row r="47" spans="1:68" ht="45" x14ac:dyDescent="0.25">
      <c r="A47" s="1334"/>
      <c r="B47" s="1518"/>
      <c r="C47" s="1519"/>
      <c r="D47" s="2950"/>
      <c r="E47" s="2951"/>
      <c r="F47" s="2952"/>
      <c r="G47" s="2618"/>
      <c r="H47" s="2620"/>
      <c r="I47" s="3000"/>
      <c r="J47" s="2717"/>
      <c r="K47" s="2953"/>
      <c r="L47" s="2955"/>
      <c r="M47" s="2623"/>
      <c r="N47" s="3019"/>
      <c r="O47" s="2831"/>
      <c r="P47" s="3024"/>
      <c r="Q47" s="3003"/>
      <c r="R47" s="2864"/>
      <c r="S47" s="3008"/>
      <c r="T47" s="1539" t="s">
        <v>1440</v>
      </c>
      <c r="U47" s="1784">
        <v>76737500</v>
      </c>
      <c r="V47" s="1773">
        <v>63084996</v>
      </c>
      <c r="W47" s="1773">
        <v>63084996</v>
      </c>
      <c r="X47" s="1451" t="s">
        <v>1252</v>
      </c>
      <c r="Y47" s="2009" t="s">
        <v>1809</v>
      </c>
      <c r="Z47" s="3011"/>
      <c r="AA47" s="3014"/>
      <c r="AB47" s="3011"/>
      <c r="AC47" s="3014"/>
      <c r="AD47" s="3011"/>
      <c r="AE47" s="3014"/>
      <c r="AF47" s="3011"/>
      <c r="AG47" s="3014"/>
      <c r="AH47" s="3011"/>
      <c r="AI47" s="3014"/>
      <c r="AJ47" s="3011"/>
      <c r="AK47" s="3014"/>
      <c r="AL47" s="3011"/>
      <c r="AM47" s="3014"/>
      <c r="AN47" s="3011"/>
      <c r="AO47" s="3014"/>
      <c r="AP47" s="3011"/>
      <c r="AQ47" s="3014"/>
      <c r="AR47" s="3011"/>
      <c r="AS47" s="3014"/>
      <c r="AT47" s="3011"/>
      <c r="AU47" s="3014"/>
      <c r="AV47" s="3011"/>
      <c r="AW47" s="3014"/>
      <c r="AX47" s="3011"/>
      <c r="AY47" s="3014"/>
      <c r="AZ47" s="3011"/>
      <c r="BA47" s="3014"/>
      <c r="BB47" s="3011"/>
      <c r="BC47" s="3014"/>
      <c r="BD47" s="3011"/>
      <c r="BE47" s="3014"/>
      <c r="BF47" s="2595"/>
      <c r="BG47" s="2974"/>
      <c r="BH47" s="2974"/>
      <c r="BI47" s="2628"/>
      <c r="BJ47" s="2993"/>
      <c r="BK47" s="2595"/>
      <c r="BL47" s="3027"/>
      <c r="BM47" s="3027"/>
      <c r="BN47" s="3027"/>
      <c r="BO47" s="3027"/>
      <c r="BP47" s="2739"/>
    </row>
    <row r="48" spans="1:68" ht="60" x14ac:dyDescent="0.25">
      <c r="A48" s="1334"/>
      <c r="B48" s="1518"/>
      <c r="C48" s="1519"/>
      <c r="D48" s="2950"/>
      <c r="E48" s="2951"/>
      <c r="F48" s="2952"/>
      <c r="G48" s="2618"/>
      <c r="H48" s="2620"/>
      <c r="I48" s="3000"/>
      <c r="J48" s="2717"/>
      <c r="K48" s="2953"/>
      <c r="L48" s="2955"/>
      <c r="M48" s="2623"/>
      <c r="N48" s="3019"/>
      <c r="O48" s="2831"/>
      <c r="P48" s="3024"/>
      <c r="Q48" s="3003"/>
      <c r="R48" s="2864"/>
      <c r="S48" s="3008"/>
      <c r="T48" s="1539" t="s">
        <v>1441</v>
      </c>
      <c r="U48" s="1784">
        <v>51105000</v>
      </c>
      <c r="V48" s="1773">
        <v>44419999</v>
      </c>
      <c r="W48" s="1773">
        <v>44419999</v>
      </c>
      <c r="X48" s="1451" t="s">
        <v>1252</v>
      </c>
      <c r="Y48" s="2009" t="s">
        <v>1809</v>
      </c>
      <c r="Z48" s="3011"/>
      <c r="AA48" s="3014"/>
      <c r="AB48" s="3011"/>
      <c r="AC48" s="3014"/>
      <c r="AD48" s="3011"/>
      <c r="AE48" s="3014"/>
      <c r="AF48" s="3011"/>
      <c r="AG48" s="3014"/>
      <c r="AH48" s="3011"/>
      <c r="AI48" s="3014"/>
      <c r="AJ48" s="3011"/>
      <c r="AK48" s="3014"/>
      <c r="AL48" s="3011"/>
      <c r="AM48" s="3014"/>
      <c r="AN48" s="3011"/>
      <c r="AO48" s="3014"/>
      <c r="AP48" s="3011"/>
      <c r="AQ48" s="3014"/>
      <c r="AR48" s="3011"/>
      <c r="AS48" s="3014"/>
      <c r="AT48" s="3011"/>
      <c r="AU48" s="3014"/>
      <c r="AV48" s="3011"/>
      <c r="AW48" s="3014"/>
      <c r="AX48" s="3011"/>
      <c r="AY48" s="3014"/>
      <c r="AZ48" s="3011"/>
      <c r="BA48" s="3014"/>
      <c r="BB48" s="3011"/>
      <c r="BC48" s="3014"/>
      <c r="BD48" s="3011"/>
      <c r="BE48" s="3014"/>
      <c r="BF48" s="2595"/>
      <c r="BG48" s="2974"/>
      <c r="BH48" s="2974"/>
      <c r="BI48" s="2628"/>
      <c r="BJ48" s="2993"/>
      <c r="BK48" s="2595"/>
      <c r="BL48" s="3027"/>
      <c r="BM48" s="3027"/>
      <c r="BN48" s="3027"/>
      <c r="BO48" s="3027"/>
      <c r="BP48" s="2739"/>
    </row>
    <row r="49" spans="1:100" ht="30" x14ac:dyDescent="0.25">
      <c r="A49" s="1764"/>
      <c r="C49" s="1765"/>
      <c r="D49" s="2950"/>
      <c r="E49" s="2951"/>
      <c r="F49" s="2952"/>
      <c r="G49" s="2618"/>
      <c r="H49" s="2620"/>
      <c r="I49" s="3000"/>
      <c r="J49" s="2717"/>
      <c r="K49" s="2953"/>
      <c r="L49" s="2956"/>
      <c r="M49" s="3017"/>
      <c r="N49" s="3020"/>
      <c r="O49" s="3022"/>
      <c r="P49" s="3025"/>
      <c r="Q49" s="3004"/>
      <c r="R49" s="3006"/>
      <c r="S49" s="3009"/>
      <c r="T49" s="1750" t="s">
        <v>1442</v>
      </c>
      <c r="U49" s="1784">
        <v>396417991.70999998</v>
      </c>
      <c r="V49" s="1773">
        <v>69983766</v>
      </c>
      <c r="W49" s="1773">
        <v>39000000</v>
      </c>
      <c r="X49" s="1451" t="s">
        <v>1252</v>
      </c>
      <c r="Y49" s="2009" t="s">
        <v>1809</v>
      </c>
      <c r="Z49" s="3012"/>
      <c r="AA49" s="3015"/>
      <c r="AB49" s="3012"/>
      <c r="AC49" s="3015"/>
      <c r="AD49" s="3012"/>
      <c r="AE49" s="3015"/>
      <c r="AF49" s="3012"/>
      <c r="AG49" s="3015"/>
      <c r="AH49" s="3012"/>
      <c r="AI49" s="3015"/>
      <c r="AJ49" s="3012"/>
      <c r="AK49" s="3015"/>
      <c r="AL49" s="3012"/>
      <c r="AM49" s="3015"/>
      <c r="AN49" s="3012"/>
      <c r="AO49" s="3015"/>
      <c r="AP49" s="3012"/>
      <c r="AQ49" s="3015"/>
      <c r="AR49" s="3012"/>
      <c r="AS49" s="3015"/>
      <c r="AT49" s="3012"/>
      <c r="AU49" s="3015"/>
      <c r="AV49" s="3012"/>
      <c r="AW49" s="3015"/>
      <c r="AX49" s="3012"/>
      <c r="AY49" s="3015"/>
      <c r="AZ49" s="3012"/>
      <c r="BA49" s="3015"/>
      <c r="BB49" s="3012"/>
      <c r="BC49" s="3015"/>
      <c r="BD49" s="3012"/>
      <c r="BE49" s="3015"/>
      <c r="BF49" s="2971"/>
      <c r="BG49" s="2975"/>
      <c r="BH49" s="2975"/>
      <c r="BI49" s="2991"/>
      <c r="BJ49" s="2994"/>
      <c r="BK49" s="2971"/>
      <c r="BL49" s="3028"/>
      <c r="BM49" s="3028"/>
      <c r="BN49" s="3028"/>
      <c r="BO49" s="3028"/>
      <c r="BP49" s="2740"/>
    </row>
    <row r="50" spans="1:100" s="184" customFormat="1" ht="27" customHeight="1" x14ac:dyDescent="0.25">
      <c r="A50" s="45"/>
      <c r="B50" s="275"/>
      <c r="C50" s="1627"/>
      <c r="D50" s="1794">
        <v>40</v>
      </c>
      <c r="E50" s="3029" t="s">
        <v>1216</v>
      </c>
      <c r="F50" s="3030"/>
      <c r="G50" s="3030"/>
      <c r="H50" s="3030"/>
      <c r="I50" s="3030"/>
      <c r="J50" s="3030"/>
      <c r="K50" s="3030"/>
      <c r="L50" s="3030"/>
      <c r="M50" s="1776"/>
      <c r="N50" s="1777"/>
      <c r="O50" s="220"/>
      <c r="P50" s="228"/>
      <c r="Q50" s="1778"/>
      <c r="R50" s="328"/>
      <c r="S50" s="279"/>
      <c r="T50" s="220"/>
      <c r="U50" s="1779"/>
      <c r="V50" s="1779"/>
      <c r="W50" s="1779"/>
      <c r="X50" s="1780"/>
      <c r="Y50" s="1744"/>
      <c r="Z50" s="1330"/>
      <c r="AA50" s="1330"/>
      <c r="AB50" s="1330"/>
      <c r="AC50" s="1330"/>
      <c r="AD50" s="133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414"/>
      <c r="BG50" s="1781"/>
      <c r="BH50" s="1782"/>
      <c r="BI50" s="1331"/>
      <c r="BJ50" s="1780"/>
      <c r="BK50" s="280"/>
      <c r="BL50" s="288"/>
      <c r="BM50" s="288"/>
      <c r="BN50" s="288"/>
      <c r="BO50" s="288"/>
      <c r="BP50" s="1763"/>
    </row>
    <row r="51" spans="1:100" ht="75" x14ac:dyDescent="0.25">
      <c r="A51" s="1334"/>
      <c r="B51" s="1518"/>
      <c r="C51" s="1518"/>
      <c r="D51" s="953"/>
      <c r="E51" s="1502"/>
      <c r="F51" s="1525"/>
      <c r="G51" s="2618">
        <v>4302020</v>
      </c>
      <c r="H51" s="2620" t="s">
        <v>1443</v>
      </c>
      <c r="I51" s="3000" t="s">
        <v>1444</v>
      </c>
      <c r="J51" s="2717" t="s">
        <v>1444</v>
      </c>
      <c r="K51" s="2953">
        <v>0.25</v>
      </c>
      <c r="L51" s="3031">
        <v>0</v>
      </c>
      <c r="M51" s="2625" t="s">
        <v>1445</v>
      </c>
      <c r="N51" s="2626" t="s">
        <v>1404</v>
      </c>
      <c r="O51" s="2698" t="s">
        <v>1405</v>
      </c>
      <c r="P51" s="3033">
        <f>Q51/SUM(Q16,Q33,Q37,Q51,Q92,Q107,Q110)</f>
        <v>3.3239485304596104E-2</v>
      </c>
      <c r="Q51" s="2961">
        <f>SUM(U51:U57)</f>
        <v>64725314.579999998</v>
      </c>
      <c r="R51" s="2717" t="s">
        <v>1406</v>
      </c>
      <c r="S51" s="3007" t="s">
        <v>1407</v>
      </c>
      <c r="T51" s="1539" t="s">
        <v>1446</v>
      </c>
      <c r="U51" s="1795">
        <f>10749000-10749000</f>
        <v>0</v>
      </c>
      <c r="V51" s="1795">
        <v>0</v>
      </c>
      <c r="W51" s="1795">
        <v>0</v>
      </c>
      <c r="X51" s="1451" t="s">
        <v>1252</v>
      </c>
      <c r="Y51" s="2009" t="s">
        <v>1809</v>
      </c>
      <c r="Z51" s="2960">
        <v>295972</v>
      </c>
      <c r="AA51" s="2666"/>
      <c r="AB51" s="2960">
        <v>285580</v>
      </c>
      <c r="AC51" s="2666"/>
      <c r="AD51" s="2960">
        <v>135545</v>
      </c>
      <c r="AE51" s="2666"/>
      <c r="AF51" s="2960">
        <v>44254</v>
      </c>
      <c r="AG51" s="2666"/>
      <c r="AH51" s="2960">
        <v>309146</v>
      </c>
      <c r="AI51" s="2666"/>
      <c r="AJ51" s="2960">
        <v>92607</v>
      </c>
      <c r="AK51" s="2666"/>
      <c r="AL51" s="2960">
        <v>2145</v>
      </c>
      <c r="AM51" s="2666"/>
      <c r="AN51" s="2960">
        <v>12718</v>
      </c>
      <c r="AO51" s="2666"/>
      <c r="AP51" s="2960">
        <v>26</v>
      </c>
      <c r="AQ51" s="2666"/>
      <c r="AR51" s="2960">
        <v>37</v>
      </c>
      <c r="AS51" s="2666"/>
      <c r="AT51" s="2960">
        <v>0</v>
      </c>
      <c r="AU51" s="2666"/>
      <c r="AV51" s="2960">
        <v>0</v>
      </c>
      <c r="AW51" s="2666"/>
      <c r="AX51" s="2960">
        <v>44350</v>
      </c>
      <c r="AY51" s="2666"/>
      <c r="AZ51" s="2960">
        <v>21944</v>
      </c>
      <c r="BA51" s="2666"/>
      <c r="BB51" s="2960">
        <v>75687</v>
      </c>
      <c r="BC51" s="2666"/>
      <c r="BD51" s="2960">
        <f>+Z51+AB51</f>
        <v>581552</v>
      </c>
      <c r="BE51" s="2972"/>
      <c r="BF51" s="3013"/>
      <c r="BG51" s="2973">
        <f>+V51+V52+V53+V54+V55+V56+V57</f>
        <v>0</v>
      </c>
      <c r="BH51" s="2973">
        <f>+W51+W52+W53+W54+W55+W56+W57</f>
        <v>0</v>
      </c>
      <c r="BI51" s="3043"/>
      <c r="BJ51" s="3013"/>
      <c r="BK51" s="3013"/>
      <c r="BL51" s="3013"/>
      <c r="BM51" s="3013"/>
      <c r="BN51" s="3013"/>
      <c r="BO51" s="3013"/>
      <c r="BP51" s="2738" t="s">
        <v>1391</v>
      </c>
    </row>
    <row r="52" spans="1:100" ht="60" x14ac:dyDescent="0.25">
      <c r="A52" s="1334"/>
      <c r="B52" s="1518"/>
      <c r="C52" s="1518"/>
      <c r="D52" s="959"/>
      <c r="E52" s="1524"/>
      <c r="F52" s="1526"/>
      <c r="G52" s="2618"/>
      <c r="H52" s="2620"/>
      <c r="I52" s="3000"/>
      <c r="J52" s="2717"/>
      <c r="K52" s="2953"/>
      <c r="L52" s="2955"/>
      <c r="M52" s="2625"/>
      <c r="N52" s="2626"/>
      <c r="O52" s="2698"/>
      <c r="P52" s="3033"/>
      <c r="Q52" s="2961"/>
      <c r="R52" s="2717"/>
      <c r="S52" s="3008"/>
      <c r="T52" s="1539" t="s">
        <v>1447</v>
      </c>
      <c r="U52" s="1795">
        <f>10749000-10749000</f>
        <v>0</v>
      </c>
      <c r="V52" s="1795">
        <v>0</v>
      </c>
      <c r="W52" s="1795">
        <v>0</v>
      </c>
      <c r="X52" s="1451" t="s">
        <v>1252</v>
      </c>
      <c r="Y52" s="2009" t="s">
        <v>1809</v>
      </c>
      <c r="Z52" s="2960"/>
      <c r="AA52" s="2666"/>
      <c r="AB52" s="2960"/>
      <c r="AC52" s="2666"/>
      <c r="AD52" s="2960"/>
      <c r="AE52" s="2666"/>
      <c r="AF52" s="2960"/>
      <c r="AG52" s="2666"/>
      <c r="AH52" s="2960"/>
      <c r="AI52" s="2666"/>
      <c r="AJ52" s="2960"/>
      <c r="AK52" s="2666"/>
      <c r="AL52" s="2960"/>
      <c r="AM52" s="2666"/>
      <c r="AN52" s="2960"/>
      <c r="AO52" s="2666"/>
      <c r="AP52" s="2960"/>
      <c r="AQ52" s="2666"/>
      <c r="AR52" s="2960"/>
      <c r="AS52" s="2666"/>
      <c r="AT52" s="2960"/>
      <c r="AU52" s="2666"/>
      <c r="AV52" s="2960"/>
      <c r="AW52" s="2666"/>
      <c r="AX52" s="2960"/>
      <c r="AY52" s="2666"/>
      <c r="AZ52" s="2960"/>
      <c r="BA52" s="2666"/>
      <c r="BB52" s="2960"/>
      <c r="BC52" s="2666"/>
      <c r="BD52" s="2960"/>
      <c r="BE52" s="2972"/>
      <c r="BF52" s="3014"/>
      <c r="BG52" s="2974"/>
      <c r="BH52" s="2974"/>
      <c r="BI52" s="3044"/>
      <c r="BJ52" s="3014"/>
      <c r="BK52" s="3014"/>
      <c r="BL52" s="3014"/>
      <c r="BM52" s="3014"/>
      <c r="BN52" s="3014"/>
      <c r="BO52" s="3014"/>
      <c r="BP52" s="2739"/>
    </row>
    <row r="53" spans="1:100" ht="56.25" customHeight="1" x14ac:dyDescent="0.25">
      <c r="A53" s="1334"/>
      <c r="B53" s="1518"/>
      <c r="C53" s="1518"/>
      <c r="D53" s="959"/>
      <c r="E53" s="1524"/>
      <c r="F53" s="1526"/>
      <c r="G53" s="2618"/>
      <c r="H53" s="2620"/>
      <c r="I53" s="3000"/>
      <c r="J53" s="2717"/>
      <c r="K53" s="2953"/>
      <c r="L53" s="2955"/>
      <c r="M53" s="2625"/>
      <c r="N53" s="2626"/>
      <c r="O53" s="2698"/>
      <c r="P53" s="3033"/>
      <c r="Q53" s="2961"/>
      <c r="R53" s="2717"/>
      <c r="S53" s="3008"/>
      <c r="T53" s="1539" t="s">
        <v>1448</v>
      </c>
      <c r="U53" s="1795">
        <f>10749000-10749000</f>
        <v>0</v>
      </c>
      <c r="V53" s="1795">
        <v>0</v>
      </c>
      <c r="W53" s="1795">
        <v>0</v>
      </c>
      <c r="X53" s="1451" t="s">
        <v>1252</v>
      </c>
      <c r="Y53" s="2009" t="s">
        <v>1809</v>
      </c>
      <c r="Z53" s="2960"/>
      <c r="AA53" s="2666"/>
      <c r="AB53" s="2960"/>
      <c r="AC53" s="2666"/>
      <c r="AD53" s="2960"/>
      <c r="AE53" s="2666"/>
      <c r="AF53" s="2960"/>
      <c r="AG53" s="2666"/>
      <c r="AH53" s="2960"/>
      <c r="AI53" s="2666"/>
      <c r="AJ53" s="2960"/>
      <c r="AK53" s="2666"/>
      <c r="AL53" s="2960"/>
      <c r="AM53" s="2666"/>
      <c r="AN53" s="2960"/>
      <c r="AO53" s="2666"/>
      <c r="AP53" s="2960"/>
      <c r="AQ53" s="2666"/>
      <c r="AR53" s="2960"/>
      <c r="AS53" s="2666"/>
      <c r="AT53" s="2960"/>
      <c r="AU53" s="2666"/>
      <c r="AV53" s="2960"/>
      <c r="AW53" s="2666"/>
      <c r="AX53" s="2960"/>
      <c r="AY53" s="2666"/>
      <c r="AZ53" s="2960"/>
      <c r="BA53" s="2666"/>
      <c r="BB53" s="2960"/>
      <c r="BC53" s="2666"/>
      <c r="BD53" s="2960"/>
      <c r="BE53" s="2972"/>
      <c r="BF53" s="3014"/>
      <c r="BG53" s="2974"/>
      <c r="BH53" s="2974"/>
      <c r="BI53" s="3044"/>
      <c r="BJ53" s="3014"/>
      <c r="BK53" s="3014"/>
      <c r="BL53" s="3014"/>
      <c r="BM53" s="3014"/>
      <c r="BN53" s="3014"/>
      <c r="BO53" s="3014"/>
      <c r="BP53" s="2739"/>
    </row>
    <row r="54" spans="1:100" ht="39.75" customHeight="1" x14ac:dyDescent="0.25">
      <c r="A54" s="1334"/>
      <c r="B54" s="1518"/>
      <c r="C54" s="1518"/>
      <c r="D54" s="3037"/>
      <c r="E54" s="3039"/>
      <c r="F54" s="3040"/>
      <c r="G54" s="2618"/>
      <c r="H54" s="2620"/>
      <c r="I54" s="3000"/>
      <c r="J54" s="2717"/>
      <c r="K54" s="2953"/>
      <c r="L54" s="2955"/>
      <c r="M54" s="2625"/>
      <c r="N54" s="2626"/>
      <c r="O54" s="2698"/>
      <c r="P54" s="3033"/>
      <c r="Q54" s="2961"/>
      <c r="R54" s="2717"/>
      <c r="S54" s="3008"/>
      <c r="T54" s="3042" t="s">
        <v>1442</v>
      </c>
      <c r="U54" s="1769">
        <f>801251738-791251738</f>
        <v>10000000</v>
      </c>
      <c r="V54" s="1769">
        <v>0</v>
      </c>
      <c r="W54" s="1769">
        <v>0</v>
      </c>
      <c r="X54" s="1451" t="s">
        <v>1252</v>
      </c>
      <c r="Y54" s="2009" t="s">
        <v>1809</v>
      </c>
      <c r="Z54" s="2960"/>
      <c r="AA54" s="2666"/>
      <c r="AB54" s="2960"/>
      <c r="AC54" s="2666"/>
      <c r="AD54" s="2960"/>
      <c r="AE54" s="2666"/>
      <c r="AF54" s="2960"/>
      <c r="AG54" s="2666"/>
      <c r="AH54" s="2960"/>
      <c r="AI54" s="2666"/>
      <c r="AJ54" s="2960"/>
      <c r="AK54" s="2666"/>
      <c r="AL54" s="2960"/>
      <c r="AM54" s="2666"/>
      <c r="AN54" s="2960"/>
      <c r="AO54" s="2666"/>
      <c r="AP54" s="2960"/>
      <c r="AQ54" s="2666"/>
      <c r="AR54" s="2960"/>
      <c r="AS54" s="2666"/>
      <c r="AT54" s="2960"/>
      <c r="AU54" s="2666"/>
      <c r="AV54" s="2960"/>
      <c r="AW54" s="2666"/>
      <c r="AX54" s="2960"/>
      <c r="AY54" s="2666"/>
      <c r="AZ54" s="2960"/>
      <c r="BA54" s="2666"/>
      <c r="BB54" s="2960"/>
      <c r="BC54" s="2666"/>
      <c r="BD54" s="2960"/>
      <c r="BE54" s="2972"/>
      <c r="BF54" s="3014"/>
      <c r="BG54" s="2974"/>
      <c r="BH54" s="2974"/>
      <c r="BI54" s="3044"/>
      <c r="BJ54" s="3014"/>
      <c r="BK54" s="3014"/>
      <c r="BL54" s="3014"/>
      <c r="BM54" s="3014"/>
      <c r="BN54" s="3014"/>
      <c r="BO54" s="3014"/>
      <c r="BP54" s="2739"/>
    </row>
    <row r="55" spans="1:100" ht="52.5" customHeight="1" x14ac:dyDescent="0.25">
      <c r="A55" s="1334"/>
      <c r="B55" s="1518"/>
      <c r="C55" s="1518"/>
      <c r="D55" s="3037"/>
      <c r="E55" s="3039"/>
      <c r="F55" s="3040"/>
      <c r="G55" s="2618"/>
      <c r="H55" s="2620"/>
      <c r="I55" s="3000"/>
      <c r="J55" s="2717"/>
      <c r="K55" s="2953"/>
      <c r="L55" s="2955"/>
      <c r="M55" s="2625"/>
      <c r="N55" s="2626"/>
      <c r="O55" s="2698"/>
      <c r="P55" s="3033"/>
      <c r="Q55" s="2961"/>
      <c r="R55" s="2717"/>
      <c r="S55" s="3008"/>
      <c r="T55" s="3042"/>
      <c r="U55" s="1769">
        <v>54725314.579999998</v>
      </c>
      <c r="V55" s="1769">
        <v>0</v>
      </c>
      <c r="W55" s="1769">
        <v>0</v>
      </c>
      <c r="X55" s="472">
        <v>82</v>
      </c>
      <c r="Y55" s="2009" t="s">
        <v>1808</v>
      </c>
      <c r="Z55" s="2960"/>
      <c r="AA55" s="2666"/>
      <c r="AB55" s="2960"/>
      <c r="AC55" s="2666"/>
      <c r="AD55" s="2960"/>
      <c r="AE55" s="2666"/>
      <c r="AF55" s="2960"/>
      <c r="AG55" s="2666"/>
      <c r="AH55" s="2960"/>
      <c r="AI55" s="2666"/>
      <c r="AJ55" s="2960"/>
      <c r="AK55" s="2666"/>
      <c r="AL55" s="2960"/>
      <c r="AM55" s="2666"/>
      <c r="AN55" s="2960"/>
      <c r="AO55" s="2666"/>
      <c r="AP55" s="2960"/>
      <c r="AQ55" s="2666"/>
      <c r="AR55" s="2960"/>
      <c r="AS55" s="2666"/>
      <c r="AT55" s="2960"/>
      <c r="AU55" s="2666"/>
      <c r="AV55" s="2960"/>
      <c r="AW55" s="2666"/>
      <c r="AX55" s="2960"/>
      <c r="AY55" s="2666"/>
      <c r="AZ55" s="2960"/>
      <c r="BA55" s="2666"/>
      <c r="BB55" s="2960"/>
      <c r="BC55" s="2666"/>
      <c r="BD55" s="2960"/>
      <c r="BE55" s="2972"/>
      <c r="BF55" s="3014"/>
      <c r="BG55" s="2974"/>
      <c r="BH55" s="2974"/>
      <c r="BI55" s="3044"/>
      <c r="BJ55" s="3014"/>
      <c r="BK55" s="3014"/>
      <c r="BL55" s="3014"/>
      <c r="BM55" s="3014"/>
      <c r="BN55" s="3014"/>
      <c r="BO55" s="3014"/>
      <c r="BP55" s="2739"/>
    </row>
    <row r="56" spans="1:100" ht="68.25" customHeight="1" x14ac:dyDescent="0.25">
      <c r="A56" s="1334"/>
      <c r="B56" s="1518"/>
      <c r="C56" s="1518"/>
      <c r="D56" s="3037"/>
      <c r="E56" s="3039"/>
      <c r="F56" s="3040"/>
      <c r="G56" s="2618"/>
      <c r="H56" s="2620"/>
      <c r="I56" s="3000"/>
      <c r="J56" s="2717"/>
      <c r="K56" s="2953"/>
      <c r="L56" s="2955"/>
      <c r="M56" s="2625"/>
      <c r="N56" s="2626"/>
      <c r="O56" s="2698"/>
      <c r="P56" s="3033"/>
      <c r="Q56" s="2961"/>
      <c r="R56" s="2717"/>
      <c r="S56" s="3008"/>
      <c r="T56" s="1539" t="s">
        <v>1449</v>
      </c>
      <c r="U56" s="1769">
        <f>1000000-1000000</f>
        <v>0</v>
      </c>
      <c r="V56" s="1769">
        <v>0</v>
      </c>
      <c r="W56" s="1769">
        <v>0</v>
      </c>
      <c r="X56" s="1451" t="s">
        <v>1252</v>
      </c>
      <c r="Y56" s="2009" t="s">
        <v>1809</v>
      </c>
      <c r="Z56" s="2960"/>
      <c r="AA56" s="2666"/>
      <c r="AB56" s="2960"/>
      <c r="AC56" s="2666"/>
      <c r="AD56" s="2960"/>
      <c r="AE56" s="2666"/>
      <c r="AF56" s="2960"/>
      <c r="AG56" s="2666"/>
      <c r="AH56" s="2960"/>
      <c r="AI56" s="2666"/>
      <c r="AJ56" s="2960"/>
      <c r="AK56" s="2666"/>
      <c r="AL56" s="2960"/>
      <c r="AM56" s="2666"/>
      <c r="AN56" s="2960"/>
      <c r="AO56" s="2666"/>
      <c r="AP56" s="2960"/>
      <c r="AQ56" s="2666"/>
      <c r="AR56" s="2960"/>
      <c r="AS56" s="2666"/>
      <c r="AT56" s="2960"/>
      <c r="AU56" s="2666"/>
      <c r="AV56" s="2960"/>
      <c r="AW56" s="2666"/>
      <c r="AX56" s="2960"/>
      <c r="AY56" s="2666"/>
      <c r="AZ56" s="2960"/>
      <c r="BA56" s="2666"/>
      <c r="BB56" s="2960"/>
      <c r="BC56" s="2666"/>
      <c r="BD56" s="2960"/>
      <c r="BE56" s="2972"/>
      <c r="BF56" s="3014"/>
      <c r="BG56" s="2974"/>
      <c r="BH56" s="2974"/>
      <c r="BI56" s="3044"/>
      <c r="BJ56" s="3014"/>
      <c r="BK56" s="3014"/>
      <c r="BL56" s="3014"/>
      <c r="BM56" s="3014"/>
      <c r="BN56" s="3014"/>
      <c r="BO56" s="3014"/>
      <c r="BP56" s="2739"/>
    </row>
    <row r="57" spans="1:100" ht="30" x14ac:dyDescent="0.25">
      <c r="A57" s="1764"/>
      <c r="D57" s="3038"/>
      <c r="E57" s="2530"/>
      <c r="F57" s="3041"/>
      <c r="G57" s="2618"/>
      <c r="H57" s="2620"/>
      <c r="I57" s="3000"/>
      <c r="J57" s="2717"/>
      <c r="K57" s="2953"/>
      <c r="L57" s="3032"/>
      <c r="M57" s="2625"/>
      <c r="N57" s="2626"/>
      <c r="O57" s="2698"/>
      <c r="P57" s="3033"/>
      <c r="Q57" s="2961"/>
      <c r="R57" s="2717"/>
      <c r="S57" s="3009"/>
      <c r="T57" s="1539" t="s">
        <v>1450</v>
      </c>
      <c r="U57" s="1795">
        <f>1000000-1000000</f>
        <v>0</v>
      </c>
      <c r="V57" s="1795">
        <v>0</v>
      </c>
      <c r="W57" s="1795">
        <v>0</v>
      </c>
      <c r="X57" s="1451" t="s">
        <v>1252</v>
      </c>
      <c r="Y57" s="2009" t="s">
        <v>1809</v>
      </c>
      <c r="Z57" s="2960"/>
      <c r="AA57" s="2666"/>
      <c r="AB57" s="2960"/>
      <c r="AC57" s="2666"/>
      <c r="AD57" s="2960"/>
      <c r="AE57" s="2666"/>
      <c r="AF57" s="2960"/>
      <c r="AG57" s="2666"/>
      <c r="AH57" s="2960"/>
      <c r="AI57" s="2666"/>
      <c r="AJ57" s="2960"/>
      <c r="AK57" s="2666"/>
      <c r="AL57" s="2960"/>
      <c r="AM57" s="2666"/>
      <c r="AN57" s="2960"/>
      <c r="AO57" s="2666"/>
      <c r="AP57" s="2960"/>
      <c r="AQ57" s="2666"/>
      <c r="AR57" s="2960"/>
      <c r="AS57" s="2666"/>
      <c r="AT57" s="2960"/>
      <c r="AU57" s="2666"/>
      <c r="AV57" s="2960"/>
      <c r="AW57" s="2666"/>
      <c r="AX57" s="2960"/>
      <c r="AY57" s="2666"/>
      <c r="AZ57" s="2960"/>
      <c r="BA57" s="2666"/>
      <c r="BB57" s="2960"/>
      <c r="BC57" s="2666"/>
      <c r="BD57" s="2960"/>
      <c r="BE57" s="2972"/>
      <c r="BF57" s="3015"/>
      <c r="BG57" s="2975"/>
      <c r="BH57" s="2975"/>
      <c r="BI57" s="3045"/>
      <c r="BJ57" s="3015"/>
      <c r="BK57" s="3015"/>
      <c r="BL57" s="3015"/>
      <c r="BM57" s="3015"/>
      <c r="BN57" s="3015"/>
      <c r="BO57" s="3015"/>
      <c r="BP57" s="2740"/>
    </row>
    <row r="58" spans="1:100" ht="27" customHeight="1" x14ac:dyDescent="0.25">
      <c r="A58" s="1796">
        <v>2</v>
      </c>
      <c r="B58" s="3034" t="s">
        <v>354</v>
      </c>
      <c r="C58" s="3035"/>
      <c r="D58" s="3035"/>
      <c r="E58" s="3035"/>
      <c r="F58" s="3035"/>
      <c r="G58" s="3035"/>
      <c r="H58" s="3035"/>
      <c r="I58" s="3035"/>
      <c r="J58" s="3035"/>
      <c r="K58" s="3035"/>
      <c r="L58" s="3035"/>
      <c r="M58" s="3035"/>
      <c r="N58" s="1797"/>
      <c r="O58" s="206"/>
      <c r="P58" s="211"/>
      <c r="Q58" s="1798"/>
      <c r="R58" s="311"/>
      <c r="S58" s="311"/>
      <c r="T58" s="206"/>
      <c r="U58" s="1799"/>
      <c r="V58" s="1799"/>
      <c r="W58" s="1799"/>
      <c r="X58" s="214"/>
      <c r="Y58" s="1836"/>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37"/>
      <c r="BG58" s="1800"/>
      <c r="BH58" s="1801"/>
      <c r="BI58" s="1739"/>
      <c r="BJ58" s="214"/>
      <c r="BK58" s="209"/>
      <c r="BL58" s="317"/>
      <c r="BM58" s="317"/>
      <c r="BN58" s="317"/>
      <c r="BO58" s="317"/>
      <c r="BP58" s="1802"/>
      <c r="BQ58" s="184"/>
      <c r="BR58" s="184"/>
      <c r="BS58" s="184"/>
      <c r="BT58" s="184"/>
      <c r="BU58" s="184"/>
      <c r="BV58" s="184"/>
      <c r="BW58" s="184"/>
      <c r="BX58" s="184"/>
      <c r="BY58" s="184"/>
      <c r="BZ58" s="184"/>
      <c r="CA58" s="184"/>
      <c r="CB58" s="184"/>
      <c r="CC58" s="184"/>
      <c r="CD58" s="184"/>
      <c r="CE58" s="184"/>
      <c r="CF58" s="184"/>
      <c r="CG58" s="184"/>
      <c r="CH58" s="184"/>
    </row>
    <row r="59" spans="1:100" s="184" customFormat="1" ht="32.25" customHeight="1" x14ac:dyDescent="0.25">
      <c r="A59" s="1501"/>
      <c r="B59" s="1622"/>
      <c r="C59" s="1623"/>
      <c r="D59" s="1742">
        <v>10</v>
      </c>
      <c r="E59" s="2946" t="s">
        <v>484</v>
      </c>
      <c r="F59" s="2947"/>
      <c r="G59" s="2947"/>
      <c r="H59" s="2947"/>
      <c r="I59" s="2947"/>
      <c r="J59" s="2947"/>
      <c r="K59" s="2947"/>
      <c r="L59" s="2947"/>
      <c r="M59" s="2947"/>
      <c r="N59" s="2947"/>
      <c r="O59" s="222"/>
      <c r="P59" s="320"/>
      <c r="Q59" s="1759"/>
      <c r="R59" s="279"/>
      <c r="S59" s="279"/>
      <c r="T59" s="222"/>
      <c r="U59" s="1760"/>
      <c r="V59" s="1760"/>
      <c r="W59" s="1760"/>
      <c r="X59" s="1747"/>
      <c r="Y59" s="1744"/>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414"/>
      <c r="BG59" s="1781"/>
      <c r="BH59" s="1782"/>
      <c r="BI59" s="1331"/>
      <c r="BJ59" s="1747"/>
      <c r="BK59" s="280"/>
      <c r="BL59" s="288"/>
      <c r="BM59" s="288"/>
      <c r="BN59" s="288"/>
      <c r="BO59" s="288"/>
      <c r="BP59" s="1758"/>
    </row>
    <row r="60" spans="1:100" ht="147" customHeight="1" x14ac:dyDescent="0.25">
      <c r="A60" s="1764"/>
      <c r="C60" s="1765"/>
      <c r="D60" s="1803"/>
      <c r="E60" s="1803"/>
      <c r="F60" s="1804"/>
      <c r="G60" s="1148">
        <v>1709078</v>
      </c>
      <c r="H60" s="1916" t="s">
        <v>1451</v>
      </c>
      <c r="I60" s="1750" t="s">
        <v>1452</v>
      </c>
      <c r="J60" s="1515" t="s">
        <v>1452</v>
      </c>
      <c r="K60" s="1516">
        <v>1</v>
      </c>
      <c r="L60" s="1540">
        <v>0</v>
      </c>
      <c r="M60" s="1496" t="s">
        <v>1453</v>
      </c>
      <c r="N60" s="1497" t="s">
        <v>1454</v>
      </c>
      <c r="O60" s="1491" t="s">
        <v>1455</v>
      </c>
      <c r="P60" s="1805">
        <f>(U60)/(Q60+Q62+Q88)</f>
        <v>0.5</v>
      </c>
      <c r="Q60" s="1806">
        <f>SUM(U60:U61)</f>
        <v>2000000</v>
      </c>
      <c r="R60" s="1500" t="s">
        <v>1456</v>
      </c>
      <c r="S60" s="1500" t="s">
        <v>1457</v>
      </c>
      <c r="T60" s="1750" t="s">
        <v>1452</v>
      </c>
      <c r="U60" s="1753">
        <v>2000000</v>
      </c>
      <c r="V60" s="1754">
        <v>0</v>
      </c>
      <c r="W60" s="1754">
        <v>0</v>
      </c>
      <c r="X60" s="1511">
        <v>88</v>
      </c>
      <c r="Y60" s="1999" t="s">
        <v>247</v>
      </c>
      <c r="Z60" s="126">
        <v>295972</v>
      </c>
      <c r="AA60" s="126"/>
      <c r="AB60" s="126">
        <v>294321</v>
      </c>
      <c r="AC60" s="126"/>
      <c r="AD60" s="126">
        <v>132302</v>
      </c>
      <c r="AE60" s="126"/>
      <c r="AF60" s="126">
        <v>43426</v>
      </c>
      <c r="AG60" s="126"/>
      <c r="AH60" s="126">
        <v>313940</v>
      </c>
      <c r="AI60" s="126"/>
      <c r="AJ60" s="126">
        <v>100625</v>
      </c>
      <c r="AK60" s="126"/>
      <c r="AL60" s="126">
        <v>2145</v>
      </c>
      <c r="AM60" s="126"/>
      <c r="AN60" s="126">
        <v>12718</v>
      </c>
      <c r="AO60" s="126"/>
      <c r="AP60" s="126">
        <v>36</v>
      </c>
      <c r="AQ60" s="126"/>
      <c r="AR60" s="126">
        <v>0</v>
      </c>
      <c r="AS60" s="126"/>
      <c r="AT60" s="126">
        <v>0</v>
      </c>
      <c r="AU60" s="126"/>
      <c r="AV60" s="126">
        <v>0</v>
      </c>
      <c r="AW60" s="126"/>
      <c r="AX60" s="126">
        <v>70</v>
      </c>
      <c r="AY60" s="126"/>
      <c r="AZ60" s="126">
        <v>21944</v>
      </c>
      <c r="BA60" s="126"/>
      <c r="BB60" s="126">
        <v>285</v>
      </c>
      <c r="BC60" s="126"/>
      <c r="BD60" s="126">
        <v>590292</v>
      </c>
      <c r="BE60" s="126"/>
      <c r="BF60" s="1520"/>
      <c r="BG60" s="1807">
        <f>+V60</f>
        <v>0</v>
      </c>
      <c r="BH60" s="1807">
        <f>+W60</f>
        <v>0</v>
      </c>
      <c r="BI60" s="1808"/>
      <c r="BJ60" s="361"/>
      <c r="BK60" s="126"/>
      <c r="BL60" s="1521">
        <v>44033</v>
      </c>
      <c r="BM60" s="1521"/>
      <c r="BN60" s="1521">
        <v>44195</v>
      </c>
      <c r="BO60" s="1809"/>
      <c r="BP60" s="1514" t="s">
        <v>1391</v>
      </c>
      <c r="BQ60" s="3036"/>
      <c r="BR60" s="3036"/>
      <c r="BS60" s="3036"/>
      <c r="BT60" s="3036"/>
      <c r="BU60" s="3036"/>
      <c r="BV60" s="3036"/>
      <c r="BW60" s="3036"/>
      <c r="BX60" s="3036"/>
      <c r="BY60" s="3036"/>
      <c r="BZ60" s="3036"/>
      <c r="CA60" s="3036"/>
      <c r="CB60" s="3036"/>
      <c r="CC60" s="3036"/>
      <c r="CD60" s="3036"/>
      <c r="CE60" s="3036"/>
      <c r="CF60" s="3036"/>
      <c r="CG60" s="3036"/>
      <c r="CH60" s="3036"/>
      <c r="CI60" s="3036"/>
      <c r="CJ60" s="3036"/>
      <c r="CK60" s="3036"/>
      <c r="CL60" s="3036"/>
      <c r="CM60" s="3036"/>
      <c r="CN60" s="3036"/>
      <c r="CO60" s="3036"/>
      <c r="CP60" s="3036"/>
      <c r="CQ60" s="3036"/>
      <c r="CR60" s="3036"/>
      <c r="CS60" s="3036"/>
      <c r="CT60" s="3036"/>
      <c r="CU60" s="3036"/>
      <c r="CV60" s="3036"/>
    </row>
    <row r="61" spans="1:100" s="184" customFormat="1" ht="27" customHeight="1" x14ac:dyDescent="0.25">
      <c r="A61" s="45"/>
      <c r="B61" s="275"/>
      <c r="C61" s="1627"/>
      <c r="D61" s="1742">
        <v>27</v>
      </c>
      <c r="E61" s="2946" t="s">
        <v>495</v>
      </c>
      <c r="F61" s="2947"/>
      <c r="G61" s="2947"/>
      <c r="H61" s="2947"/>
      <c r="I61" s="2947"/>
      <c r="J61" s="2947"/>
      <c r="K61" s="2947"/>
      <c r="L61" s="2947"/>
      <c r="M61" s="2947"/>
      <c r="N61" s="1053"/>
      <c r="O61" s="222"/>
      <c r="P61" s="320"/>
      <c r="Q61" s="1759"/>
      <c r="R61" s="279"/>
      <c r="S61" s="279"/>
      <c r="T61" s="222"/>
      <c r="U61" s="1760"/>
      <c r="V61" s="1760"/>
      <c r="W61" s="1760"/>
      <c r="X61" s="1747"/>
      <c r="Y61" s="1744"/>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414"/>
      <c r="BG61" s="1781"/>
      <c r="BH61" s="1782"/>
      <c r="BI61" s="1331"/>
      <c r="BJ61" s="1747"/>
      <c r="BK61" s="280"/>
      <c r="BL61" s="288"/>
      <c r="BM61" s="288"/>
      <c r="BN61" s="288"/>
      <c r="BO61" s="288"/>
      <c r="BP61" s="1758"/>
      <c r="BQ61" s="3036"/>
      <c r="BR61" s="3036"/>
      <c r="BS61" s="3036"/>
      <c r="BT61" s="3036"/>
      <c r="BU61" s="3036"/>
      <c r="BV61" s="3036"/>
      <c r="BW61" s="3036"/>
      <c r="BX61" s="3036"/>
      <c r="BY61" s="3036"/>
      <c r="BZ61" s="3036"/>
      <c r="CA61" s="3036"/>
      <c r="CB61" s="3036"/>
      <c r="CC61" s="3036"/>
      <c r="CD61" s="3036"/>
      <c r="CE61" s="3036"/>
      <c r="CF61" s="3036"/>
      <c r="CG61" s="3036"/>
      <c r="CH61" s="3036"/>
      <c r="CI61" s="3036"/>
      <c r="CJ61" s="3036"/>
      <c r="CK61" s="3036"/>
      <c r="CL61" s="3036"/>
      <c r="CM61" s="3036"/>
      <c r="CN61" s="3036"/>
      <c r="CO61" s="3036"/>
      <c r="CP61" s="3036"/>
      <c r="CQ61" s="3036"/>
      <c r="CR61" s="3036"/>
      <c r="CS61" s="3036"/>
      <c r="CT61" s="3036"/>
      <c r="CU61" s="3036"/>
      <c r="CV61" s="3036"/>
    </row>
    <row r="62" spans="1:100" ht="141.75" customHeight="1" x14ac:dyDescent="0.25">
      <c r="A62" s="1810"/>
      <c r="B62" s="1803"/>
      <c r="C62" s="1804"/>
      <c r="D62" s="1766"/>
      <c r="E62" s="1766"/>
      <c r="F62" s="462"/>
      <c r="G62" s="1148">
        <v>3502084</v>
      </c>
      <c r="H62" s="1916" t="s">
        <v>1458</v>
      </c>
      <c r="I62" s="1750" t="s">
        <v>1459</v>
      </c>
      <c r="J62" s="1515" t="s">
        <v>1459</v>
      </c>
      <c r="K62" s="1536">
        <v>0.5</v>
      </c>
      <c r="L62" s="1552">
        <v>0</v>
      </c>
      <c r="M62" s="1274" t="s">
        <v>1460</v>
      </c>
      <c r="N62" s="1499" t="s">
        <v>1454</v>
      </c>
      <c r="O62" s="1500" t="s">
        <v>1461</v>
      </c>
      <c r="P62" s="1805">
        <f>(U62)/(+Q60+Q62+Q88)</f>
        <v>0.25</v>
      </c>
      <c r="Q62" s="1752">
        <f>+U62</f>
        <v>1000000</v>
      </c>
      <c r="R62" s="1500" t="s">
        <v>1456</v>
      </c>
      <c r="S62" s="1500" t="s">
        <v>1462</v>
      </c>
      <c r="T62" s="1750" t="s">
        <v>1459</v>
      </c>
      <c r="U62" s="1753">
        <v>1000000</v>
      </c>
      <c r="V62" s="1753">
        <v>0</v>
      </c>
      <c r="W62" s="1753">
        <v>0</v>
      </c>
      <c r="X62" s="361">
        <v>88</v>
      </c>
      <c r="Y62" s="1999" t="s">
        <v>247</v>
      </c>
      <c r="Z62" s="126">
        <v>295972</v>
      </c>
      <c r="AA62" s="126"/>
      <c r="AB62" s="126">
        <v>294321</v>
      </c>
      <c r="AC62" s="126"/>
      <c r="AD62" s="126">
        <v>132302</v>
      </c>
      <c r="AE62" s="126"/>
      <c r="AF62" s="126">
        <v>43426</v>
      </c>
      <c r="AG62" s="126"/>
      <c r="AH62" s="126">
        <v>313940</v>
      </c>
      <c r="AI62" s="126"/>
      <c r="AJ62" s="126">
        <v>100625</v>
      </c>
      <c r="AK62" s="126"/>
      <c r="AL62" s="126">
        <v>2145</v>
      </c>
      <c r="AM62" s="126"/>
      <c r="AN62" s="126">
        <v>12718</v>
      </c>
      <c r="AO62" s="126"/>
      <c r="AP62" s="126">
        <v>36</v>
      </c>
      <c r="AQ62" s="126"/>
      <c r="AR62" s="126">
        <v>0</v>
      </c>
      <c r="AS62" s="126"/>
      <c r="AT62" s="126">
        <v>0</v>
      </c>
      <c r="AU62" s="126"/>
      <c r="AV62" s="126">
        <v>0</v>
      </c>
      <c r="AW62" s="126"/>
      <c r="AX62" s="126">
        <v>70</v>
      </c>
      <c r="AY62" s="126"/>
      <c r="AZ62" s="126">
        <v>21944</v>
      </c>
      <c r="BA62" s="126"/>
      <c r="BB62" s="126">
        <v>285</v>
      </c>
      <c r="BC62" s="126"/>
      <c r="BD62" s="126">
        <v>590292</v>
      </c>
      <c r="BE62" s="1755"/>
      <c r="BF62" s="1520"/>
      <c r="BG62" s="1811">
        <f>+V62</f>
        <v>0</v>
      </c>
      <c r="BH62" s="1811">
        <f>+W62</f>
        <v>0</v>
      </c>
      <c r="BI62" s="1812"/>
      <c r="BJ62" s="361"/>
      <c r="BK62" s="1494"/>
      <c r="BL62" s="1492">
        <v>44033</v>
      </c>
      <c r="BM62" s="1492"/>
      <c r="BN62" s="1492">
        <v>44195</v>
      </c>
      <c r="BO62" s="1813"/>
      <c r="BP62" s="1514" t="s">
        <v>1391</v>
      </c>
    </row>
    <row r="63" spans="1:100" ht="27" customHeight="1" x14ac:dyDescent="0.25">
      <c r="A63" s="1796">
        <v>3</v>
      </c>
      <c r="B63" s="3046" t="s">
        <v>505</v>
      </c>
      <c r="C63" s="2945"/>
      <c r="D63" s="2945"/>
      <c r="E63" s="2945"/>
      <c r="F63" s="2945"/>
      <c r="G63" s="2945"/>
      <c r="H63" s="2945"/>
      <c r="I63" s="2945"/>
      <c r="J63" s="2945"/>
      <c r="K63" s="2945"/>
      <c r="L63" s="2945"/>
      <c r="M63" s="2945"/>
      <c r="N63" s="1797"/>
      <c r="O63" s="206"/>
      <c r="P63" s="211"/>
      <c r="Q63" s="1798"/>
      <c r="R63" s="311"/>
      <c r="S63" s="311"/>
      <c r="T63" s="206"/>
      <c r="U63" s="1799"/>
      <c r="V63" s="1799"/>
      <c r="W63" s="1799"/>
      <c r="X63" s="214"/>
      <c r="Y63" s="1836"/>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37"/>
      <c r="BG63" s="1800"/>
      <c r="BH63" s="1801"/>
      <c r="BI63" s="1739"/>
      <c r="BJ63" s="214"/>
      <c r="BK63" s="209"/>
      <c r="BL63" s="317"/>
      <c r="BM63" s="317"/>
      <c r="BN63" s="317"/>
      <c r="BO63" s="317"/>
      <c r="BP63" s="1814"/>
      <c r="BQ63" s="184"/>
      <c r="BR63" s="184"/>
      <c r="BS63" s="184"/>
      <c r="BT63" s="184"/>
      <c r="BU63" s="184"/>
      <c r="BV63" s="184"/>
      <c r="BW63" s="184"/>
      <c r="BX63" s="184"/>
      <c r="BY63" s="184"/>
      <c r="BZ63" s="184"/>
      <c r="CA63" s="184"/>
      <c r="CB63" s="184"/>
      <c r="CC63" s="184"/>
      <c r="CD63" s="184"/>
      <c r="CE63" s="184"/>
      <c r="CF63" s="184"/>
      <c r="CG63" s="184"/>
      <c r="CH63" s="184"/>
    </row>
    <row r="64" spans="1:100" s="184" customFormat="1" ht="27" customHeight="1" x14ac:dyDescent="0.25">
      <c r="A64" s="1501"/>
      <c r="B64" s="1622"/>
      <c r="C64" s="1623"/>
      <c r="D64" s="1742">
        <v>18</v>
      </c>
      <c r="E64" s="2948" t="s">
        <v>625</v>
      </c>
      <c r="F64" s="2949"/>
      <c r="G64" s="2949"/>
      <c r="H64" s="2949"/>
      <c r="I64" s="2949"/>
      <c r="J64" s="2949"/>
      <c r="K64" s="2949"/>
      <c r="L64" s="2949"/>
      <c r="M64" s="2949"/>
      <c r="N64" s="1053"/>
      <c r="O64" s="222"/>
      <c r="P64" s="320"/>
      <c r="Q64" s="1759"/>
      <c r="R64" s="279"/>
      <c r="S64" s="279"/>
      <c r="T64" s="222"/>
      <c r="U64" s="1760"/>
      <c r="V64" s="1760"/>
      <c r="W64" s="1760"/>
      <c r="X64" s="1747"/>
      <c r="Y64" s="1744"/>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414"/>
      <c r="BG64" s="1781"/>
      <c r="BH64" s="1782"/>
      <c r="BI64" s="1331"/>
      <c r="BJ64" s="1747"/>
      <c r="BK64" s="280"/>
      <c r="BL64" s="288"/>
      <c r="BM64" s="288"/>
      <c r="BN64" s="288"/>
      <c r="BO64" s="288"/>
      <c r="BP64" s="1763"/>
    </row>
    <row r="65" spans="1:68" ht="129" customHeight="1" x14ac:dyDescent="0.25">
      <c r="A65" s="1764"/>
      <c r="C65" s="1765"/>
      <c r="G65" s="3047" t="s">
        <v>64</v>
      </c>
      <c r="H65" s="3048" t="s">
        <v>1463</v>
      </c>
      <c r="I65" s="3050" t="s">
        <v>1464</v>
      </c>
      <c r="J65" s="2707" t="s">
        <v>1465</v>
      </c>
      <c r="K65" s="2601">
        <v>130</v>
      </c>
      <c r="L65" s="3052">
        <v>159</v>
      </c>
      <c r="M65" s="2727" t="s">
        <v>1466</v>
      </c>
      <c r="N65" s="2727" t="s">
        <v>1467</v>
      </c>
      <c r="O65" s="2725" t="s">
        <v>1468</v>
      </c>
      <c r="P65" s="3056">
        <f>Q65/SUM(Q65,Q90)</f>
        <v>0.81183644038909597</v>
      </c>
      <c r="Q65" s="3057">
        <f>SUM(U65:U85)</f>
        <v>735025413.94000006</v>
      </c>
      <c r="R65" s="2725" t="s">
        <v>1469</v>
      </c>
      <c r="S65" s="2725" t="s">
        <v>1470</v>
      </c>
      <c r="T65" s="3053" t="s">
        <v>1471</v>
      </c>
      <c r="U65" s="1769">
        <v>200000</v>
      </c>
      <c r="V65" s="1769">
        <v>200000</v>
      </c>
      <c r="W65" s="1815">
        <v>200000</v>
      </c>
      <c r="X65" s="1527">
        <v>20</v>
      </c>
      <c r="Y65" s="2002" t="s">
        <v>124</v>
      </c>
      <c r="Z65" s="3054">
        <v>295972</v>
      </c>
      <c r="AA65" s="1494"/>
      <c r="AB65" s="2602">
        <v>285580</v>
      </c>
      <c r="AC65" s="2602"/>
      <c r="AD65" s="2602">
        <v>135545</v>
      </c>
      <c r="AE65" s="2602"/>
      <c r="AF65" s="2602">
        <v>44254</v>
      </c>
      <c r="AG65" s="2602"/>
      <c r="AH65" s="2602">
        <v>309146</v>
      </c>
      <c r="AI65" s="2602"/>
      <c r="AJ65" s="2602">
        <v>92607</v>
      </c>
      <c r="AK65" s="2602"/>
      <c r="AL65" s="2602">
        <v>2145</v>
      </c>
      <c r="AM65" s="2602"/>
      <c r="AN65" s="2602">
        <v>12718</v>
      </c>
      <c r="AO65" s="2602"/>
      <c r="AP65" s="2602">
        <v>26</v>
      </c>
      <c r="AQ65" s="2602"/>
      <c r="AR65" s="2602">
        <v>37</v>
      </c>
      <c r="AS65" s="2602"/>
      <c r="AT65" s="2602">
        <v>0</v>
      </c>
      <c r="AU65" s="2602"/>
      <c r="AV65" s="2602">
        <v>0</v>
      </c>
      <c r="AW65" s="2602"/>
      <c r="AX65" s="2602">
        <v>44350</v>
      </c>
      <c r="AY65" s="2602"/>
      <c r="AZ65" s="2602">
        <v>21944</v>
      </c>
      <c r="BA65" s="2602"/>
      <c r="BB65" s="2602">
        <v>75687</v>
      </c>
      <c r="BC65" s="2602"/>
      <c r="BD65" s="2602">
        <f>+Z65+AB65</f>
        <v>581552</v>
      </c>
      <c r="BE65" s="2602"/>
      <c r="BF65" s="3054">
        <v>36</v>
      </c>
      <c r="BG65" s="3058">
        <f>+V65+V66+V67+V68+V69+V70+V71+V72+V73+V74+V75+V76+V77+V78+V79+V80+V81+V82+V83+V84+V85+V86</f>
        <v>396699304</v>
      </c>
      <c r="BH65" s="3058">
        <f>+W65+W66+W67+W68+W69+W70+W71+W72+W73+W74+W75+W76+W77+W78+W79+W80+W81+W82+W83+W84+W85+W86</f>
        <v>325591237</v>
      </c>
      <c r="BI65" s="2969">
        <f>BH65/BG65</f>
        <v>0.82075071399671529</v>
      </c>
      <c r="BJ65" s="3062" t="s">
        <v>1472</v>
      </c>
      <c r="BK65" s="3054" t="s">
        <v>1473</v>
      </c>
      <c r="BL65" s="3063">
        <v>43857</v>
      </c>
      <c r="BM65" s="3063">
        <v>43857</v>
      </c>
      <c r="BN65" s="3064">
        <v>44196</v>
      </c>
      <c r="BO65" s="3064">
        <v>44196</v>
      </c>
      <c r="BP65" s="2751" t="s">
        <v>1391</v>
      </c>
    </row>
    <row r="66" spans="1:68" ht="49.5" customHeight="1" x14ac:dyDescent="0.25">
      <c r="A66" s="1764"/>
      <c r="C66" s="1765"/>
      <c r="G66" s="3047"/>
      <c r="H66" s="3049"/>
      <c r="I66" s="3051"/>
      <c r="J66" s="2708"/>
      <c r="K66" s="2598"/>
      <c r="L66" s="3052"/>
      <c r="M66" s="2727"/>
      <c r="N66" s="2727"/>
      <c r="O66" s="2725"/>
      <c r="P66" s="3056"/>
      <c r="Q66" s="3057"/>
      <c r="R66" s="2725"/>
      <c r="S66" s="2725"/>
      <c r="T66" s="3053"/>
      <c r="U66" s="1769">
        <v>2149800</v>
      </c>
      <c r="V66" s="1769">
        <v>2149800</v>
      </c>
      <c r="W66" s="1815">
        <v>2149800</v>
      </c>
      <c r="X66" s="1527">
        <v>88</v>
      </c>
      <c r="Y66" s="1999" t="s">
        <v>247</v>
      </c>
      <c r="Z66" s="3054"/>
      <c r="AA66" s="1495"/>
      <c r="AB66" s="2603"/>
      <c r="AC66" s="2603"/>
      <c r="AD66" s="2603"/>
      <c r="AE66" s="2603"/>
      <c r="AF66" s="2603"/>
      <c r="AG66" s="2603"/>
      <c r="AH66" s="2603"/>
      <c r="AI66" s="2603"/>
      <c r="AJ66" s="2603"/>
      <c r="AK66" s="2603"/>
      <c r="AL66" s="2603"/>
      <c r="AM66" s="2603"/>
      <c r="AN66" s="2603"/>
      <c r="AO66" s="2603"/>
      <c r="AP66" s="2603"/>
      <c r="AQ66" s="2603"/>
      <c r="AR66" s="2603"/>
      <c r="AS66" s="2603"/>
      <c r="AT66" s="2603"/>
      <c r="AU66" s="2603"/>
      <c r="AV66" s="2603"/>
      <c r="AW66" s="2603"/>
      <c r="AX66" s="2603"/>
      <c r="AY66" s="2603"/>
      <c r="AZ66" s="2603"/>
      <c r="BA66" s="2603"/>
      <c r="BB66" s="2603"/>
      <c r="BC66" s="2603"/>
      <c r="BD66" s="2603"/>
      <c r="BE66" s="2603"/>
      <c r="BF66" s="3054"/>
      <c r="BG66" s="3058"/>
      <c r="BH66" s="3058"/>
      <c r="BI66" s="2969"/>
      <c r="BJ66" s="3062"/>
      <c r="BK66" s="3054"/>
      <c r="BL66" s="3063"/>
      <c r="BM66" s="3063"/>
      <c r="BN66" s="3064"/>
      <c r="BO66" s="3064"/>
      <c r="BP66" s="2751"/>
    </row>
    <row r="67" spans="1:68" ht="42" customHeight="1" x14ac:dyDescent="0.25">
      <c r="A67" s="1764"/>
      <c r="C67" s="1765"/>
      <c r="G67" s="3047"/>
      <c r="H67" s="3049"/>
      <c r="I67" s="3051"/>
      <c r="J67" s="2708"/>
      <c r="K67" s="2598"/>
      <c r="L67" s="3052"/>
      <c r="M67" s="2727"/>
      <c r="N67" s="2727"/>
      <c r="O67" s="2725"/>
      <c r="P67" s="3056"/>
      <c r="Q67" s="3057"/>
      <c r="R67" s="2725"/>
      <c r="S67" s="2725"/>
      <c r="T67" s="1750" t="s">
        <v>1474</v>
      </c>
      <c r="U67" s="1769">
        <v>85000000</v>
      </c>
      <c r="V67" s="1815">
        <v>85000000</v>
      </c>
      <c r="W67" s="1815">
        <v>28891933</v>
      </c>
      <c r="X67" s="1527">
        <v>23</v>
      </c>
      <c r="Y67" s="2002" t="s">
        <v>1810</v>
      </c>
      <c r="Z67" s="3054"/>
      <c r="AA67" s="1495"/>
      <c r="AB67" s="2603"/>
      <c r="AC67" s="2603"/>
      <c r="AD67" s="2603"/>
      <c r="AE67" s="2603"/>
      <c r="AF67" s="2603"/>
      <c r="AG67" s="2603"/>
      <c r="AH67" s="2603"/>
      <c r="AI67" s="2603"/>
      <c r="AJ67" s="2603"/>
      <c r="AK67" s="2603"/>
      <c r="AL67" s="2603"/>
      <c r="AM67" s="2603"/>
      <c r="AN67" s="2603"/>
      <c r="AO67" s="2603"/>
      <c r="AP67" s="2603"/>
      <c r="AQ67" s="2603"/>
      <c r="AR67" s="2603"/>
      <c r="AS67" s="2603"/>
      <c r="AT67" s="2603"/>
      <c r="AU67" s="2603"/>
      <c r="AV67" s="2603"/>
      <c r="AW67" s="2603"/>
      <c r="AX67" s="2603"/>
      <c r="AY67" s="2603"/>
      <c r="AZ67" s="2603"/>
      <c r="BA67" s="2603"/>
      <c r="BB67" s="2603"/>
      <c r="BC67" s="2603"/>
      <c r="BD67" s="2603"/>
      <c r="BE67" s="2603"/>
      <c r="BF67" s="3054"/>
      <c r="BG67" s="3058"/>
      <c r="BH67" s="3058"/>
      <c r="BI67" s="2969"/>
      <c r="BJ67" s="3062"/>
      <c r="BK67" s="3054"/>
      <c r="BL67" s="3063"/>
      <c r="BM67" s="3063"/>
      <c r="BN67" s="3064"/>
      <c r="BO67" s="3064"/>
      <c r="BP67" s="2751"/>
    </row>
    <row r="68" spans="1:68" ht="74.25" customHeight="1" x14ac:dyDescent="0.25">
      <c r="A68" s="1764"/>
      <c r="C68" s="1765"/>
      <c r="G68" s="3047"/>
      <c r="H68" s="3049"/>
      <c r="I68" s="3051"/>
      <c r="J68" s="2708"/>
      <c r="K68" s="2598"/>
      <c r="L68" s="3052"/>
      <c r="M68" s="2727"/>
      <c r="N68" s="2727"/>
      <c r="O68" s="2725"/>
      <c r="P68" s="3056"/>
      <c r="Q68" s="3057"/>
      <c r="R68" s="2725"/>
      <c r="S68" s="2725"/>
      <c r="T68" s="1750" t="s">
        <v>1475</v>
      </c>
      <c r="U68" s="1769">
        <v>15000000</v>
      </c>
      <c r="V68" s="1815">
        <v>15000000</v>
      </c>
      <c r="W68" s="1815">
        <v>0</v>
      </c>
      <c r="X68" s="1527">
        <v>20</v>
      </c>
      <c r="Y68" s="2002" t="s">
        <v>124</v>
      </c>
      <c r="Z68" s="3054"/>
      <c r="AA68" s="1495"/>
      <c r="AB68" s="2603"/>
      <c r="AC68" s="2603"/>
      <c r="AD68" s="2603"/>
      <c r="AE68" s="2603"/>
      <c r="AF68" s="2603"/>
      <c r="AG68" s="2603"/>
      <c r="AH68" s="2603"/>
      <c r="AI68" s="2603"/>
      <c r="AJ68" s="2603"/>
      <c r="AK68" s="2603"/>
      <c r="AL68" s="2603"/>
      <c r="AM68" s="2603"/>
      <c r="AN68" s="2603"/>
      <c r="AO68" s="2603"/>
      <c r="AP68" s="2603"/>
      <c r="AQ68" s="2603"/>
      <c r="AR68" s="2603"/>
      <c r="AS68" s="2603"/>
      <c r="AT68" s="2603"/>
      <c r="AU68" s="2603"/>
      <c r="AV68" s="2603"/>
      <c r="AW68" s="2603"/>
      <c r="AX68" s="2603"/>
      <c r="AY68" s="2603"/>
      <c r="AZ68" s="2603"/>
      <c r="BA68" s="2603"/>
      <c r="BB68" s="2603"/>
      <c r="BC68" s="2603"/>
      <c r="BD68" s="2603"/>
      <c r="BE68" s="2603"/>
      <c r="BF68" s="3054"/>
      <c r="BG68" s="3058"/>
      <c r="BH68" s="3058"/>
      <c r="BI68" s="2969"/>
      <c r="BJ68" s="3062"/>
      <c r="BK68" s="3054"/>
      <c r="BL68" s="3063"/>
      <c r="BM68" s="3063"/>
      <c r="BN68" s="3064"/>
      <c r="BO68" s="3064"/>
      <c r="BP68" s="2751"/>
    </row>
    <row r="69" spans="1:68" ht="79.900000000000006" customHeight="1" x14ac:dyDescent="0.25">
      <c r="A69" s="1764"/>
      <c r="C69" s="1765"/>
      <c r="G69" s="3047"/>
      <c r="H69" s="3049"/>
      <c r="I69" s="3051"/>
      <c r="J69" s="2708"/>
      <c r="K69" s="2598"/>
      <c r="L69" s="3052"/>
      <c r="M69" s="2727"/>
      <c r="N69" s="2727"/>
      <c r="O69" s="2725"/>
      <c r="P69" s="3056"/>
      <c r="Q69" s="3057"/>
      <c r="R69" s="2725"/>
      <c r="S69" s="2725"/>
      <c r="T69" s="1750" t="s">
        <v>1476</v>
      </c>
      <c r="U69" s="1769">
        <v>15762000</v>
      </c>
      <c r="V69" s="1815">
        <v>15762000</v>
      </c>
      <c r="W69" s="1815">
        <v>15762000</v>
      </c>
      <c r="X69" s="1527">
        <v>20</v>
      </c>
      <c r="Y69" s="2002" t="s">
        <v>124</v>
      </c>
      <c r="Z69" s="3054"/>
      <c r="AA69" s="1495"/>
      <c r="AB69" s="2603"/>
      <c r="AC69" s="2603"/>
      <c r="AD69" s="2603"/>
      <c r="AE69" s="2603"/>
      <c r="AF69" s="2603"/>
      <c r="AG69" s="2603"/>
      <c r="AH69" s="2603"/>
      <c r="AI69" s="2603"/>
      <c r="AJ69" s="2603"/>
      <c r="AK69" s="2603"/>
      <c r="AL69" s="2603"/>
      <c r="AM69" s="2603"/>
      <c r="AN69" s="2603"/>
      <c r="AO69" s="2603"/>
      <c r="AP69" s="2603"/>
      <c r="AQ69" s="2603"/>
      <c r="AR69" s="2603"/>
      <c r="AS69" s="2603"/>
      <c r="AT69" s="2603"/>
      <c r="AU69" s="2603"/>
      <c r="AV69" s="2603"/>
      <c r="AW69" s="2603"/>
      <c r="AX69" s="2603"/>
      <c r="AY69" s="2603"/>
      <c r="AZ69" s="2603"/>
      <c r="BA69" s="2603"/>
      <c r="BB69" s="2603"/>
      <c r="BC69" s="2603"/>
      <c r="BD69" s="2603"/>
      <c r="BE69" s="2603"/>
      <c r="BF69" s="3054"/>
      <c r="BG69" s="3058"/>
      <c r="BH69" s="3058"/>
      <c r="BI69" s="2969"/>
      <c r="BJ69" s="3062"/>
      <c r="BK69" s="3054"/>
      <c r="BL69" s="3063"/>
      <c r="BM69" s="3063"/>
      <c r="BN69" s="3064"/>
      <c r="BO69" s="3064"/>
      <c r="BP69" s="2751"/>
    </row>
    <row r="70" spans="1:68" ht="84" customHeight="1" x14ac:dyDescent="0.25">
      <c r="A70" s="1764"/>
      <c r="C70" s="1765"/>
      <c r="G70" s="3047"/>
      <c r="H70" s="3049"/>
      <c r="I70" s="3051"/>
      <c r="J70" s="2708"/>
      <c r="K70" s="2598"/>
      <c r="L70" s="3052"/>
      <c r="M70" s="2727"/>
      <c r="N70" s="2727"/>
      <c r="O70" s="2725"/>
      <c r="P70" s="3056"/>
      <c r="Q70" s="3057"/>
      <c r="R70" s="2725"/>
      <c r="S70" s="2725"/>
      <c r="T70" s="1750" t="s">
        <v>1415</v>
      </c>
      <c r="U70" s="1769">
        <v>7166000</v>
      </c>
      <c r="V70" s="1815">
        <v>7166000</v>
      </c>
      <c r="W70" s="1815">
        <v>7166000</v>
      </c>
      <c r="X70" s="1527">
        <v>20</v>
      </c>
      <c r="Y70" s="2002" t="s">
        <v>124</v>
      </c>
      <c r="Z70" s="3054"/>
      <c r="AA70" s="1495"/>
      <c r="AB70" s="2603"/>
      <c r="AC70" s="2603"/>
      <c r="AD70" s="2603"/>
      <c r="AE70" s="2603"/>
      <c r="AF70" s="2603"/>
      <c r="AG70" s="2603"/>
      <c r="AH70" s="2603"/>
      <c r="AI70" s="2603"/>
      <c r="AJ70" s="2603"/>
      <c r="AK70" s="2603"/>
      <c r="AL70" s="2603"/>
      <c r="AM70" s="2603"/>
      <c r="AN70" s="2603"/>
      <c r="AO70" s="2603"/>
      <c r="AP70" s="2603"/>
      <c r="AQ70" s="2603"/>
      <c r="AR70" s="2603"/>
      <c r="AS70" s="2603"/>
      <c r="AT70" s="2603"/>
      <c r="AU70" s="2603"/>
      <c r="AV70" s="2603"/>
      <c r="AW70" s="2603"/>
      <c r="AX70" s="2603"/>
      <c r="AY70" s="2603"/>
      <c r="AZ70" s="2603"/>
      <c r="BA70" s="2603"/>
      <c r="BB70" s="2603"/>
      <c r="BC70" s="2603"/>
      <c r="BD70" s="2603"/>
      <c r="BE70" s="2603"/>
      <c r="BF70" s="3054"/>
      <c r="BG70" s="3058"/>
      <c r="BH70" s="3058"/>
      <c r="BI70" s="2969"/>
      <c r="BJ70" s="3062"/>
      <c r="BK70" s="3054"/>
      <c r="BL70" s="3063"/>
      <c r="BM70" s="3063"/>
      <c r="BN70" s="3064"/>
      <c r="BO70" s="3064"/>
      <c r="BP70" s="2751"/>
    </row>
    <row r="71" spans="1:68" ht="85.15" customHeight="1" x14ac:dyDescent="0.25">
      <c r="A71" s="1764"/>
      <c r="C71" s="1765"/>
      <c r="G71" s="3047"/>
      <c r="H71" s="3049"/>
      <c r="I71" s="3051"/>
      <c r="J71" s="2708"/>
      <c r="K71" s="2598"/>
      <c r="L71" s="3052"/>
      <c r="M71" s="2727"/>
      <c r="N71" s="2727"/>
      <c r="O71" s="2725"/>
      <c r="P71" s="3056"/>
      <c r="Q71" s="3057"/>
      <c r="R71" s="2725"/>
      <c r="S71" s="2725"/>
      <c r="T71" s="1750" t="s">
        <v>1417</v>
      </c>
      <c r="U71" s="1769">
        <v>15429333</v>
      </c>
      <c r="V71" s="1815">
        <v>15429333</v>
      </c>
      <c r="W71" s="1815">
        <v>15429333</v>
      </c>
      <c r="X71" s="1527">
        <v>20</v>
      </c>
      <c r="Y71" s="2002" t="s">
        <v>124</v>
      </c>
      <c r="Z71" s="3054"/>
      <c r="AA71" s="1495"/>
      <c r="AB71" s="2603"/>
      <c r="AC71" s="2603"/>
      <c r="AD71" s="2603"/>
      <c r="AE71" s="2603"/>
      <c r="AF71" s="2603"/>
      <c r="AG71" s="2603"/>
      <c r="AH71" s="2603"/>
      <c r="AI71" s="2603"/>
      <c r="AJ71" s="2603"/>
      <c r="AK71" s="2603"/>
      <c r="AL71" s="2603"/>
      <c r="AM71" s="2603"/>
      <c r="AN71" s="2603"/>
      <c r="AO71" s="2603"/>
      <c r="AP71" s="2603"/>
      <c r="AQ71" s="2603"/>
      <c r="AR71" s="2603"/>
      <c r="AS71" s="2603"/>
      <c r="AT71" s="2603"/>
      <c r="AU71" s="2603"/>
      <c r="AV71" s="2603"/>
      <c r="AW71" s="2603"/>
      <c r="AX71" s="2603"/>
      <c r="AY71" s="2603"/>
      <c r="AZ71" s="2603"/>
      <c r="BA71" s="2603"/>
      <c r="BB71" s="2603"/>
      <c r="BC71" s="2603"/>
      <c r="BD71" s="2603"/>
      <c r="BE71" s="2603"/>
      <c r="BF71" s="3054"/>
      <c r="BG71" s="3058"/>
      <c r="BH71" s="3058"/>
      <c r="BI71" s="2969"/>
      <c r="BJ71" s="3062"/>
      <c r="BK71" s="3054"/>
      <c r="BL71" s="3063"/>
      <c r="BM71" s="3063"/>
      <c r="BN71" s="3064"/>
      <c r="BO71" s="3064"/>
      <c r="BP71" s="2751"/>
    </row>
    <row r="72" spans="1:68" ht="51.75" customHeight="1" x14ac:dyDescent="0.25">
      <c r="A72" s="1764"/>
      <c r="C72" s="1765"/>
      <c r="G72" s="3047"/>
      <c r="H72" s="3049"/>
      <c r="I72" s="3051"/>
      <c r="J72" s="2708"/>
      <c r="K72" s="2598"/>
      <c r="L72" s="3052"/>
      <c r="M72" s="2727"/>
      <c r="N72" s="2727"/>
      <c r="O72" s="2725"/>
      <c r="P72" s="3056"/>
      <c r="Q72" s="3057"/>
      <c r="R72" s="2725"/>
      <c r="S72" s="2725"/>
      <c r="T72" s="1750" t="s">
        <v>1477</v>
      </c>
      <c r="U72" s="1769">
        <v>20833333</v>
      </c>
      <c r="V72" s="1815">
        <v>20833333</v>
      </c>
      <c r="W72" s="1815">
        <v>20833333</v>
      </c>
      <c r="X72" s="1527">
        <v>20</v>
      </c>
      <c r="Y72" s="2002" t="s">
        <v>124</v>
      </c>
      <c r="Z72" s="3054"/>
      <c r="AA72" s="1495"/>
      <c r="AB72" s="2603"/>
      <c r="AC72" s="2603"/>
      <c r="AD72" s="2603"/>
      <c r="AE72" s="2603"/>
      <c r="AF72" s="2603"/>
      <c r="AG72" s="2603"/>
      <c r="AH72" s="2603"/>
      <c r="AI72" s="2603"/>
      <c r="AJ72" s="2603"/>
      <c r="AK72" s="2603"/>
      <c r="AL72" s="2603"/>
      <c r="AM72" s="2603"/>
      <c r="AN72" s="2603"/>
      <c r="AO72" s="2603"/>
      <c r="AP72" s="2603"/>
      <c r="AQ72" s="2603"/>
      <c r="AR72" s="2603"/>
      <c r="AS72" s="2603"/>
      <c r="AT72" s="2603"/>
      <c r="AU72" s="2603"/>
      <c r="AV72" s="2603"/>
      <c r="AW72" s="2603"/>
      <c r="AX72" s="2603"/>
      <c r="AY72" s="2603"/>
      <c r="AZ72" s="2603"/>
      <c r="BA72" s="2603"/>
      <c r="BB72" s="2603"/>
      <c r="BC72" s="2603"/>
      <c r="BD72" s="2603"/>
      <c r="BE72" s="2603"/>
      <c r="BF72" s="3054"/>
      <c r="BG72" s="3058"/>
      <c r="BH72" s="3058"/>
      <c r="BI72" s="2969"/>
      <c r="BJ72" s="3062"/>
      <c r="BK72" s="3054"/>
      <c r="BL72" s="3063"/>
      <c r="BM72" s="3063"/>
      <c r="BN72" s="3064"/>
      <c r="BO72" s="3064"/>
      <c r="BP72" s="2751"/>
    </row>
    <row r="73" spans="1:68" ht="51.75" customHeight="1" x14ac:dyDescent="0.25">
      <c r="A73" s="1764"/>
      <c r="C73" s="1765"/>
      <c r="G73" s="3047"/>
      <c r="H73" s="3049"/>
      <c r="I73" s="3051"/>
      <c r="J73" s="2708"/>
      <c r="K73" s="2598"/>
      <c r="L73" s="3052"/>
      <c r="M73" s="2727"/>
      <c r="N73" s="2727"/>
      <c r="O73" s="2725"/>
      <c r="P73" s="3056"/>
      <c r="Q73" s="3057"/>
      <c r="R73" s="2725"/>
      <c r="S73" s="2725"/>
      <c r="T73" s="1750" t="s">
        <v>1478</v>
      </c>
      <c r="U73" s="1769">
        <v>45045333</v>
      </c>
      <c r="V73" s="1815">
        <v>45045333</v>
      </c>
      <c r="W73" s="1815">
        <v>45045333</v>
      </c>
      <c r="X73" s="1527">
        <v>23</v>
      </c>
      <c r="Y73" s="2002" t="s">
        <v>1810</v>
      </c>
      <c r="Z73" s="3054"/>
      <c r="AA73" s="1495"/>
      <c r="AB73" s="2603"/>
      <c r="AC73" s="2603"/>
      <c r="AD73" s="2603"/>
      <c r="AE73" s="2603"/>
      <c r="AF73" s="2603"/>
      <c r="AG73" s="2603"/>
      <c r="AH73" s="2603"/>
      <c r="AI73" s="2603"/>
      <c r="AJ73" s="2603"/>
      <c r="AK73" s="2603"/>
      <c r="AL73" s="2603"/>
      <c r="AM73" s="2603"/>
      <c r="AN73" s="2603"/>
      <c r="AO73" s="2603"/>
      <c r="AP73" s="2603"/>
      <c r="AQ73" s="2603"/>
      <c r="AR73" s="2603"/>
      <c r="AS73" s="2603"/>
      <c r="AT73" s="2603"/>
      <c r="AU73" s="2603"/>
      <c r="AV73" s="2603"/>
      <c r="AW73" s="2603"/>
      <c r="AX73" s="2603"/>
      <c r="AY73" s="2603"/>
      <c r="AZ73" s="2603"/>
      <c r="BA73" s="2603"/>
      <c r="BB73" s="2603"/>
      <c r="BC73" s="2603"/>
      <c r="BD73" s="2603"/>
      <c r="BE73" s="2603"/>
      <c r="BF73" s="3054"/>
      <c r="BG73" s="3058"/>
      <c r="BH73" s="3058"/>
      <c r="BI73" s="2969"/>
      <c r="BJ73" s="3062"/>
      <c r="BK73" s="3054"/>
      <c r="BL73" s="3063"/>
      <c r="BM73" s="3063"/>
      <c r="BN73" s="3064"/>
      <c r="BO73" s="3064"/>
      <c r="BP73" s="2751"/>
    </row>
    <row r="74" spans="1:68" ht="60.75" customHeight="1" x14ac:dyDescent="0.25">
      <c r="A74" s="1764"/>
      <c r="C74" s="1765"/>
      <c r="G74" s="3047"/>
      <c r="H74" s="3049"/>
      <c r="I74" s="3051"/>
      <c r="J74" s="2708"/>
      <c r="K74" s="2598"/>
      <c r="L74" s="3052"/>
      <c r="M74" s="2727"/>
      <c r="N74" s="2727"/>
      <c r="O74" s="2725"/>
      <c r="P74" s="3056"/>
      <c r="Q74" s="3057"/>
      <c r="R74" s="2725"/>
      <c r="S74" s="2725"/>
      <c r="T74" s="1750" t="s">
        <v>1479</v>
      </c>
      <c r="U74" s="1769">
        <v>37700000</v>
      </c>
      <c r="V74" s="1815">
        <v>37700000</v>
      </c>
      <c r="W74" s="1815">
        <v>37700000</v>
      </c>
      <c r="X74" s="1527">
        <v>23</v>
      </c>
      <c r="Y74" s="2002" t="s">
        <v>1810</v>
      </c>
      <c r="Z74" s="3054"/>
      <c r="AA74" s="1495"/>
      <c r="AB74" s="2603"/>
      <c r="AC74" s="2603"/>
      <c r="AD74" s="2603"/>
      <c r="AE74" s="2603"/>
      <c r="AF74" s="2603"/>
      <c r="AG74" s="2603"/>
      <c r="AH74" s="2603"/>
      <c r="AI74" s="2603"/>
      <c r="AJ74" s="2603"/>
      <c r="AK74" s="2603"/>
      <c r="AL74" s="2603"/>
      <c r="AM74" s="2603"/>
      <c r="AN74" s="2603"/>
      <c r="AO74" s="2603"/>
      <c r="AP74" s="2603"/>
      <c r="AQ74" s="2603"/>
      <c r="AR74" s="2603"/>
      <c r="AS74" s="2603"/>
      <c r="AT74" s="2603"/>
      <c r="AU74" s="2603"/>
      <c r="AV74" s="2603"/>
      <c r="AW74" s="2603"/>
      <c r="AX74" s="2603"/>
      <c r="AY74" s="2603"/>
      <c r="AZ74" s="2603"/>
      <c r="BA74" s="2603"/>
      <c r="BB74" s="2603"/>
      <c r="BC74" s="2603"/>
      <c r="BD74" s="2603"/>
      <c r="BE74" s="2603"/>
      <c r="BF74" s="3054"/>
      <c r="BG74" s="3058"/>
      <c r="BH74" s="3058"/>
      <c r="BI74" s="2969"/>
      <c r="BJ74" s="3062"/>
      <c r="BK74" s="3054"/>
      <c r="BL74" s="3063"/>
      <c r="BM74" s="3063"/>
      <c r="BN74" s="3064"/>
      <c r="BO74" s="3064"/>
      <c r="BP74" s="2751"/>
    </row>
    <row r="75" spans="1:68" ht="58.5" customHeight="1" x14ac:dyDescent="0.25">
      <c r="A75" s="1764"/>
      <c r="C75" s="1765"/>
      <c r="G75" s="3047"/>
      <c r="H75" s="3049"/>
      <c r="I75" s="3051"/>
      <c r="J75" s="2708"/>
      <c r="K75" s="2598"/>
      <c r="L75" s="3052"/>
      <c r="M75" s="2727"/>
      <c r="N75" s="2727"/>
      <c r="O75" s="2725"/>
      <c r="P75" s="3056"/>
      <c r="Q75" s="3057"/>
      <c r="R75" s="2725"/>
      <c r="S75" s="2725"/>
      <c r="T75" s="1750" t="s">
        <v>1480</v>
      </c>
      <c r="U75" s="1769">
        <v>4533333</v>
      </c>
      <c r="V75" s="1815">
        <v>4533333</v>
      </c>
      <c r="W75" s="1815">
        <v>4533333</v>
      </c>
      <c r="X75" s="1527">
        <v>23</v>
      </c>
      <c r="Y75" s="2002" t="s">
        <v>1810</v>
      </c>
      <c r="Z75" s="3054"/>
      <c r="AA75" s="1495"/>
      <c r="AB75" s="2603"/>
      <c r="AC75" s="2603"/>
      <c r="AD75" s="2603"/>
      <c r="AE75" s="2603"/>
      <c r="AF75" s="2603"/>
      <c r="AG75" s="2603"/>
      <c r="AH75" s="2603"/>
      <c r="AI75" s="2603"/>
      <c r="AJ75" s="2603"/>
      <c r="AK75" s="2603"/>
      <c r="AL75" s="2603"/>
      <c r="AM75" s="2603"/>
      <c r="AN75" s="2603"/>
      <c r="AO75" s="2603"/>
      <c r="AP75" s="2603"/>
      <c r="AQ75" s="2603"/>
      <c r="AR75" s="2603"/>
      <c r="AS75" s="2603"/>
      <c r="AT75" s="2603"/>
      <c r="AU75" s="2603"/>
      <c r="AV75" s="2603"/>
      <c r="AW75" s="2603"/>
      <c r="AX75" s="2603"/>
      <c r="AY75" s="2603"/>
      <c r="AZ75" s="2603"/>
      <c r="BA75" s="2603"/>
      <c r="BB75" s="2603"/>
      <c r="BC75" s="2603"/>
      <c r="BD75" s="2603"/>
      <c r="BE75" s="2603"/>
      <c r="BF75" s="3054"/>
      <c r="BG75" s="3058"/>
      <c r="BH75" s="3058"/>
      <c r="BI75" s="2969"/>
      <c r="BJ75" s="3062"/>
      <c r="BK75" s="3054"/>
      <c r="BL75" s="3063"/>
      <c r="BM75" s="3063"/>
      <c r="BN75" s="3064"/>
      <c r="BO75" s="3064"/>
      <c r="BP75" s="2751"/>
    </row>
    <row r="76" spans="1:68" ht="60" customHeight="1" x14ac:dyDescent="0.25">
      <c r="A76" s="1764"/>
      <c r="C76" s="1765"/>
      <c r="G76" s="3047"/>
      <c r="H76" s="3049"/>
      <c r="I76" s="3051"/>
      <c r="J76" s="2708"/>
      <c r="K76" s="2598"/>
      <c r="L76" s="3052"/>
      <c r="M76" s="2727"/>
      <c r="N76" s="2727"/>
      <c r="O76" s="2725"/>
      <c r="P76" s="3056"/>
      <c r="Q76" s="3057"/>
      <c r="R76" s="2725"/>
      <c r="S76" s="2725"/>
      <c r="T76" s="3053" t="s">
        <v>1481</v>
      </c>
      <c r="U76" s="1769">
        <v>11602334</v>
      </c>
      <c r="V76" s="1769">
        <v>11600000</v>
      </c>
      <c r="W76" s="1769">
        <v>11600000</v>
      </c>
      <c r="X76" s="1527">
        <v>20</v>
      </c>
      <c r="Y76" s="2002" t="s">
        <v>124</v>
      </c>
      <c r="Z76" s="3054"/>
      <c r="AA76" s="1495"/>
      <c r="AB76" s="2603"/>
      <c r="AC76" s="2603"/>
      <c r="AD76" s="2603"/>
      <c r="AE76" s="2603"/>
      <c r="AF76" s="2603"/>
      <c r="AG76" s="2603"/>
      <c r="AH76" s="2603"/>
      <c r="AI76" s="2603"/>
      <c r="AJ76" s="2603"/>
      <c r="AK76" s="2603"/>
      <c r="AL76" s="2603"/>
      <c r="AM76" s="2603"/>
      <c r="AN76" s="2603"/>
      <c r="AO76" s="2603"/>
      <c r="AP76" s="2603"/>
      <c r="AQ76" s="2603"/>
      <c r="AR76" s="2603"/>
      <c r="AS76" s="2603"/>
      <c r="AT76" s="2603"/>
      <c r="AU76" s="2603"/>
      <c r="AV76" s="2603"/>
      <c r="AW76" s="2603"/>
      <c r="AX76" s="2603"/>
      <c r="AY76" s="2603"/>
      <c r="AZ76" s="2603"/>
      <c r="BA76" s="2603"/>
      <c r="BB76" s="2603"/>
      <c r="BC76" s="2603"/>
      <c r="BD76" s="2603"/>
      <c r="BE76" s="2603"/>
      <c r="BF76" s="3054"/>
      <c r="BG76" s="3058"/>
      <c r="BH76" s="3058"/>
      <c r="BI76" s="2969"/>
      <c r="BJ76" s="3062"/>
      <c r="BK76" s="3054"/>
      <c r="BL76" s="3063"/>
      <c r="BM76" s="3063"/>
      <c r="BN76" s="3064"/>
      <c r="BO76" s="3064"/>
      <c r="BP76" s="2751"/>
    </row>
    <row r="77" spans="1:68" ht="53.25" customHeight="1" x14ac:dyDescent="0.25">
      <c r="A77" s="1764"/>
      <c r="C77" s="1765"/>
      <c r="G77" s="3047"/>
      <c r="H77" s="3049"/>
      <c r="I77" s="3051"/>
      <c r="J77" s="2708"/>
      <c r="K77" s="2598"/>
      <c r="L77" s="3052"/>
      <c r="M77" s="2727"/>
      <c r="N77" s="2727"/>
      <c r="O77" s="2725"/>
      <c r="P77" s="3056"/>
      <c r="Q77" s="3057"/>
      <c r="R77" s="2725"/>
      <c r="S77" s="2725"/>
      <c r="T77" s="3053"/>
      <c r="U77" s="1769">
        <v>12025411.939999999</v>
      </c>
      <c r="V77" s="1769">
        <v>12000000</v>
      </c>
      <c r="W77" s="1769">
        <v>12000000</v>
      </c>
      <c r="X77" s="1527">
        <v>89</v>
      </c>
      <c r="Y77" s="2277" t="s">
        <v>1811</v>
      </c>
      <c r="Z77" s="3054"/>
      <c r="AA77" s="1495"/>
      <c r="AB77" s="2603"/>
      <c r="AC77" s="2603"/>
      <c r="AD77" s="2603"/>
      <c r="AE77" s="2603"/>
      <c r="AF77" s="2603"/>
      <c r="AG77" s="2603"/>
      <c r="AH77" s="2603"/>
      <c r="AI77" s="2603"/>
      <c r="AJ77" s="2603"/>
      <c r="AK77" s="2603"/>
      <c r="AL77" s="2603"/>
      <c r="AM77" s="2603"/>
      <c r="AN77" s="2603"/>
      <c r="AO77" s="2603"/>
      <c r="AP77" s="2603"/>
      <c r="AQ77" s="2603"/>
      <c r="AR77" s="2603"/>
      <c r="AS77" s="2603"/>
      <c r="AT77" s="2603"/>
      <c r="AU77" s="2603"/>
      <c r="AV77" s="2603"/>
      <c r="AW77" s="2603"/>
      <c r="AX77" s="2603"/>
      <c r="AY77" s="2603"/>
      <c r="AZ77" s="2603"/>
      <c r="BA77" s="2603"/>
      <c r="BB77" s="2603"/>
      <c r="BC77" s="2603"/>
      <c r="BD77" s="2603"/>
      <c r="BE77" s="2603"/>
      <c r="BF77" s="3054"/>
      <c r="BG77" s="3058"/>
      <c r="BH77" s="3058"/>
      <c r="BI77" s="2969"/>
      <c r="BJ77" s="3062"/>
      <c r="BK77" s="3054"/>
      <c r="BL77" s="3063"/>
      <c r="BM77" s="3063"/>
      <c r="BN77" s="3064"/>
      <c r="BO77" s="3064"/>
      <c r="BP77" s="2751"/>
    </row>
    <row r="78" spans="1:68" ht="107.25" customHeight="1" x14ac:dyDescent="0.25">
      <c r="A78" s="1764"/>
      <c r="C78" s="1765"/>
      <c r="G78" s="3047"/>
      <c r="H78" s="3049"/>
      <c r="I78" s="3051"/>
      <c r="J78" s="2708"/>
      <c r="K78" s="2598"/>
      <c r="L78" s="3052"/>
      <c r="M78" s="2727"/>
      <c r="N78" s="2727"/>
      <c r="O78" s="2725"/>
      <c r="P78" s="3056"/>
      <c r="Q78" s="3057"/>
      <c r="R78" s="2725"/>
      <c r="S78" s="2725"/>
      <c r="T78" s="3053"/>
      <c r="U78" s="1769">
        <v>68036433</v>
      </c>
      <c r="V78" s="1769">
        <v>29801405</v>
      </c>
      <c r="W78" s="1769">
        <v>29801405</v>
      </c>
      <c r="X78" s="1527">
        <v>88</v>
      </c>
      <c r="Y78" s="1999" t="s">
        <v>247</v>
      </c>
      <c r="Z78" s="3054"/>
      <c r="AA78" s="1495"/>
      <c r="AB78" s="2603"/>
      <c r="AC78" s="2603"/>
      <c r="AD78" s="2603"/>
      <c r="AE78" s="2603"/>
      <c r="AF78" s="2603"/>
      <c r="AG78" s="2603"/>
      <c r="AH78" s="2603"/>
      <c r="AI78" s="2603"/>
      <c r="AJ78" s="2603"/>
      <c r="AK78" s="2603"/>
      <c r="AL78" s="2603"/>
      <c r="AM78" s="2603"/>
      <c r="AN78" s="2603"/>
      <c r="AO78" s="2603"/>
      <c r="AP78" s="2603"/>
      <c r="AQ78" s="2603"/>
      <c r="AR78" s="2603"/>
      <c r="AS78" s="2603"/>
      <c r="AT78" s="2603"/>
      <c r="AU78" s="2603"/>
      <c r="AV78" s="2603"/>
      <c r="AW78" s="2603"/>
      <c r="AX78" s="2603"/>
      <c r="AY78" s="2603"/>
      <c r="AZ78" s="2603"/>
      <c r="BA78" s="2603"/>
      <c r="BB78" s="2603"/>
      <c r="BC78" s="2603"/>
      <c r="BD78" s="2603"/>
      <c r="BE78" s="2603"/>
      <c r="BF78" s="3054"/>
      <c r="BG78" s="3058"/>
      <c r="BH78" s="3058"/>
      <c r="BI78" s="2969"/>
      <c r="BJ78" s="3062"/>
      <c r="BK78" s="3054"/>
      <c r="BL78" s="3063"/>
      <c r="BM78" s="3063"/>
      <c r="BN78" s="3064"/>
      <c r="BO78" s="3064"/>
      <c r="BP78" s="2751"/>
    </row>
    <row r="79" spans="1:68" ht="107.25" customHeight="1" x14ac:dyDescent="0.25">
      <c r="A79" s="1764"/>
      <c r="C79" s="1765"/>
      <c r="G79" s="3047"/>
      <c r="H79" s="3049"/>
      <c r="I79" s="3051"/>
      <c r="J79" s="2708"/>
      <c r="K79" s="2598"/>
      <c r="L79" s="3052"/>
      <c r="M79" s="2727"/>
      <c r="N79" s="2727"/>
      <c r="O79" s="2725"/>
      <c r="P79" s="3056"/>
      <c r="Q79" s="3057"/>
      <c r="R79" s="2725"/>
      <c r="S79" s="2725"/>
      <c r="T79" s="1750" t="s">
        <v>1482</v>
      </c>
      <c r="U79" s="1769">
        <f>100000000+18100000</f>
        <v>118100000</v>
      </c>
      <c r="V79" s="1769">
        <v>88490000</v>
      </c>
      <c r="W79" s="1769">
        <v>88490000</v>
      </c>
      <c r="X79" s="1527">
        <v>88</v>
      </c>
      <c r="Y79" s="1999" t="s">
        <v>247</v>
      </c>
      <c r="Z79" s="3054"/>
      <c r="AA79" s="1495"/>
      <c r="AB79" s="2603"/>
      <c r="AC79" s="2603"/>
      <c r="AD79" s="2603"/>
      <c r="AE79" s="2603"/>
      <c r="AF79" s="2603"/>
      <c r="AG79" s="2603"/>
      <c r="AH79" s="2603"/>
      <c r="AI79" s="2603"/>
      <c r="AJ79" s="2603"/>
      <c r="AK79" s="2603"/>
      <c r="AL79" s="2603"/>
      <c r="AM79" s="2603"/>
      <c r="AN79" s="2603"/>
      <c r="AO79" s="2603"/>
      <c r="AP79" s="2603"/>
      <c r="AQ79" s="2603"/>
      <c r="AR79" s="2603"/>
      <c r="AS79" s="2603"/>
      <c r="AT79" s="2603"/>
      <c r="AU79" s="2603"/>
      <c r="AV79" s="2603"/>
      <c r="AW79" s="2603"/>
      <c r="AX79" s="2603"/>
      <c r="AY79" s="2603"/>
      <c r="AZ79" s="2603"/>
      <c r="BA79" s="2603"/>
      <c r="BB79" s="2603"/>
      <c r="BC79" s="2603"/>
      <c r="BD79" s="2603"/>
      <c r="BE79" s="2603"/>
      <c r="BF79" s="3054"/>
      <c r="BG79" s="3058"/>
      <c r="BH79" s="3058"/>
      <c r="BI79" s="2969"/>
      <c r="BJ79" s="3062"/>
      <c r="BK79" s="3054"/>
      <c r="BL79" s="3063"/>
      <c r="BM79" s="3063"/>
      <c r="BN79" s="3064"/>
      <c r="BO79" s="3064"/>
      <c r="BP79" s="2751"/>
    </row>
    <row r="80" spans="1:68" ht="107.25" customHeight="1" x14ac:dyDescent="0.25">
      <c r="A80" s="1764"/>
      <c r="C80" s="1765"/>
      <c r="G80" s="3047"/>
      <c r="H80" s="3049"/>
      <c r="I80" s="3051"/>
      <c r="J80" s="2708"/>
      <c r="K80" s="2598"/>
      <c r="L80" s="3052"/>
      <c r="M80" s="2727"/>
      <c r="N80" s="2727"/>
      <c r="O80" s="2725"/>
      <c r="P80" s="3056"/>
      <c r="Q80" s="3057"/>
      <c r="R80" s="2725"/>
      <c r="S80" s="2725"/>
      <c r="T80" s="1539" t="s">
        <v>1483</v>
      </c>
      <c r="U80" s="1769">
        <v>270228336</v>
      </c>
      <c r="V80" s="1815">
        <v>0</v>
      </c>
      <c r="W80" s="1815">
        <v>0</v>
      </c>
      <c r="X80" s="1527">
        <v>88</v>
      </c>
      <c r="Y80" s="1999" t="s">
        <v>247</v>
      </c>
      <c r="Z80" s="3054"/>
      <c r="AA80" s="1495"/>
      <c r="AB80" s="2603"/>
      <c r="AC80" s="2603"/>
      <c r="AD80" s="2603"/>
      <c r="AE80" s="2603"/>
      <c r="AF80" s="2603"/>
      <c r="AG80" s="2603"/>
      <c r="AH80" s="2603"/>
      <c r="AI80" s="2603"/>
      <c r="AJ80" s="2603"/>
      <c r="AK80" s="2603"/>
      <c r="AL80" s="2603"/>
      <c r="AM80" s="2603"/>
      <c r="AN80" s="2603"/>
      <c r="AO80" s="2603"/>
      <c r="AP80" s="2603"/>
      <c r="AQ80" s="2603"/>
      <c r="AR80" s="2603"/>
      <c r="AS80" s="2603"/>
      <c r="AT80" s="2603"/>
      <c r="AU80" s="2603"/>
      <c r="AV80" s="2603"/>
      <c r="AW80" s="2603"/>
      <c r="AX80" s="2603"/>
      <c r="AY80" s="2603"/>
      <c r="AZ80" s="2603"/>
      <c r="BA80" s="2603"/>
      <c r="BB80" s="2603"/>
      <c r="BC80" s="2603"/>
      <c r="BD80" s="2603"/>
      <c r="BE80" s="2603"/>
      <c r="BF80" s="3054"/>
      <c r="BG80" s="3058"/>
      <c r="BH80" s="3058"/>
      <c r="BI80" s="2969"/>
      <c r="BJ80" s="3062"/>
      <c r="BK80" s="3054"/>
      <c r="BL80" s="3063"/>
      <c r="BM80" s="3063"/>
      <c r="BN80" s="3064"/>
      <c r="BO80" s="3064"/>
      <c r="BP80" s="2751"/>
    </row>
    <row r="81" spans="1:68" ht="107.25" customHeight="1" x14ac:dyDescent="0.25">
      <c r="A81" s="1764"/>
      <c r="C81" s="1765"/>
      <c r="G81" s="3047"/>
      <c r="H81" s="3049"/>
      <c r="I81" s="3051"/>
      <c r="J81" s="2708"/>
      <c r="K81" s="2598"/>
      <c r="L81" s="3052"/>
      <c r="M81" s="2727"/>
      <c r="N81" s="2727"/>
      <c r="O81" s="2725"/>
      <c r="P81" s="3056"/>
      <c r="Q81" s="3057"/>
      <c r="R81" s="2725"/>
      <c r="S81" s="2725"/>
      <c r="T81" s="3053" t="s">
        <v>1484</v>
      </c>
      <c r="U81" s="1769">
        <v>200000</v>
      </c>
      <c r="V81" s="1815">
        <v>200000</v>
      </c>
      <c r="W81" s="1815">
        <v>200000</v>
      </c>
      <c r="X81" s="1527">
        <v>20</v>
      </c>
      <c r="Y81" s="2002" t="s">
        <v>124</v>
      </c>
      <c r="Z81" s="3054"/>
      <c r="AA81" s="1495"/>
      <c r="AB81" s="2603"/>
      <c r="AC81" s="2603"/>
      <c r="AD81" s="2603"/>
      <c r="AE81" s="2603"/>
      <c r="AF81" s="2603"/>
      <c r="AG81" s="2603"/>
      <c r="AH81" s="2603"/>
      <c r="AI81" s="2603"/>
      <c r="AJ81" s="2603"/>
      <c r="AK81" s="2603"/>
      <c r="AL81" s="2603"/>
      <c r="AM81" s="2603"/>
      <c r="AN81" s="2603"/>
      <c r="AO81" s="2603"/>
      <c r="AP81" s="2603"/>
      <c r="AQ81" s="2603"/>
      <c r="AR81" s="2603"/>
      <c r="AS81" s="2603"/>
      <c r="AT81" s="2603"/>
      <c r="AU81" s="2603"/>
      <c r="AV81" s="2603"/>
      <c r="AW81" s="2603"/>
      <c r="AX81" s="2603"/>
      <c r="AY81" s="2603"/>
      <c r="AZ81" s="2603"/>
      <c r="BA81" s="2603"/>
      <c r="BB81" s="2603"/>
      <c r="BC81" s="2603"/>
      <c r="BD81" s="2603"/>
      <c r="BE81" s="2603"/>
      <c r="BF81" s="3054"/>
      <c r="BG81" s="3058"/>
      <c r="BH81" s="3058"/>
      <c r="BI81" s="2969"/>
      <c r="BJ81" s="3062"/>
      <c r="BK81" s="3054"/>
      <c r="BL81" s="3063"/>
      <c r="BM81" s="3063"/>
      <c r="BN81" s="3064"/>
      <c r="BO81" s="3064"/>
      <c r="BP81" s="2751"/>
    </row>
    <row r="82" spans="1:68" ht="107.25" customHeight="1" x14ac:dyDescent="0.25">
      <c r="A82" s="1764"/>
      <c r="C82" s="1765"/>
      <c r="G82" s="3047"/>
      <c r="H82" s="3049"/>
      <c r="I82" s="3051"/>
      <c r="J82" s="2708"/>
      <c r="K82" s="2598"/>
      <c r="L82" s="3052"/>
      <c r="M82" s="2727"/>
      <c r="N82" s="2727"/>
      <c r="O82" s="2725"/>
      <c r="P82" s="3056"/>
      <c r="Q82" s="3057"/>
      <c r="R82" s="2725"/>
      <c r="S82" s="2725"/>
      <c r="T82" s="3053"/>
      <c r="U82" s="1769">
        <v>2700000</v>
      </c>
      <c r="V82" s="1815">
        <v>2475000</v>
      </c>
      <c r="W82" s="1815">
        <v>2475000</v>
      </c>
      <c r="X82" s="1527">
        <v>88</v>
      </c>
      <c r="Y82" s="1999" t="s">
        <v>247</v>
      </c>
      <c r="Z82" s="3054"/>
      <c r="AA82" s="1495"/>
      <c r="AB82" s="2603"/>
      <c r="AC82" s="2603"/>
      <c r="AD82" s="2603"/>
      <c r="AE82" s="2603"/>
      <c r="AF82" s="2603"/>
      <c r="AG82" s="2603"/>
      <c r="AH82" s="2603"/>
      <c r="AI82" s="2603"/>
      <c r="AJ82" s="2603"/>
      <c r="AK82" s="2603"/>
      <c r="AL82" s="2603"/>
      <c r="AM82" s="2603"/>
      <c r="AN82" s="2603"/>
      <c r="AO82" s="2603"/>
      <c r="AP82" s="2603"/>
      <c r="AQ82" s="2603"/>
      <c r="AR82" s="2603"/>
      <c r="AS82" s="2603"/>
      <c r="AT82" s="2603"/>
      <c r="AU82" s="2603"/>
      <c r="AV82" s="2603"/>
      <c r="AW82" s="2603"/>
      <c r="AX82" s="2603"/>
      <c r="AY82" s="2603"/>
      <c r="AZ82" s="2603"/>
      <c r="BA82" s="2603"/>
      <c r="BB82" s="2603"/>
      <c r="BC82" s="2603"/>
      <c r="BD82" s="2603"/>
      <c r="BE82" s="2603"/>
      <c r="BF82" s="3054"/>
      <c r="BG82" s="3058"/>
      <c r="BH82" s="3058"/>
      <c r="BI82" s="2969"/>
      <c r="BJ82" s="3062"/>
      <c r="BK82" s="3054"/>
      <c r="BL82" s="3063"/>
      <c r="BM82" s="3063"/>
      <c r="BN82" s="3064"/>
      <c r="BO82" s="3064"/>
      <c r="BP82" s="2751"/>
    </row>
    <row r="83" spans="1:68" ht="107.25" customHeight="1" x14ac:dyDescent="0.25">
      <c r="A83" s="1764"/>
      <c r="C83" s="1765"/>
      <c r="G83" s="3047"/>
      <c r="H83" s="3049"/>
      <c r="I83" s="3051"/>
      <c r="J83" s="2708"/>
      <c r="K83" s="2598"/>
      <c r="L83" s="3052"/>
      <c r="M83" s="2727"/>
      <c r="N83" s="2727"/>
      <c r="O83" s="2725"/>
      <c r="P83" s="3056"/>
      <c r="Q83" s="3057"/>
      <c r="R83" s="2725"/>
      <c r="S83" s="2725"/>
      <c r="T83" s="1750" t="s">
        <v>1483</v>
      </c>
      <c r="U83" s="1795">
        <v>0</v>
      </c>
      <c r="V83" s="1815">
        <v>0</v>
      </c>
      <c r="W83" s="1815">
        <v>0</v>
      </c>
      <c r="X83" s="1527">
        <v>88</v>
      </c>
      <c r="Y83" s="1999" t="s">
        <v>247</v>
      </c>
      <c r="Z83" s="3054"/>
      <c r="AA83" s="1495"/>
      <c r="AB83" s="2603"/>
      <c r="AC83" s="2603"/>
      <c r="AD83" s="2603"/>
      <c r="AE83" s="2603"/>
      <c r="AF83" s="2603"/>
      <c r="AG83" s="2603"/>
      <c r="AH83" s="2603"/>
      <c r="AI83" s="2603"/>
      <c r="AJ83" s="2603"/>
      <c r="AK83" s="2603"/>
      <c r="AL83" s="2603"/>
      <c r="AM83" s="2603"/>
      <c r="AN83" s="2603"/>
      <c r="AO83" s="2603"/>
      <c r="AP83" s="2603"/>
      <c r="AQ83" s="2603"/>
      <c r="AR83" s="2603"/>
      <c r="AS83" s="2603"/>
      <c r="AT83" s="2603"/>
      <c r="AU83" s="2603"/>
      <c r="AV83" s="2603"/>
      <c r="AW83" s="2603"/>
      <c r="AX83" s="2603"/>
      <c r="AY83" s="2603"/>
      <c r="AZ83" s="2603"/>
      <c r="BA83" s="2603"/>
      <c r="BB83" s="2603"/>
      <c r="BC83" s="2603"/>
      <c r="BD83" s="2603"/>
      <c r="BE83" s="2603"/>
      <c r="BF83" s="3054"/>
      <c r="BG83" s="3058"/>
      <c r="BH83" s="3058"/>
      <c r="BI83" s="2969"/>
      <c r="BJ83" s="3062"/>
      <c r="BK83" s="3054"/>
      <c r="BL83" s="3063"/>
      <c r="BM83" s="3063"/>
      <c r="BN83" s="3064"/>
      <c r="BO83" s="3064"/>
      <c r="BP83" s="2751"/>
    </row>
    <row r="84" spans="1:68" ht="107.25" customHeight="1" x14ac:dyDescent="0.25">
      <c r="A84" s="1764"/>
      <c r="C84" s="1765"/>
      <c r="G84" s="3047"/>
      <c r="H84" s="3049"/>
      <c r="I84" s="3051"/>
      <c r="J84" s="2708"/>
      <c r="K84" s="2598"/>
      <c r="L84" s="3052"/>
      <c r="M84" s="2727"/>
      <c r="N84" s="2727"/>
      <c r="O84" s="2725"/>
      <c r="P84" s="3056"/>
      <c r="Q84" s="3057"/>
      <c r="R84" s="2725"/>
      <c r="S84" s="2725"/>
      <c r="T84" s="3061" t="s">
        <v>1418</v>
      </c>
      <c r="U84" s="1769">
        <v>200000</v>
      </c>
      <c r="V84" s="1815">
        <v>200000</v>
      </c>
      <c r="W84" s="1815">
        <v>200000</v>
      </c>
      <c r="X84" s="1527">
        <v>20</v>
      </c>
      <c r="Y84" s="2278" t="s">
        <v>124</v>
      </c>
      <c r="Z84" s="3054"/>
      <c r="AA84" s="1495"/>
      <c r="AB84" s="2603"/>
      <c r="AC84" s="2603"/>
      <c r="AD84" s="2603"/>
      <c r="AE84" s="2603"/>
      <c r="AF84" s="2603"/>
      <c r="AG84" s="2603"/>
      <c r="AH84" s="2603"/>
      <c r="AI84" s="2603"/>
      <c r="AJ84" s="2603"/>
      <c r="AK84" s="2603"/>
      <c r="AL84" s="2603"/>
      <c r="AM84" s="2603"/>
      <c r="AN84" s="2603"/>
      <c r="AO84" s="2603"/>
      <c r="AP84" s="2603"/>
      <c r="AQ84" s="2603"/>
      <c r="AR84" s="2603"/>
      <c r="AS84" s="2603"/>
      <c r="AT84" s="2603"/>
      <c r="AU84" s="2603"/>
      <c r="AV84" s="2603"/>
      <c r="AW84" s="2603"/>
      <c r="AX84" s="2603"/>
      <c r="AY84" s="2603"/>
      <c r="AZ84" s="2603"/>
      <c r="BA84" s="2603"/>
      <c r="BB84" s="2603"/>
      <c r="BC84" s="2603"/>
      <c r="BD84" s="2603"/>
      <c r="BE84" s="2603"/>
      <c r="BF84" s="3054"/>
      <c r="BG84" s="3058"/>
      <c r="BH84" s="3058"/>
      <c r="BI84" s="2969"/>
      <c r="BJ84" s="3062"/>
      <c r="BK84" s="3054"/>
      <c r="BL84" s="3063"/>
      <c r="BM84" s="3063"/>
      <c r="BN84" s="3064"/>
      <c r="BO84" s="3064"/>
      <c r="BP84" s="2751"/>
    </row>
    <row r="85" spans="1:68" ht="107.25" customHeight="1" x14ac:dyDescent="0.25">
      <c r="A85" s="1764"/>
      <c r="C85" s="1765"/>
      <c r="G85" s="3047"/>
      <c r="H85" s="3049"/>
      <c r="I85" s="3051"/>
      <c r="J85" s="2708"/>
      <c r="K85" s="2598"/>
      <c r="L85" s="3052"/>
      <c r="M85" s="2727"/>
      <c r="N85" s="2727"/>
      <c r="O85" s="2725"/>
      <c r="P85" s="3056"/>
      <c r="Q85" s="3057"/>
      <c r="R85" s="2725"/>
      <c r="S85" s="2725"/>
      <c r="T85" s="3061"/>
      <c r="U85" s="1769">
        <v>3113767</v>
      </c>
      <c r="V85" s="1815">
        <v>3113767</v>
      </c>
      <c r="W85" s="1815">
        <v>3113767</v>
      </c>
      <c r="X85" s="1527">
        <v>88</v>
      </c>
      <c r="Y85" s="1999" t="s">
        <v>247</v>
      </c>
      <c r="Z85" s="3054"/>
      <c r="AA85" s="1495"/>
      <c r="AB85" s="2603"/>
      <c r="AC85" s="2603"/>
      <c r="AD85" s="2603"/>
      <c r="AE85" s="2603"/>
      <c r="AF85" s="2603"/>
      <c r="AG85" s="2603"/>
      <c r="AH85" s="2603"/>
      <c r="AI85" s="2603"/>
      <c r="AJ85" s="2603"/>
      <c r="AK85" s="2603"/>
      <c r="AL85" s="2603"/>
      <c r="AM85" s="2603"/>
      <c r="AN85" s="2603"/>
      <c r="AO85" s="2603"/>
      <c r="AP85" s="2603"/>
      <c r="AQ85" s="2603"/>
      <c r="AR85" s="2603"/>
      <c r="AS85" s="2603"/>
      <c r="AT85" s="2603"/>
      <c r="AU85" s="2603"/>
      <c r="AV85" s="2603"/>
      <c r="AW85" s="2603"/>
      <c r="AX85" s="2603"/>
      <c r="AY85" s="2603"/>
      <c r="AZ85" s="2603"/>
      <c r="BA85" s="2603"/>
      <c r="BB85" s="2603"/>
      <c r="BC85" s="2603"/>
      <c r="BD85" s="2603"/>
      <c r="BE85" s="2603"/>
      <c r="BF85" s="3054"/>
      <c r="BG85" s="3058"/>
      <c r="BH85" s="3058"/>
      <c r="BI85" s="2969"/>
      <c r="BJ85" s="3062"/>
      <c r="BK85" s="3054"/>
      <c r="BL85" s="3063"/>
      <c r="BM85" s="3063"/>
      <c r="BN85" s="3064"/>
      <c r="BO85" s="3064"/>
      <c r="BP85" s="2751"/>
    </row>
    <row r="86" spans="1:68" ht="98.25" customHeight="1" x14ac:dyDescent="0.25">
      <c r="A86" s="1764"/>
      <c r="C86" s="1765"/>
      <c r="G86" s="1816" t="s">
        <v>64</v>
      </c>
      <c r="H86" s="1917" t="s">
        <v>1485</v>
      </c>
      <c r="I86" s="1817" t="s">
        <v>1486</v>
      </c>
      <c r="J86" s="1513" t="s">
        <v>1487</v>
      </c>
      <c r="K86" s="1536">
        <v>1</v>
      </c>
      <c r="L86" s="1516">
        <v>1</v>
      </c>
      <c r="M86" s="2727"/>
      <c r="N86" s="2727"/>
      <c r="O86" s="2725"/>
      <c r="P86" s="1550"/>
      <c r="Q86" s="1818"/>
      <c r="R86" s="1513"/>
      <c r="S86" s="2725"/>
      <c r="T86" s="1750" t="s">
        <v>1488</v>
      </c>
      <c r="U86" s="1769">
        <v>34000000</v>
      </c>
      <c r="V86" s="1769">
        <v>0</v>
      </c>
      <c r="W86" s="1769">
        <v>0</v>
      </c>
      <c r="X86" s="1551">
        <v>88</v>
      </c>
      <c r="Y86" s="1999" t="s">
        <v>247</v>
      </c>
      <c r="Z86" s="3054"/>
      <c r="AA86" s="1537"/>
      <c r="AB86" s="3055"/>
      <c r="AC86" s="3055"/>
      <c r="AD86" s="3055"/>
      <c r="AE86" s="3055"/>
      <c r="AF86" s="3055"/>
      <c r="AG86" s="3055"/>
      <c r="AH86" s="3055"/>
      <c r="AI86" s="3055"/>
      <c r="AJ86" s="3055"/>
      <c r="AK86" s="3055"/>
      <c r="AL86" s="3055"/>
      <c r="AM86" s="3055"/>
      <c r="AN86" s="3055"/>
      <c r="AO86" s="3055"/>
      <c r="AP86" s="3055"/>
      <c r="AQ86" s="3055"/>
      <c r="AR86" s="3055"/>
      <c r="AS86" s="3055"/>
      <c r="AT86" s="3055"/>
      <c r="AU86" s="3055"/>
      <c r="AV86" s="3055"/>
      <c r="AW86" s="3055"/>
      <c r="AX86" s="3055"/>
      <c r="AY86" s="3055"/>
      <c r="AZ86" s="3055"/>
      <c r="BA86" s="3055"/>
      <c r="BB86" s="3055"/>
      <c r="BC86" s="3055"/>
      <c r="BD86" s="3055"/>
      <c r="BE86" s="3055"/>
      <c r="BF86" s="3054"/>
      <c r="BG86" s="3058"/>
      <c r="BH86" s="3058"/>
      <c r="BI86" s="2969"/>
      <c r="BJ86" s="3062"/>
      <c r="BK86" s="3054"/>
      <c r="BL86" s="3063"/>
      <c r="BM86" s="3063"/>
      <c r="BN86" s="3064"/>
      <c r="BO86" s="3064"/>
      <c r="BP86" s="2751"/>
    </row>
    <row r="87" spans="1:68" s="184" customFormat="1" ht="27" customHeight="1" x14ac:dyDescent="0.25">
      <c r="A87" s="45"/>
      <c r="B87" s="275"/>
      <c r="C87" s="1627"/>
      <c r="D87" s="1742">
        <v>21</v>
      </c>
      <c r="E87" s="2946" t="s">
        <v>517</v>
      </c>
      <c r="F87" s="2947"/>
      <c r="G87" s="2947"/>
      <c r="H87" s="2947"/>
      <c r="I87" s="2947"/>
      <c r="J87" s="2947"/>
      <c r="K87" s="2947"/>
      <c r="L87" s="2947"/>
      <c r="M87" s="2947"/>
      <c r="N87" s="1053"/>
      <c r="O87" s="222"/>
      <c r="P87" s="320"/>
      <c r="Q87" s="1759"/>
      <c r="R87" s="279"/>
      <c r="S87" s="279"/>
      <c r="T87" s="222"/>
      <c r="U87" s="1760"/>
      <c r="V87" s="1760"/>
      <c r="W87" s="1760"/>
      <c r="X87" s="1747"/>
      <c r="Y87" s="1744"/>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414"/>
      <c r="BG87" s="1781"/>
      <c r="BH87" s="1782"/>
      <c r="BI87" s="1331"/>
      <c r="BJ87" s="1747"/>
      <c r="BK87" s="280"/>
      <c r="BL87" s="288"/>
      <c r="BM87" s="288"/>
      <c r="BN87" s="288"/>
      <c r="BO87" s="288"/>
      <c r="BP87" s="1763"/>
    </row>
    <row r="88" spans="1:68" ht="131.25" customHeight="1" x14ac:dyDescent="0.25">
      <c r="A88" s="1764"/>
      <c r="C88" s="1765"/>
      <c r="D88" s="1766"/>
      <c r="E88" s="1766"/>
      <c r="F88" s="462"/>
      <c r="G88" s="1148">
        <v>3202033</v>
      </c>
      <c r="H88" s="1916" t="s">
        <v>1489</v>
      </c>
      <c r="I88" s="1512" t="s">
        <v>1490</v>
      </c>
      <c r="J88" s="1515" t="s">
        <v>1490</v>
      </c>
      <c r="K88" s="1536">
        <v>0.1</v>
      </c>
      <c r="L88" s="1552">
        <v>0</v>
      </c>
      <c r="M88" s="1274" t="s">
        <v>1491</v>
      </c>
      <c r="N88" s="1499" t="s">
        <v>1454</v>
      </c>
      <c r="O88" s="1500" t="s">
        <v>1461</v>
      </c>
      <c r="P88" s="1805">
        <f>(U88)/(+Q60+Q62+Q88)</f>
        <v>0.25</v>
      </c>
      <c r="Q88" s="1752">
        <f>+U88</f>
        <v>1000000</v>
      </c>
      <c r="R88" s="1500" t="s">
        <v>1456</v>
      </c>
      <c r="S88" s="1500" t="s">
        <v>1457</v>
      </c>
      <c r="T88" s="1512" t="s">
        <v>1490</v>
      </c>
      <c r="U88" s="1753">
        <v>1000000</v>
      </c>
      <c r="V88" s="1753">
        <v>0</v>
      </c>
      <c r="W88" s="1753">
        <v>0</v>
      </c>
      <c r="X88" s="361">
        <v>88</v>
      </c>
      <c r="Y88" s="1999" t="s">
        <v>247</v>
      </c>
      <c r="Z88" s="126">
        <v>295972</v>
      </c>
      <c r="AA88" s="126"/>
      <c r="AB88" s="126">
        <v>294321</v>
      </c>
      <c r="AC88" s="126"/>
      <c r="AD88" s="126">
        <v>132302</v>
      </c>
      <c r="AE88" s="126"/>
      <c r="AF88" s="126">
        <v>43426</v>
      </c>
      <c r="AG88" s="126"/>
      <c r="AH88" s="126">
        <v>313940</v>
      </c>
      <c r="AI88" s="126"/>
      <c r="AJ88" s="126">
        <v>100625</v>
      </c>
      <c r="AK88" s="126"/>
      <c r="AL88" s="126">
        <v>2145</v>
      </c>
      <c r="AM88" s="126"/>
      <c r="AN88" s="126">
        <v>12718</v>
      </c>
      <c r="AO88" s="126"/>
      <c r="AP88" s="126">
        <v>36</v>
      </c>
      <c r="AQ88" s="126"/>
      <c r="AR88" s="126">
        <v>0</v>
      </c>
      <c r="AS88" s="126"/>
      <c r="AT88" s="126">
        <v>0</v>
      </c>
      <c r="AU88" s="126"/>
      <c r="AV88" s="126">
        <v>0</v>
      </c>
      <c r="AW88" s="126"/>
      <c r="AX88" s="126">
        <v>70</v>
      </c>
      <c r="AY88" s="126"/>
      <c r="AZ88" s="126">
        <v>21944</v>
      </c>
      <c r="BA88" s="126"/>
      <c r="BB88" s="126">
        <v>285</v>
      </c>
      <c r="BC88" s="126"/>
      <c r="BD88" s="126">
        <v>590292</v>
      </c>
      <c r="BE88" s="1755"/>
      <c r="BF88" s="1520"/>
      <c r="BG88" s="1811">
        <f>+V88</f>
        <v>0</v>
      </c>
      <c r="BH88" s="1811">
        <f>+W88</f>
        <v>0</v>
      </c>
      <c r="BI88" s="1812"/>
      <c r="BJ88" s="361"/>
      <c r="BK88" s="1494"/>
      <c r="BL88" s="1492"/>
      <c r="BM88" s="1492"/>
      <c r="BN88" s="1492"/>
      <c r="BO88" s="1492"/>
      <c r="BP88" s="1514"/>
    </row>
    <row r="89" spans="1:68" s="184" customFormat="1" ht="27" customHeight="1" x14ac:dyDescent="0.25">
      <c r="A89" s="45"/>
      <c r="B89" s="275"/>
      <c r="C89" s="1627"/>
      <c r="D89" s="1742">
        <v>23</v>
      </c>
      <c r="E89" s="2948" t="s">
        <v>579</v>
      </c>
      <c r="F89" s="2949"/>
      <c r="G89" s="2949"/>
      <c r="H89" s="2949"/>
      <c r="I89" s="2949"/>
      <c r="J89" s="2949"/>
      <c r="K89" s="2949"/>
      <c r="L89" s="2949"/>
      <c r="M89" s="2949"/>
      <c r="N89" s="1053"/>
      <c r="O89" s="222"/>
      <c r="P89" s="320"/>
      <c r="Q89" s="1759"/>
      <c r="R89" s="279"/>
      <c r="S89" s="279"/>
      <c r="T89" s="222"/>
      <c r="U89" s="1760"/>
      <c r="V89" s="1779"/>
      <c r="W89" s="1779"/>
      <c r="X89" s="1780"/>
      <c r="Y89" s="1776"/>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414"/>
      <c r="BG89" s="1781"/>
      <c r="BH89" s="1782"/>
      <c r="BI89" s="1331"/>
      <c r="BJ89" s="1780"/>
      <c r="BK89" s="280"/>
      <c r="BL89" s="288"/>
      <c r="BM89" s="288"/>
      <c r="BN89" s="288"/>
      <c r="BO89" s="288"/>
      <c r="BP89" s="1763"/>
    </row>
    <row r="90" spans="1:68" ht="81" customHeight="1" x14ac:dyDescent="0.25">
      <c r="A90" s="1764"/>
      <c r="C90" s="1765"/>
      <c r="D90" s="1803"/>
      <c r="E90" s="1803"/>
      <c r="F90" s="1804"/>
      <c r="G90" s="1148">
        <v>3205021</v>
      </c>
      <c r="H90" s="1916" t="s">
        <v>1492</v>
      </c>
      <c r="I90" s="1512" t="s">
        <v>1493</v>
      </c>
      <c r="J90" s="1535" t="s">
        <v>1494</v>
      </c>
      <c r="K90" s="1531">
        <v>1</v>
      </c>
      <c r="L90" s="1517">
        <v>1</v>
      </c>
      <c r="M90" s="1490" t="s">
        <v>1495</v>
      </c>
      <c r="N90" s="1498" t="s">
        <v>1467</v>
      </c>
      <c r="O90" s="1543" t="s">
        <v>1468</v>
      </c>
      <c r="P90" s="1550">
        <f>Q90/SUM(Q65,Q90)</f>
        <v>0.18816355961090397</v>
      </c>
      <c r="Q90" s="1806">
        <f>SUM(U90)</f>
        <v>170360668</v>
      </c>
      <c r="R90" s="1515" t="s">
        <v>1469</v>
      </c>
      <c r="S90" s="1535" t="s">
        <v>1470</v>
      </c>
      <c r="T90" s="1542" t="s">
        <v>1483</v>
      </c>
      <c r="U90" s="1857">
        <v>170360668</v>
      </c>
      <c r="V90" s="1819">
        <v>0</v>
      </c>
      <c r="W90" s="1819">
        <v>0</v>
      </c>
      <c r="X90" s="361">
        <v>88</v>
      </c>
      <c r="Y90" s="1999" t="s">
        <v>247</v>
      </c>
      <c r="Z90" s="1820">
        <v>295972</v>
      </c>
      <c r="AA90" s="126"/>
      <c r="AB90" s="1804">
        <v>285580</v>
      </c>
      <c r="AC90" s="126"/>
      <c r="AD90" s="1537">
        <v>135545</v>
      </c>
      <c r="AE90" s="126"/>
      <c r="AF90" s="1537">
        <v>44254</v>
      </c>
      <c r="AG90" s="126"/>
      <c r="AH90" s="1537">
        <v>309146</v>
      </c>
      <c r="AI90" s="126"/>
      <c r="AJ90" s="1537">
        <v>92607</v>
      </c>
      <c r="AK90" s="126"/>
      <c r="AL90" s="1537">
        <v>2145</v>
      </c>
      <c r="AM90" s="126"/>
      <c r="AN90" s="1537">
        <v>12718</v>
      </c>
      <c r="AO90" s="126"/>
      <c r="AP90" s="1537">
        <v>26</v>
      </c>
      <c r="AQ90" s="126"/>
      <c r="AR90" s="1537">
        <v>37</v>
      </c>
      <c r="AS90" s="126"/>
      <c r="AT90" s="1537">
        <v>0</v>
      </c>
      <c r="AU90" s="126"/>
      <c r="AV90" s="1537">
        <v>0</v>
      </c>
      <c r="AW90" s="126"/>
      <c r="AX90" s="1537">
        <v>44350</v>
      </c>
      <c r="AY90" s="126"/>
      <c r="AZ90" s="1537">
        <v>21944</v>
      </c>
      <c r="BA90" s="126"/>
      <c r="BB90" s="1537">
        <v>75687</v>
      </c>
      <c r="BC90" s="126"/>
      <c r="BD90" s="1537">
        <f>SUM(AD90:AJ90)</f>
        <v>581552</v>
      </c>
      <c r="BE90" s="1537"/>
      <c r="BF90" s="1520"/>
      <c r="BG90" s="1811">
        <f>+V90</f>
        <v>0</v>
      </c>
      <c r="BH90" s="1811">
        <f>+W90</f>
        <v>0</v>
      </c>
      <c r="BI90" s="1812"/>
      <c r="BJ90" s="361"/>
      <c r="BK90" s="1537"/>
      <c r="BL90" s="1548"/>
      <c r="BM90" s="1549"/>
      <c r="BN90" s="1492"/>
      <c r="BO90" s="1508"/>
      <c r="BP90" s="1496"/>
    </row>
    <row r="91" spans="1:68" s="184" customFormat="1" ht="27" customHeight="1" x14ac:dyDescent="0.25">
      <c r="A91" s="45"/>
      <c r="B91" s="275"/>
      <c r="C91" s="1627"/>
      <c r="D91" s="1794">
        <v>33</v>
      </c>
      <c r="E91" s="3029" t="s">
        <v>630</v>
      </c>
      <c r="F91" s="3030"/>
      <c r="G91" s="3030"/>
      <c r="H91" s="3030"/>
      <c r="I91" s="3030"/>
      <c r="J91" s="3030"/>
      <c r="K91" s="3030"/>
      <c r="L91" s="3030"/>
      <c r="M91" s="3030"/>
      <c r="N91" s="1777"/>
      <c r="O91" s="220"/>
      <c r="P91" s="228"/>
      <c r="Q91" s="1778"/>
      <c r="R91" s="328"/>
      <c r="S91" s="328"/>
      <c r="T91" s="220"/>
      <c r="U91" s="1821"/>
      <c r="V91" s="1821"/>
      <c r="W91" s="1821"/>
      <c r="X91" s="232"/>
      <c r="Y91" s="2279"/>
      <c r="Z91" s="1791"/>
      <c r="AA91" s="1791"/>
      <c r="AB91" s="280"/>
      <c r="AC91" s="280"/>
      <c r="AD91" s="280"/>
      <c r="AE91" s="280"/>
      <c r="AF91" s="280"/>
      <c r="AG91" s="280"/>
      <c r="AH91" s="280"/>
      <c r="AI91" s="280"/>
      <c r="AJ91" s="280"/>
      <c r="AK91" s="280"/>
      <c r="AL91" s="280"/>
      <c r="AM91" s="280"/>
      <c r="AN91" s="280"/>
      <c r="AO91" s="280"/>
      <c r="AP91" s="280"/>
      <c r="AQ91" s="280"/>
      <c r="AR91" s="280"/>
      <c r="AS91" s="280"/>
      <c r="AT91" s="280"/>
      <c r="AU91" s="280"/>
      <c r="AV91" s="280"/>
      <c r="AW91" s="280"/>
      <c r="AX91" s="280"/>
      <c r="AY91" s="280"/>
      <c r="AZ91" s="280"/>
      <c r="BA91" s="280"/>
      <c r="BB91" s="280"/>
      <c r="BC91" s="280"/>
      <c r="BD91" s="280"/>
      <c r="BE91" s="280"/>
      <c r="BF91" s="414"/>
      <c r="BG91" s="1781"/>
      <c r="BH91" s="1782"/>
      <c r="BI91" s="1331"/>
      <c r="BJ91" s="232"/>
      <c r="BK91" s="280"/>
      <c r="BL91" s="288"/>
      <c r="BM91" s="288"/>
      <c r="BN91" s="288"/>
      <c r="BO91" s="288"/>
      <c r="BP91" s="1763"/>
    </row>
    <row r="92" spans="1:68" ht="57.75" customHeight="1" x14ac:dyDescent="0.25">
      <c r="A92" s="1334"/>
      <c r="B92" s="1518"/>
      <c r="C92" s="1518"/>
      <c r="D92" s="953"/>
      <c r="E92" s="1502"/>
      <c r="F92" s="1525"/>
      <c r="G92" s="3059">
        <v>4001015</v>
      </c>
      <c r="H92" s="3060" t="s">
        <v>1496</v>
      </c>
      <c r="I92" s="2698" t="s">
        <v>1497</v>
      </c>
      <c r="J92" s="2698" t="s">
        <v>1497</v>
      </c>
      <c r="K92" s="2953">
        <v>10</v>
      </c>
      <c r="L92" s="3031">
        <v>0</v>
      </c>
      <c r="M92" s="2625" t="s">
        <v>1498</v>
      </c>
      <c r="N92" s="2626" t="s">
        <v>1404</v>
      </c>
      <c r="O92" s="2698" t="s">
        <v>1405</v>
      </c>
      <c r="P92" s="3065">
        <f>Q92/SUM(Q16,Q33,Q37,Q51,Q92,Q107,Q110)</f>
        <v>6.6313951404563309E-2</v>
      </c>
      <c r="Q92" s="3066">
        <f>SUM(U92:U95)</f>
        <v>129129296.86999999</v>
      </c>
      <c r="R92" s="3069" t="s">
        <v>1406</v>
      </c>
      <c r="S92" s="2717" t="s">
        <v>1407</v>
      </c>
      <c r="T92" s="1529" t="s">
        <v>1499</v>
      </c>
      <c r="U92" s="1822">
        <v>111341306.20999999</v>
      </c>
      <c r="V92" s="1822">
        <v>36850621</v>
      </c>
      <c r="W92" s="1822">
        <v>36850621</v>
      </c>
      <c r="X92" s="1451" t="s">
        <v>1252</v>
      </c>
      <c r="Y92" s="2009" t="s">
        <v>1809</v>
      </c>
      <c r="Z92" s="3010">
        <v>295972</v>
      </c>
      <c r="AA92" s="3013"/>
      <c r="AB92" s="2960">
        <v>285580</v>
      </c>
      <c r="AC92" s="3013"/>
      <c r="AD92" s="2960">
        <v>135545</v>
      </c>
      <c r="AE92" s="3013"/>
      <c r="AF92" s="2960">
        <v>44254</v>
      </c>
      <c r="AG92" s="3013"/>
      <c r="AH92" s="2960">
        <v>309146</v>
      </c>
      <c r="AI92" s="3013"/>
      <c r="AJ92" s="2960">
        <v>92607</v>
      </c>
      <c r="AK92" s="3013"/>
      <c r="AL92" s="2960">
        <v>2145</v>
      </c>
      <c r="AM92" s="3013"/>
      <c r="AN92" s="2960">
        <v>12718</v>
      </c>
      <c r="AO92" s="3013"/>
      <c r="AP92" s="2960">
        <v>26</v>
      </c>
      <c r="AQ92" s="3013"/>
      <c r="AR92" s="2960">
        <v>37</v>
      </c>
      <c r="AS92" s="3013"/>
      <c r="AT92" s="2960">
        <v>0</v>
      </c>
      <c r="AU92" s="3013"/>
      <c r="AV92" s="2960">
        <v>0</v>
      </c>
      <c r="AW92" s="3013"/>
      <c r="AX92" s="2960">
        <v>44350</v>
      </c>
      <c r="AY92" s="3013"/>
      <c r="AZ92" s="2960">
        <v>21944</v>
      </c>
      <c r="BA92" s="3013"/>
      <c r="BB92" s="2960">
        <v>75687</v>
      </c>
      <c r="BC92" s="3013"/>
      <c r="BD92" s="2960">
        <f>+Z92+AB92</f>
        <v>581552</v>
      </c>
      <c r="BE92" s="3072"/>
      <c r="BF92" s="2602">
        <v>0</v>
      </c>
      <c r="BG92" s="2973">
        <f>+V92+V93+V94+V95</f>
        <v>36850621</v>
      </c>
      <c r="BH92" s="2973">
        <f>+W92+W93+W94+W95</f>
        <v>36850621</v>
      </c>
      <c r="BI92" s="2627">
        <f>+BG92/BH92</f>
        <v>1</v>
      </c>
      <c r="BJ92" s="3013"/>
      <c r="BK92" s="3013"/>
      <c r="BL92" s="3013"/>
      <c r="BM92" s="3013"/>
      <c r="BN92" s="3013"/>
      <c r="BO92" s="3013"/>
      <c r="BP92" s="1823"/>
    </row>
    <row r="93" spans="1:68" ht="77.25" customHeight="1" x14ac:dyDescent="0.25">
      <c r="A93" s="1334"/>
      <c r="B93" s="1518"/>
      <c r="C93" s="1518"/>
      <c r="D93" s="959"/>
      <c r="E93" s="1524"/>
      <c r="F93" s="1526"/>
      <c r="G93" s="3059"/>
      <c r="H93" s="3060"/>
      <c r="I93" s="2698"/>
      <c r="J93" s="2698"/>
      <c r="K93" s="2953"/>
      <c r="L93" s="2955"/>
      <c r="M93" s="2625"/>
      <c r="N93" s="2626"/>
      <c r="O93" s="2698"/>
      <c r="P93" s="3065"/>
      <c r="Q93" s="3067"/>
      <c r="R93" s="3069"/>
      <c r="S93" s="2717"/>
      <c r="T93" s="1529" t="s">
        <v>1500</v>
      </c>
      <c r="U93" s="1822">
        <v>14000000</v>
      </c>
      <c r="V93" s="1822">
        <v>0</v>
      </c>
      <c r="W93" s="1822">
        <v>0</v>
      </c>
      <c r="X93" s="1451" t="s">
        <v>1252</v>
      </c>
      <c r="Y93" s="2009" t="s">
        <v>1809</v>
      </c>
      <c r="Z93" s="3011"/>
      <c r="AA93" s="3014"/>
      <c r="AB93" s="2960"/>
      <c r="AC93" s="3014"/>
      <c r="AD93" s="2960"/>
      <c r="AE93" s="3014"/>
      <c r="AF93" s="2960"/>
      <c r="AG93" s="3014"/>
      <c r="AH93" s="2960"/>
      <c r="AI93" s="3014"/>
      <c r="AJ93" s="2960"/>
      <c r="AK93" s="3014"/>
      <c r="AL93" s="2960"/>
      <c r="AM93" s="3014"/>
      <c r="AN93" s="2960"/>
      <c r="AO93" s="3014"/>
      <c r="AP93" s="2960"/>
      <c r="AQ93" s="3014"/>
      <c r="AR93" s="2960"/>
      <c r="AS93" s="3014"/>
      <c r="AT93" s="2960"/>
      <c r="AU93" s="3014"/>
      <c r="AV93" s="2960"/>
      <c r="AW93" s="3014"/>
      <c r="AX93" s="2960"/>
      <c r="AY93" s="3014"/>
      <c r="AZ93" s="2960"/>
      <c r="BA93" s="3014"/>
      <c r="BB93" s="2960"/>
      <c r="BC93" s="3014"/>
      <c r="BD93" s="2960"/>
      <c r="BE93" s="3073"/>
      <c r="BF93" s="2603"/>
      <c r="BG93" s="2974"/>
      <c r="BH93" s="2974"/>
      <c r="BI93" s="2628"/>
      <c r="BJ93" s="3014"/>
      <c r="BK93" s="3014"/>
      <c r="BL93" s="3014"/>
      <c r="BM93" s="3014"/>
      <c r="BN93" s="3014"/>
      <c r="BO93" s="3014"/>
      <c r="BP93" s="1824"/>
    </row>
    <row r="94" spans="1:68" ht="43.5" customHeight="1" x14ac:dyDescent="0.25">
      <c r="A94" s="1334"/>
      <c r="B94" s="1518"/>
      <c r="C94" s="1518"/>
      <c r="D94" s="959"/>
      <c r="E94" s="1524"/>
      <c r="F94" s="1526"/>
      <c r="G94" s="3059"/>
      <c r="H94" s="3060"/>
      <c r="I94" s="2698"/>
      <c r="J94" s="2698"/>
      <c r="K94" s="2953"/>
      <c r="L94" s="2955"/>
      <c r="M94" s="2625"/>
      <c r="N94" s="2626"/>
      <c r="O94" s="2698"/>
      <c r="P94" s="3065"/>
      <c r="Q94" s="3067"/>
      <c r="R94" s="3069"/>
      <c r="S94" s="2717"/>
      <c r="T94" s="3070" t="s">
        <v>1431</v>
      </c>
      <c r="U94" s="1822">
        <v>3787990.66</v>
      </c>
      <c r="V94" s="1822">
        <v>0</v>
      </c>
      <c r="W94" s="1822">
        <v>0</v>
      </c>
      <c r="X94" s="74">
        <v>82</v>
      </c>
      <c r="Y94" s="2009" t="s">
        <v>1808</v>
      </c>
      <c r="Z94" s="3011"/>
      <c r="AA94" s="3014"/>
      <c r="AB94" s="2960"/>
      <c r="AC94" s="3014"/>
      <c r="AD94" s="2960"/>
      <c r="AE94" s="3014"/>
      <c r="AF94" s="2960"/>
      <c r="AG94" s="3014"/>
      <c r="AH94" s="2960"/>
      <c r="AI94" s="3014"/>
      <c r="AJ94" s="2960"/>
      <c r="AK94" s="3014"/>
      <c r="AL94" s="2960"/>
      <c r="AM94" s="3014"/>
      <c r="AN94" s="2960"/>
      <c r="AO94" s="3014"/>
      <c r="AP94" s="2960"/>
      <c r="AQ94" s="3014"/>
      <c r="AR94" s="2960"/>
      <c r="AS94" s="3014"/>
      <c r="AT94" s="2960"/>
      <c r="AU94" s="3014"/>
      <c r="AV94" s="2960"/>
      <c r="AW94" s="3014"/>
      <c r="AX94" s="2960"/>
      <c r="AY94" s="3014"/>
      <c r="AZ94" s="2960"/>
      <c r="BA94" s="3014"/>
      <c r="BB94" s="2960"/>
      <c r="BC94" s="3014"/>
      <c r="BD94" s="2960"/>
      <c r="BE94" s="3073"/>
      <c r="BF94" s="2603"/>
      <c r="BG94" s="2974"/>
      <c r="BH94" s="2974"/>
      <c r="BI94" s="2628"/>
      <c r="BJ94" s="3014"/>
      <c r="BK94" s="3014"/>
      <c r="BL94" s="3014"/>
      <c r="BM94" s="3014"/>
      <c r="BN94" s="3014"/>
      <c r="BO94" s="3014"/>
      <c r="BP94" s="1824"/>
    </row>
    <row r="95" spans="1:68" ht="43.5" customHeight="1" x14ac:dyDescent="0.25">
      <c r="A95" s="1764"/>
      <c r="D95" s="1825"/>
      <c r="E95" s="1803"/>
      <c r="F95" s="1804"/>
      <c r="G95" s="3059"/>
      <c r="H95" s="3060"/>
      <c r="I95" s="2698"/>
      <c r="J95" s="2698"/>
      <c r="K95" s="2953"/>
      <c r="L95" s="3032"/>
      <c r="M95" s="2625"/>
      <c r="N95" s="2626"/>
      <c r="O95" s="2698"/>
      <c r="P95" s="3065"/>
      <c r="Q95" s="3068"/>
      <c r="R95" s="3069"/>
      <c r="S95" s="2717"/>
      <c r="T95" s="3071"/>
      <c r="U95" s="1822">
        <v>0</v>
      </c>
      <c r="V95" s="1822">
        <v>0</v>
      </c>
      <c r="W95" s="1822">
        <v>0</v>
      </c>
      <c r="X95" s="1451" t="s">
        <v>1252</v>
      </c>
      <c r="Y95" s="2010" t="s">
        <v>1809</v>
      </c>
      <c r="Z95" s="3012"/>
      <c r="AA95" s="3015"/>
      <c r="AB95" s="2960"/>
      <c r="AC95" s="3015"/>
      <c r="AD95" s="2960"/>
      <c r="AE95" s="3015"/>
      <c r="AF95" s="2960"/>
      <c r="AG95" s="3015"/>
      <c r="AH95" s="2960"/>
      <c r="AI95" s="3015"/>
      <c r="AJ95" s="2960"/>
      <c r="AK95" s="3015"/>
      <c r="AL95" s="2960"/>
      <c r="AM95" s="3015"/>
      <c r="AN95" s="2960"/>
      <c r="AO95" s="3015"/>
      <c r="AP95" s="2960"/>
      <c r="AQ95" s="3015"/>
      <c r="AR95" s="2960"/>
      <c r="AS95" s="3015"/>
      <c r="AT95" s="2960"/>
      <c r="AU95" s="3015"/>
      <c r="AV95" s="2960"/>
      <c r="AW95" s="3015"/>
      <c r="AX95" s="2960"/>
      <c r="AY95" s="3015"/>
      <c r="AZ95" s="2960"/>
      <c r="BA95" s="3015"/>
      <c r="BB95" s="2960"/>
      <c r="BC95" s="3015"/>
      <c r="BD95" s="2960"/>
      <c r="BE95" s="2667"/>
      <c r="BF95" s="3055"/>
      <c r="BG95" s="2975"/>
      <c r="BH95" s="2975"/>
      <c r="BI95" s="2991"/>
      <c r="BJ95" s="3015"/>
      <c r="BK95" s="3015"/>
      <c r="BL95" s="3015"/>
      <c r="BM95" s="3015"/>
      <c r="BN95" s="3015"/>
      <c r="BO95" s="3015"/>
      <c r="BP95" s="1826"/>
    </row>
    <row r="96" spans="1:68" s="184" customFormat="1" ht="27" customHeight="1" x14ac:dyDescent="0.25">
      <c r="A96" s="45"/>
      <c r="B96" s="275"/>
      <c r="C96" s="1627"/>
      <c r="D96" s="1827">
        <v>34</v>
      </c>
      <c r="E96" s="3074" t="s">
        <v>1501</v>
      </c>
      <c r="F96" s="3075"/>
      <c r="G96" s="3075"/>
      <c r="H96" s="3075"/>
      <c r="I96" s="3075"/>
      <c r="J96" s="3075"/>
      <c r="K96" s="3075"/>
      <c r="L96" s="287"/>
      <c r="M96" s="1786"/>
      <c r="N96" s="1094"/>
      <c r="O96" s="278"/>
      <c r="P96" s="1279"/>
      <c r="Q96" s="1828"/>
      <c r="R96" s="1278"/>
      <c r="S96" s="1278"/>
      <c r="T96" s="278"/>
      <c r="U96" s="1821"/>
      <c r="V96" s="1821"/>
      <c r="W96" s="1821"/>
      <c r="X96" s="232"/>
      <c r="Y96" s="1786"/>
      <c r="Z96" s="280"/>
      <c r="AA96" s="280"/>
      <c r="AB96" s="280"/>
      <c r="AC96" s="280"/>
      <c r="AD96" s="280"/>
      <c r="AE96" s="280"/>
      <c r="AF96" s="280"/>
      <c r="AG96" s="280"/>
      <c r="AH96" s="280"/>
      <c r="AI96" s="280"/>
      <c r="AJ96" s="280"/>
      <c r="AK96" s="280"/>
      <c r="AL96" s="280"/>
      <c r="AM96" s="280"/>
      <c r="AN96" s="280"/>
      <c r="AO96" s="280"/>
      <c r="AP96" s="280"/>
      <c r="AQ96" s="280"/>
      <c r="AR96" s="280"/>
      <c r="AS96" s="280"/>
      <c r="AT96" s="280"/>
      <c r="AU96" s="280"/>
      <c r="AV96" s="280"/>
      <c r="AW96" s="280"/>
      <c r="AX96" s="280"/>
      <c r="AY96" s="280"/>
      <c r="AZ96" s="280"/>
      <c r="BA96" s="280"/>
      <c r="BB96" s="280"/>
      <c r="BC96" s="280"/>
      <c r="BD96" s="280"/>
      <c r="BE96" s="280"/>
      <c r="BF96" s="414"/>
      <c r="BG96" s="1781"/>
      <c r="BH96" s="1782"/>
      <c r="BI96" s="1331"/>
      <c r="BJ96" s="232"/>
      <c r="BK96" s="280"/>
      <c r="BL96" s="288"/>
      <c r="BM96" s="288"/>
      <c r="BN96" s="288"/>
      <c r="BO96" s="288"/>
      <c r="BP96" s="1763"/>
    </row>
    <row r="97" spans="1:86" ht="45.75" customHeight="1" x14ac:dyDescent="0.25">
      <c r="A97" s="1334"/>
      <c r="B97" s="1518"/>
      <c r="C97" s="1518"/>
      <c r="D97" s="953"/>
      <c r="E97" s="1502"/>
      <c r="F97" s="1525"/>
      <c r="G97" s="3059" t="s">
        <v>64</v>
      </c>
      <c r="H97" s="3076" t="s">
        <v>1502</v>
      </c>
      <c r="I97" s="2779" t="s">
        <v>1503</v>
      </c>
      <c r="J97" s="2788" t="s">
        <v>1504</v>
      </c>
      <c r="K97" s="3077">
        <v>1</v>
      </c>
      <c r="L97" s="2985">
        <v>0</v>
      </c>
      <c r="M97" s="3079" t="s">
        <v>1505</v>
      </c>
      <c r="N97" s="3018" t="s">
        <v>1506</v>
      </c>
      <c r="O97" s="3082" t="s">
        <v>1507</v>
      </c>
      <c r="P97" s="3084">
        <f>SUM(U97:U98)/Q97</f>
        <v>1.0395983925051906E-2</v>
      </c>
      <c r="Q97" s="3085">
        <f>SUM(U97:U104)</f>
        <v>2885729741.0500002</v>
      </c>
      <c r="R97" s="2608" t="s">
        <v>1508</v>
      </c>
      <c r="S97" s="2608" t="s">
        <v>1509</v>
      </c>
      <c r="T97" s="3087" t="s">
        <v>1503</v>
      </c>
      <c r="U97" s="1822">
        <v>10000000</v>
      </c>
      <c r="V97" s="1822">
        <v>0</v>
      </c>
      <c r="W97" s="1822">
        <v>0</v>
      </c>
      <c r="X97" s="74">
        <v>20</v>
      </c>
      <c r="Y97" s="2280" t="s">
        <v>124</v>
      </c>
      <c r="Z97" s="2602">
        <v>295972</v>
      </c>
      <c r="AA97" s="3054">
        <v>295972</v>
      </c>
      <c r="AB97" s="3054">
        <v>294321</v>
      </c>
      <c r="AC97" s="3054">
        <v>294321</v>
      </c>
      <c r="AD97" s="3054">
        <v>132302</v>
      </c>
      <c r="AE97" s="3054">
        <v>132302</v>
      </c>
      <c r="AF97" s="3054">
        <v>43426</v>
      </c>
      <c r="AG97" s="3054">
        <v>43426</v>
      </c>
      <c r="AH97" s="3054">
        <v>313940</v>
      </c>
      <c r="AI97" s="3054">
        <v>313940</v>
      </c>
      <c r="AJ97" s="3054">
        <v>100625</v>
      </c>
      <c r="AK97" s="3054">
        <v>100625</v>
      </c>
      <c r="AL97" s="3054">
        <v>2145</v>
      </c>
      <c r="AM97" s="3054">
        <v>2145</v>
      </c>
      <c r="AN97" s="3054">
        <v>12718</v>
      </c>
      <c r="AO97" s="3054">
        <v>12718</v>
      </c>
      <c r="AP97" s="3054">
        <v>36</v>
      </c>
      <c r="AQ97" s="3054">
        <v>36</v>
      </c>
      <c r="AR97" s="3054">
        <v>0</v>
      </c>
      <c r="AS97" s="3054">
        <v>0</v>
      </c>
      <c r="AT97" s="3054">
        <v>0</v>
      </c>
      <c r="AU97" s="2666">
        <v>0</v>
      </c>
      <c r="AV97" s="3054">
        <v>0</v>
      </c>
      <c r="AW97" s="2666">
        <v>0</v>
      </c>
      <c r="AX97" s="3054">
        <v>70</v>
      </c>
      <c r="AY97" s="3054">
        <v>70</v>
      </c>
      <c r="AZ97" s="3054">
        <v>21944</v>
      </c>
      <c r="BA97" s="3054">
        <v>21944</v>
      </c>
      <c r="BB97" s="3054">
        <v>75687</v>
      </c>
      <c r="BC97" s="3054">
        <v>75687</v>
      </c>
      <c r="BD97" s="3054">
        <v>581552</v>
      </c>
      <c r="BE97" s="3054">
        <v>581552</v>
      </c>
      <c r="BF97" s="2602">
        <v>6</v>
      </c>
      <c r="BG97" s="2973">
        <f>+V97+V98+V99+V100+V101+V102+V103+V104</f>
        <v>2766983630</v>
      </c>
      <c r="BH97" s="2973">
        <f>+W97+W98+W99+W100+W101+W102+W103+W104</f>
        <v>2766983630</v>
      </c>
      <c r="BI97" s="2627">
        <f>+BH97/SUM(U97:U104)</f>
        <v>0.9588505779453923</v>
      </c>
      <c r="BJ97" s="2594" t="s">
        <v>1510</v>
      </c>
      <c r="BK97" s="2594" t="s">
        <v>1511</v>
      </c>
      <c r="BL97" s="3104">
        <v>43831</v>
      </c>
      <c r="BM97" s="3104">
        <v>43831</v>
      </c>
      <c r="BN97" s="3104">
        <v>44196</v>
      </c>
      <c r="BO97" s="3104">
        <v>44196</v>
      </c>
      <c r="BP97" s="2594" t="s">
        <v>1512</v>
      </c>
    </row>
    <row r="98" spans="1:86" ht="47.25" customHeight="1" x14ac:dyDescent="0.25">
      <c r="A98" s="1764"/>
      <c r="D98" s="1720"/>
      <c r="F98" s="1765"/>
      <c r="G98" s="3059"/>
      <c r="H98" s="3076"/>
      <c r="I98" s="2779"/>
      <c r="J98" s="2787"/>
      <c r="K98" s="3078"/>
      <c r="L98" s="2987"/>
      <c r="M98" s="3080"/>
      <c r="N98" s="3019"/>
      <c r="O98" s="3083"/>
      <c r="P98" s="3084"/>
      <c r="Q98" s="3003"/>
      <c r="R98" s="2608"/>
      <c r="S98" s="2608"/>
      <c r="T98" s="3087"/>
      <c r="U98" s="1829">
        <v>20000000</v>
      </c>
      <c r="V98" s="1822">
        <v>0</v>
      </c>
      <c r="W98" s="1822">
        <v>0</v>
      </c>
      <c r="X98" s="1504">
        <v>88</v>
      </c>
      <c r="Y98" s="1999" t="s">
        <v>247</v>
      </c>
      <c r="Z98" s="2603"/>
      <c r="AA98" s="3054"/>
      <c r="AB98" s="3054"/>
      <c r="AC98" s="3054"/>
      <c r="AD98" s="3054"/>
      <c r="AE98" s="3054"/>
      <c r="AF98" s="3054"/>
      <c r="AG98" s="3054"/>
      <c r="AH98" s="3054"/>
      <c r="AI98" s="3054"/>
      <c r="AJ98" s="3054"/>
      <c r="AK98" s="3054"/>
      <c r="AL98" s="3054"/>
      <c r="AM98" s="3054"/>
      <c r="AN98" s="3054"/>
      <c r="AO98" s="3054"/>
      <c r="AP98" s="3054"/>
      <c r="AQ98" s="3054"/>
      <c r="AR98" s="3054"/>
      <c r="AS98" s="3054"/>
      <c r="AT98" s="3054"/>
      <c r="AU98" s="2666"/>
      <c r="AV98" s="3054"/>
      <c r="AW98" s="2666"/>
      <c r="AX98" s="3054"/>
      <c r="AY98" s="3054"/>
      <c r="AZ98" s="3054"/>
      <c r="BA98" s="3054"/>
      <c r="BB98" s="3054"/>
      <c r="BC98" s="3054"/>
      <c r="BD98" s="3054"/>
      <c r="BE98" s="3054"/>
      <c r="BF98" s="2603"/>
      <c r="BG98" s="2974"/>
      <c r="BH98" s="2974"/>
      <c r="BI98" s="2628"/>
      <c r="BJ98" s="2595"/>
      <c r="BK98" s="2595"/>
      <c r="BL98" s="2603"/>
      <c r="BM98" s="2603"/>
      <c r="BN98" s="2603"/>
      <c r="BO98" s="2603"/>
      <c r="BP98" s="2595"/>
    </row>
    <row r="99" spans="1:86" ht="90.75" customHeight="1" x14ac:dyDescent="0.25">
      <c r="A99" s="1764"/>
      <c r="D99" s="1720"/>
      <c r="F99" s="1765"/>
      <c r="G99" s="1544" t="s">
        <v>1513</v>
      </c>
      <c r="H99" s="1915" t="s">
        <v>1514</v>
      </c>
      <c r="I99" s="1830" t="s">
        <v>1515</v>
      </c>
      <c r="J99" s="1507" t="s">
        <v>1516</v>
      </c>
      <c r="K99" s="1530">
        <v>1</v>
      </c>
      <c r="L99" s="1551">
        <v>0</v>
      </c>
      <c r="M99" s="3080"/>
      <c r="N99" s="3019"/>
      <c r="O99" s="2831"/>
      <c r="P99" s="1831">
        <f>SUM(U99)/Q97</f>
        <v>0.23630093293209223</v>
      </c>
      <c r="Q99" s="3003"/>
      <c r="R99" s="2608"/>
      <c r="S99" s="2608"/>
      <c r="T99" s="1832" t="s">
        <v>1515</v>
      </c>
      <c r="U99" s="1829">
        <v>681900630</v>
      </c>
      <c r="V99" s="1822">
        <f>+U99</f>
        <v>681900630</v>
      </c>
      <c r="W99" s="1822">
        <f>+U99</f>
        <v>681900630</v>
      </c>
      <c r="X99" s="1504">
        <v>27</v>
      </c>
      <c r="Y99" s="2281" t="s">
        <v>1517</v>
      </c>
      <c r="Z99" s="2603"/>
      <c r="AA99" s="3054"/>
      <c r="AB99" s="3054"/>
      <c r="AC99" s="3054"/>
      <c r="AD99" s="3054"/>
      <c r="AE99" s="3054"/>
      <c r="AF99" s="3054"/>
      <c r="AG99" s="3054"/>
      <c r="AH99" s="3054"/>
      <c r="AI99" s="3054"/>
      <c r="AJ99" s="3054"/>
      <c r="AK99" s="3054"/>
      <c r="AL99" s="3054"/>
      <c r="AM99" s="3054"/>
      <c r="AN99" s="3054"/>
      <c r="AO99" s="3054"/>
      <c r="AP99" s="3054"/>
      <c r="AQ99" s="3054"/>
      <c r="AR99" s="3054"/>
      <c r="AS99" s="3054"/>
      <c r="AT99" s="3054"/>
      <c r="AU99" s="2666"/>
      <c r="AV99" s="3054"/>
      <c r="AW99" s="2666"/>
      <c r="AX99" s="3054"/>
      <c r="AY99" s="3054"/>
      <c r="AZ99" s="3054"/>
      <c r="BA99" s="3054"/>
      <c r="BB99" s="3054"/>
      <c r="BC99" s="3054"/>
      <c r="BD99" s="3054"/>
      <c r="BE99" s="3054"/>
      <c r="BF99" s="2603"/>
      <c r="BG99" s="2974"/>
      <c r="BH99" s="2974"/>
      <c r="BI99" s="2628"/>
      <c r="BJ99" s="2595"/>
      <c r="BK99" s="2595"/>
      <c r="BL99" s="2603"/>
      <c r="BM99" s="2603"/>
      <c r="BN99" s="2603"/>
      <c r="BO99" s="2603"/>
      <c r="BP99" s="2595"/>
    </row>
    <row r="100" spans="1:86" ht="57" customHeight="1" x14ac:dyDescent="0.25">
      <c r="A100" s="1764"/>
      <c r="D100" s="1720"/>
      <c r="F100" s="1765"/>
      <c r="G100" s="3088" t="s">
        <v>1518</v>
      </c>
      <c r="H100" s="3089" t="s">
        <v>1519</v>
      </c>
      <c r="I100" s="3092" t="s">
        <v>1520</v>
      </c>
      <c r="J100" s="2788" t="s">
        <v>1521</v>
      </c>
      <c r="K100" s="3095">
        <v>1</v>
      </c>
      <c r="L100" s="2985">
        <v>1</v>
      </c>
      <c r="M100" s="3080"/>
      <c r="N100" s="3019"/>
      <c r="O100" s="2831"/>
      <c r="P100" s="3098">
        <f>SUM(U100:U102)/Q97</f>
        <v>0.47261151716645433</v>
      </c>
      <c r="Q100" s="3003"/>
      <c r="R100" s="2608"/>
      <c r="S100" s="2608"/>
      <c r="T100" s="3101" t="s">
        <v>1520</v>
      </c>
      <c r="U100" s="1829">
        <v>75293233.930000007</v>
      </c>
      <c r="V100" s="1822">
        <v>0</v>
      </c>
      <c r="W100" s="1822">
        <v>0</v>
      </c>
      <c r="X100" s="1504">
        <v>82</v>
      </c>
      <c r="Y100" s="2009" t="s">
        <v>1808</v>
      </c>
      <c r="Z100" s="2603"/>
      <c r="AA100" s="3054"/>
      <c r="AB100" s="3054"/>
      <c r="AC100" s="3054"/>
      <c r="AD100" s="3054"/>
      <c r="AE100" s="3054"/>
      <c r="AF100" s="3054"/>
      <c r="AG100" s="3054"/>
      <c r="AH100" s="3054"/>
      <c r="AI100" s="3054"/>
      <c r="AJ100" s="3054"/>
      <c r="AK100" s="3054"/>
      <c r="AL100" s="3054"/>
      <c r="AM100" s="3054"/>
      <c r="AN100" s="3054"/>
      <c r="AO100" s="3054"/>
      <c r="AP100" s="3054"/>
      <c r="AQ100" s="3054"/>
      <c r="AR100" s="3054"/>
      <c r="AS100" s="3054"/>
      <c r="AT100" s="3054"/>
      <c r="AU100" s="2666"/>
      <c r="AV100" s="3054"/>
      <c r="AW100" s="2666"/>
      <c r="AX100" s="3054"/>
      <c r="AY100" s="3054"/>
      <c r="AZ100" s="3054"/>
      <c r="BA100" s="3054"/>
      <c r="BB100" s="3054"/>
      <c r="BC100" s="3054"/>
      <c r="BD100" s="3054"/>
      <c r="BE100" s="3054"/>
      <c r="BF100" s="2603"/>
      <c r="BG100" s="2974"/>
      <c r="BH100" s="2974"/>
      <c r="BI100" s="2628"/>
      <c r="BJ100" s="2595"/>
      <c r="BK100" s="2595"/>
      <c r="BL100" s="2603"/>
      <c r="BM100" s="2603"/>
      <c r="BN100" s="2603"/>
      <c r="BO100" s="2603"/>
      <c r="BP100" s="2595"/>
    </row>
    <row r="101" spans="1:86" ht="57" customHeight="1" x14ac:dyDescent="0.25">
      <c r="A101" s="1764"/>
      <c r="D101" s="1720"/>
      <c r="F101" s="1765"/>
      <c r="G101" s="3088"/>
      <c r="H101" s="3090"/>
      <c r="I101" s="3093"/>
      <c r="J101" s="2831"/>
      <c r="K101" s="3096"/>
      <c r="L101" s="2986"/>
      <c r="M101" s="3080"/>
      <c r="N101" s="3019"/>
      <c r="O101" s="2831"/>
      <c r="P101" s="3099"/>
      <c r="Q101" s="3003"/>
      <c r="R101" s="2608"/>
      <c r="S101" s="2608"/>
      <c r="T101" s="3102"/>
      <c r="U101" s="1829">
        <v>13452877.119999999</v>
      </c>
      <c r="V101" s="1822">
        <v>0</v>
      </c>
      <c r="W101" s="1822">
        <v>0</v>
      </c>
      <c r="X101" s="1504">
        <v>90</v>
      </c>
      <c r="Y101" s="2281" t="s">
        <v>1522</v>
      </c>
      <c r="Z101" s="2603"/>
      <c r="AA101" s="3054"/>
      <c r="AB101" s="3054"/>
      <c r="AC101" s="3054"/>
      <c r="AD101" s="3054"/>
      <c r="AE101" s="3054"/>
      <c r="AF101" s="3054"/>
      <c r="AG101" s="3054"/>
      <c r="AH101" s="3054"/>
      <c r="AI101" s="3054"/>
      <c r="AJ101" s="3054"/>
      <c r="AK101" s="3054"/>
      <c r="AL101" s="3054"/>
      <c r="AM101" s="3054"/>
      <c r="AN101" s="3054"/>
      <c r="AO101" s="3054"/>
      <c r="AP101" s="3054"/>
      <c r="AQ101" s="3054"/>
      <c r="AR101" s="3054"/>
      <c r="AS101" s="3054"/>
      <c r="AT101" s="3054"/>
      <c r="AU101" s="2666"/>
      <c r="AV101" s="3054"/>
      <c r="AW101" s="2666"/>
      <c r="AX101" s="3054"/>
      <c r="AY101" s="3054"/>
      <c r="AZ101" s="3054"/>
      <c r="BA101" s="3054"/>
      <c r="BB101" s="3054"/>
      <c r="BC101" s="3054"/>
      <c r="BD101" s="3054"/>
      <c r="BE101" s="3054"/>
      <c r="BF101" s="2603"/>
      <c r="BG101" s="2974"/>
      <c r="BH101" s="2974"/>
      <c r="BI101" s="2628"/>
      <c r="BJ101" s="2595"/>
      <c r="BK101" s="2595"/>
      <c r="BL101" s="2603"/>
      <c r="BM101" s="2603"/>
      <c r="BN101" s="2603"/>
      <c r="BO101" s="2603"/>
      <c r="BP101" s="2595"/>
    </row>
    <row r="102" spans="1:86" ht="75.75" customHeight="1" x14ac:dyDescent="0.25">
      <c r="A102" s="1764"/>
      <c r="D102" s="1720"/>
      <c r="F102" s="1765"/>
      <c r="G102" s="3088"/>
      <c r="H102" s="3091"/>
      <c r="I102" s="3094"/>
      <c r="J102" s="2787"/>
      <c r="K102" s="3097"/>
      <c r="L102" s="2987"/>
      <c r="M102" s="3080"/>
      <c r="N102" s="3019"/>
      <c r="O102" s="2831"/>
      <c r="P102" s="3100"/>
      <c r="Q102" s="3003"/>
      <c r="R102" s="2608"/>
      <c r="S102" s="2608"/>
      <c r="T102" s="3103"/>
      <c r="U102" s="1833">
        <v>1275083000</v>
      </c>
      <c r="V102" s="1822">
        <f>+U102</f>
        <v>1275083000</v>
      </c>
      <c r="W102" s="1822">
        <f>+V102</f>
        <v>1275083000</v>
      </c>
      <c r="X102" s="1505">
        <v>27</v>
      </c>
      <c r="Y102" s="2282" t="s">
        <v>1517</v>
      </c>
      <c r="Z102" s="2603"/>
      <c r="AA102" s="3054"/>
      <c r="AB102" s="3054"/>
      <c r="AC102" s="3054"/>
      <c r="AD102" s="3054"/>
      <c r="AE102" s="3054"/>
      <c r="AF102" s="3054"/>
      <c r="AG102" s="3054"/>
      <c r="AH102" s="3054"/>
      <c r="AI102" s="3054"/>
      <c r="AJ102" s="3054"/>
      <c r="AK102" s="3054"/>
      <c r="AL102" s="3054"/>
      <c r="AM102" s="3054"/>
      <c r="AN102" s="3054"/>
      <c r="AO102" s="3054"/>
      <c r="AP102" s="3054"/>
      <c r="AQ102" s="3054"/>
      <c r="AR102" s="3054"/>
      <c r="AS102" s="3054"/>
      <c r="AT102" s="3054"/>
      <c r="AU102" s="2666"/>
      <c r="AV102" s="3054"/>
      <c r="AW102" s="2666"/>
      <c r="AX102" s="3054"/>
      <c r="AY102" s="3054"/>
      <c r="AZ102" s="3054"/>
      <c r="BA102" s="3054"/>
      <c r="BB102" s="3054"/>
      <c r="BC102" s="3054"/>
      <c r="BD102" s="3054"/>
      <c r="BE102" s="3054"/>
      <c r="BF102" s="2603"/>
      <c r="BG102" s="2974"/>
      <c r="BH102" s="2974"/>
      <c r="BI102" s="2628"/>
      <c r="BJ102" s="2595"/>
      <c r="BK102" s="2595"/>
      <c r="BL102" s="2603"/>
      <c r="BM102" s="2603"/>
      <c r="BN102" s="2603"/>
      <c r="BO102" s="2603"/>
      <c r="BP102" s="2595"/>
    </row>
    <row r="103" spans="1:86" ht="78" customHeight="1" x14ac:dyDescent="0.25">
      <c r="A103" s="1764"/>
      <c r="D103" s="1720"/>
      <c r="F103" s="1765"/>
      <c r="G103" s="1538" t="s">
        <v>1523</v>
      </c>
      <c r="H103" s="1915" t="s">
        <v>1524</v>
      </c>
      <c r="I103" s="1830" t="s">
        <v>1525</v>
      </c>
      <c r="J103" s="1507" t="s">
        <v>1526</v>
      </c>
      <c r="K103" s="1530">
        <v>4</v>
      </c>
      <c r="L103" s="1551">
        <v>4</v>
      </c>
      <c r="M103" s="3080"/>
      <c r="N103" s="3019"/>
      <c r="O103" s="2831"/>
      <c r="P103" s="1834">
        <f>SUM(U103)/Q97</f>
        <v>4.331659968771627E-2</v>
      </c>
      <c r="Q103" s="3003"/>
      <c r="R103" s="2608"/>
      <c r="S103" s="2608"/>
      <c r="T103" s="1835" t="s">
        <v>1525</v>
      </c>
      <c r="U103" s="1829">
        <v>125000000</v>
      </c>
      <c r="V103" s="1822">
        <f>+U103</f>
        <v>125000000</v>
      </c>
      <c r="W103" s="1822">
        <f>+U103</f>
        <v>125000000</v>
      </c>
      <c r="X103" s="1504">
        <v>27</v>
      </c>
      <c r="Y103" s="2282" t="s">
        <v>1517</v>
      </c>
      <c r="Z103" s="2603"/>
      <c r="AA103" s="3054"/>
      <c r="AB103" s="3054"/>
      <c r="AC103" s="3054"/>
      <c r="AD103" s="3054"/>
      <c r="AE103" s="3054"/>
      <c r="AF103" s="3054"/>
      <c r="AG103" s="3054"/>
      <c r="AH103" s="3054"/>
      <c r="AI103" s="3054"/>
      <c r="AJ103" s="3054"/>
      <c r="AK103" s="3054"/>
      <c r="AL103" s="3054"/>
      <c r="AM103" s="3054"/>
      <c r="AN103" s="3054"/>
      <c r="AO103" s="3054"/>
      <c r="AP103" s="3054"/>
      <c r="AQ103" s="3054"/>
      <c r="AR103" s="3054"/>
      <c r="AS103" s="3054"/>
      <c r="AT103" s="3054"/>
      <c r="AU103" s="2666"/>
      <c r="AV103" s="3054"/>
      <c r="AW103" s="2666"/>
      <c r="AX103" s="3054"/>
      <c r="AY103" s="3054"/>
      <c r="AZ103" s="3054"/>
      <c r="BA103" s="3054"/>
      <c r="BB103" s="3054"/>
      <c r="BC103" s="3054"/>
      <c r="BD103" s="3054"/>
      <c r="BE103" s="3054"/>
      <c r="BF103" s="2603"/>
      <c r="BG103" s="2974"/>
      <c r="BH103" s="2974"/>
      <c r="BI103" s="2628"/>
      <c r="BJ103" s="2595"/>
      <c r="BK103" s="2595"/>
      <c r="BL103" s="2603"/>
      <c r="BM103" s="2603"/>
      <c r="BN103" s="2603"/>
      <c r="BO103" s="2603"/>
      <c r="BP103" s="2595"/>
    </row>
    <row r="104" spans="1:86" ht="88.5" customHeight="1" x14ac:dyDescent="0.25">
      <c r="A104" s="1810"/>
      <c r="B104" s="1803"/>
      <c r="C104" s="1803"/>
      <c r="D104" s="1825"/>
      <c r="E104" s="1803"/>
      <c r="F104" s="1804"/>
      <c r="G104" s="1541">
        <v>4003042</v>
      </c>
      <c r="H104" s="1915" t="s">
        <v>1527</v>
      </c>
      <c r="I104" s="1830" t="s">
        <v>643</v>
      </c>
      <c r="J104" s="1507" t="s">
        <v>644</v>
      </c>
      <c r="K104" s="1530">
        <v>1</v>
      </c>
      <c r="L104" s="1551">
        <v>1</v>
      </c>
      <c r="M104" s="3081"/>
      <c r="N104" s="3020"/>
      <c r="O104" s="3022"/>
      <c r="P104" s="1834">
        <f>SUM(U104)/Q97</f>
        <v>0.23737496628868518</v>
      </c>
      <c r="Q104" s="3086"/>
      <c r="R104" s="2608"/>
      <c r="S104" s="2608"/>
      <c r="T104" s="1835" t="s">
        <v>643</v>
      </c>
      <c r="U104" s="1829">
        <v>685000000</v>
      </c>
      <c r="V104" s="1822">
        <f>+U104</f>
        <v>685000000</v>
      </c>
      <c r="W104" s="1822">
        <f>+U104</f>
        <v>685000000</v>
      </c>
      <c r="X104" s="1504">
        <v>27</v>
      </c>
      <c r="Y104" s="2282" t="s">
        <v>1517</v>
      </c>
      <c r="Z104" s="3055"/>
      <c r="AA104" s="3054"/>
      <c r="AB104" s="3054"/>
      <c r="AC104" s="3054"/>
      <c r="AD104" s="3054"/>
      <c r="AE104" s="3054"/>
      <c r="AF104" s="3054"/>
      <c r="AG104" s="3054"/>
      <c r="AH104" s="3054"/>
      <c r="AI104" s="3054"/>
      <c r="AJ104" s="3054"/>
      <c r="AK104" s="3054"/>
      <c r="AL104" s="3054"/>
      <c r="AM104" s="3054"/>
      <c r="AN104" s="3054"/>
      <c r="AO104" s="3054"/>
      <c r="AP104" s="3054"/>
      <c r="AQ104" s="3054"/>
      <c r="AR104" s="3054"/>
      <c r="AS104" s="3054"/>
      <c r="AT104" s="3054"/>
      <c r="AU104" s="2666"/>
      <c r="AV104" s="3054"/>
      <c r="AW104" s="2666"/>
      <c r="AX104" s="3054"/>
      <c r="AY104" s="3054"/>
      <c r="AZ104" s="3054"/>
      <c r="BA104" s="3054"/>
      <c r="BB104" s="3054"/>
      <c r="BC104" s="3054"/>
      <c r="BD104" s="3054"/>
      <c r="BE104" s="3054"/>
      <c r="BF104" s="3055"/>
      <c r="BG104" s="2975"/>
      <c r="BH104" s="2975"/>
      <c r="BI104" s="2991"/>
      <c r="BJ104" s="2971"/>
      <c r="BK104" s="2971"/>
      <c r="BL104" s="3055"/>
      <c r="BM104" s="3055"/>
      <c r="BN104" s="3055"/>
      <c r="BO104" s="3055"/>
      <c r="BP104" s="2971"/>
    </row>
    <row r="105" spans="1:86" ht="27" customHeight="1" x14ac:dyDescent="0.25">
      <c r="A105" s="1796">
        <v>4</v>
      </c>
      <c r="B105" s="3034" t="s">
        <v>289</v>
      </c>
      <c r="C105" s="3035"/>
      <c r="D105" s="3035"/>
      <c r="E105" s="3035"/>
      <c r="F105" s="3035"/>
      <c r="G105" s="3035"/>
      <c r="H105" s="3035"/>
      <c r="I105" s="3035"/>
      <c r="J105" s="3035"/>
      <c r="K105" s="3035"/>
      <c r="L105" s="3035"/>
      <c r="M105" s="1836"/>
      <c r="N105" s="1797"/>
      <c r="O105" s="206"/>
      <c r="P105" s="211"/>
      <c r="Q105" s="1837"/>
      <c r="R105" s="1838"/>
      <c r="S105" s="1838"/>
      <c r="T105" s="206"/>
      <c r="U105" s="1799"/>
      <c r="V105" s="1799"/>
      <c r="W105" s="1799"/>
      <c r="X105" s="214"/>
      <c r="Y105" s="1836"/>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37"/>
      <c r="BG105" s="1800"/>
      <c r="BH105" s="1801"/>
      <c r="BI105" s="1739"/>
      <c r="BJ105" s="214"/>
      <c r="BK105" s="209"/>
      <c r="BL105" s="317"/>
      <c r="BM105" s="317"/>
      <c r="BN105" s="317"/>
      <c r="BO105" s="317"/>
      <c r="BP105" s="1814"/>
      <c r="BQ105" s="184"/>
      <c r="BR105" s="184"/>
      <c r="BS105" s="184"/>
      <c r="BT105" s="184"/>
      <c r="BU105" s="184"/>
      <c r="BV105" s="184"/>
      <c r="BW105" s="184"/>
      <c r="BX105" s="184"/>
      <c r="BY105" s="184"/>
      <c r="BZ105" s="184"/>
      <c r="CA105" s="184"/>
      <c r="CB105" s="184"/>
      <c r="CC105" s="184"/>
      <c r="CD105" s="184"/>
      <c r="CE105" s="184"/>
      <c r="CF105" s="184"/>
      <c r="CG105" s="184"/>
      <c r="CH105" s="184"/>
    </row>
    <row r="106" spans="1:86" s="184" customFormat="1" ht="27" customHeight="1" x14ac:dyDescent="0.25">
      <c r="A106" s="1501"/>
      <c r="B106" s="1622"/>
      <c r="C106" s="1623"/>
      <c r="D106" s="1742">
        <v>45</v>
      </c>
      <c r="E106" s="2948" t="s">
        <v>89</v>
      </c>
      <c r="F106" s="2949"/>
      <c r="G106" s="2949"/>
      <c r="H106" s="2949"/>
      <c r="I106" s="2949"/>
      <c r="J106" s="2949"/>
      <c r="K106" s="2949"/>
      <c r="L106" s="2949"/>
      <c r="M106" s="2949"/>
      <c r="N106" s="1094"/>
      <c r="O106" s="278"/>
      <c r="P106" s="320"/>
      <c r="Q106" s="1759"/>
      <c r="R106" s="279"/>
      <c r="S106" s="279"/>
      <c r="T106" s="222"/>
      <c r="U106" s="1760"/>
      <c r="V106" s="1760"/>
      <c r="W106" s="1760"/>
      <c r="X106" s="1747"/>
      <c r="Y106" s="1744"/>
      <c r="Z106" s="280"/>
      <c r="AA106" s="280"/>
      <c r="AB106" s="280"/>
      <c r="AC106" s="280"/>
      <c r="AD106" s="280"/>
      <c r="AE106" s="280"/>
      <c r="AF106" s="280"/>
      <c r="AG106" s="280"/>
      <c r="AH106" s="280"/>
      <c r="AI106" s="280"/>
      <c r="AJ106" s="280"/>
      <c r="AK106" s="280"/>
      <c r="AL106" s="280"/>
      <c r="AM106" s="280"/>
      <c r="AN106" s="280"/>
      <c r="AO106" s="280"/>
      <c r="AP106" s="280"/>
      <c r="AQ106" s="280"/>
      <c r="AR106" s="280"/>
      <c r="AS106" s="280"/>
      <c r="AT106" s="280"/>
      <c r="AU106" s="280"/>
      <c r="AV106" s="280"/>
      <c r="AW106" s="280"/>
      <c r="AX106" s="280"/>
      <c r="AY106" s="280"/>
      <c r="AZ106" s="280"/>
      <c r="BA106" s="280"/>
      <c r="BB106" s="280"/>
      <c r="BC106" s="280"/>
      <c r="BD106" s="280"/>
      <c r="BE106" s="280"/>
      <c r="BF106" s="414"/>
      <c r="BG106" s="1781"/>
      <c r="BH106" s="1782"/>
      <c r="BI106" s="1331"/>
      <c r="BJ106" s="1747"/>
      <c r="BK106" s="280"/>
      <c r="BL106" s="288"/>
      <c r="BM106" s="288"/>
      <c r="BN106" s="288"/>
      <c r="BO106" s="288"/>
      <c r="BP106" s="1763"/>
    </row>
    <row r="107" spans="1:86" ht="63.75" customHeight="1" x14ac:dyDescent="0.25">
      <c r="A107" s="1334"/>
      <c r="B107" s="1518"/>
      <c r="C107" s="1519"/>
      <c r="D107" s="3107"/>
      <c r="E107" s="3108"/>
      <c r="F107" s="3108"/>
      <c r="G107" s="2626" t="s">
        <v>64</v>
      </c>
      <c r="H107" s="2620" t="s">
        <v>1528</v>
      </c>
      <c r="I107" s="2608" t="s">
        <v>1529</v>
      </c>
      <c r="J107" s="2698" t="s">
        <v>647</v>
      </c>
      <c r="K107" s="2953">
        <v>4</v>
      </c>
      <c r="L107" s="2954">
        <v>3</v>
      </c>
      <c r="M107" s="2625" t="s">
        <v>1530</v>
      </c>
      <c r="N107" s="2626" t="s">
        <v>1404</v>
      </c>
      <c r="O107" s="2698" t="s">
        <v>1405</v>
      </c>
      <c r="P107" s="3084">
        <f>Q107/SUM(Q16,Q33,Q37,Q51,Q92,Q107,Q110)</f>
        <v>3.7321771374874559E-2</v>
      </c>
      <c r="Q107" s="3105">
        <f>SUM(U107:U108)</f>
        <v>72674512.579999998</v>
      </c>
      <c r="R107" s="3106" t="s">
        <v>1406</v>
      </c>
      <c r="S107" s="2725" t="s">
        <v>1407</v>
      </c>
      <c r="T107" s="1539" t="s">
        <v>1418</v>
      </c>
      <c r="U107" s="1839">
        <v>12013864.58</v>
      </c>
      <c r="V107" s="1829">
        <v>10826666</v>
      </c>
      <c r="W107" s="1829">
        <v>10826666</v>
      </c>
      <c r="X107" s="74">
        <v>20</v>
      </c>
      <c r="Y107" s="2002" t="s">
        <v>124</v>
      </c>
      <c r="Z107" s="2957">
        <v>295972</v>
      </c>
      <c r="AA107" s="3013"/>
      <c r="AB107" s="2960">
        <v>285580</v>
      </c>
      <c r="AC107" s="3013"/>
      <c r="AD107" s="2960">
        <v>135545</v>
      </c>
      <c r="AE107" s="3013"/>
      <c r="AF107" s="2960">
        <v>44254</v>
      </c>
      <c r="AG107" s="3013"/>
      <c r="AH107" s="2960">
        <v>309146</v>
      </c>
      <c r="AI107" s="3013"/>
      <c r="AJ107" s="2960">
        <v>92607</v>
      </c>
      <c r="AK107" s="3013"/>
      <c r="AL107" s="2960">
        <v>2145</v>
      </c>
      <c r="AM107" s="3013"/>
      <c r="AN107" s="2960">
        <v>12718</v>
      </c>
      <c r="AO107" s="3013"/>
      <c r="AP107" s="2960">
        <v>26</v>
      </c>
      <c r="AQ107" s="3013"/>
      <c r="AR107" s="2960">
        <v>37</v>
      </c>
      <c r="AS107" s="3013"/>
      <c r="AT107" s="2960">
        <v>0</v>
      </c>
      <c r="AU107" s="3013"/>
      <c r="AV107" s="2960">
        <v>0</v>
      </c>
      <c r="AW107" s="3013"/>
      <c r="AX107" s="2960">
        <v>44350</v>
      </c>
      <c r="AY107" s="3013"/>
      <c r="AZ107" s="2960">
        <v>21944</v>
      </c>
      <c r="BA107" s="3013"/>
      <c r="BB107" s="2960">
        <v>75687</v>
      </c>
      <c r="BC107" s="3013"/>
      <c r="BD107" s="2960">
        <f>+Z107+AB107</f>
        <v>581552</v>
      </c>
      <c r="BE107" s="3072"/>
      <c r="BF107" s="2751">
        <v>1</v>
      </c>
      <c r="BG107" s="2973">
        <f>+V107+V108</f>
        <v>10826666</v>
      </c>
      <c r="BH107" s="2973">
        <f>+W107+W108</f>
        <v>10826666</v>
      </c>
      <c r="BI107" s="3110">
        <f>BH107/BG107</f>
        <v>1</v>
      </c>
      <c r="BJ107" s="3112">
        <v>20</v>
      </c>
      <c r="BK107" s="2594" t="s">
        <v>1410</v>
      </c>
      <c r="BL107" s="3063">
        <v>44069</v>
      </c>
      <c r="BM107" s="3116"/>
      <c r="BN107" s="3118">
        <v>44160</v>
      </c>
      <c r="BO107" s="3114"/>
      <c r="BP107" s="2594" t="s">
        <v>1391</v>
      </c>
    </row>
    <row r="108" spans="1:86" ht="60.75" customHeight="1" x14ac:dyDescent="0.25">
      <c r="A108" s="1764"/>
      <c r="C108" s="1765"/>
      <c r="D108" s="3107"/>
      <c r="E108" s="3108"/>
      <c r="F108" s="3108"/>
      <c r="G108" s="2626"/>
      <c r="H108" s="2620"/>
      <c r="I108" s="2608"/>
      <c r="J108" s="2698"/>
      <c r="K108" s="2953"/>
      <c r="L108" s="2956"/>
      <c r="M108" s="2625"/>
      <c r="N108" s="2626"/>
      <c r="O108" s="2698"/>
      <c r="P108" s="3084"/>
      <c r="Q108" s="3105"/>
      <c r="R108" s="3106"/>
      <c r="S108" s="2725"/>
      <c r="T108" s="1539" t="s">
        <v>1531</v>
      </c>
      <c r="U108" s="1839">
        <v>60660648</v>
      </c>
      <c r="V108" s="1829">
        <v>0</v>
      </c>
      <c r="W108" s="1829">
        <v>0</v>
      </c>
      <c r="X108" s="1534">
        <v>165</v>
      </c>
      <c r="Y108" s="2010" t="s">
        <v>1812</v>
      </c>
      <c r="Z108" s="2959"/>
      <c r="AA108" s="3015"/>
      <c r="AB108" s="2960"/>
      <c r="AC108" s="3015"/>
      <c r="AD108" s="2960"/>
      <c r="AE108" s="3015"/>
      <c r="AF108" s="2960"/>
      <c r="AG108" s="3015"/>
      <c r="AH108" s="2960"/>
      <c r="AI108" s="3015"/>
      <c r="AJ108" s="2960"/>
      <c r="AK108" s="3015"/>
      <c r="AL108" s="2960"/>
      <c r="AM108" s="3015"/>
      <c r="AN108" s="2960"/>
      <c r="AO108" s="3015"/>
      <c r="AP108" s="2960"/>
      <c r="AQ108" s="3015"/>
      <c r="AR108" s="2960"/>
      <c r="AS108" s="3015"/>
      <c r="AT108" s="2960"/>
      <c r="AU108" s="3015"/>
      <c r="AV108" s="2960"/>
      <c r="AW108" s="3015"/>
      <c r="AX108" s="2960"/>
      <c r="AY108" s="3015"/>
      <c r="AZ108" s="2960"/>
      <c r="BA108" s="3015"/>
      <c r="BB108" s="2960"/>
      <c r="BC108" s="3015"/>
      <c r="BD108" s="2960"/>
      <c r="BE108" s="2667"/>
      <c r="BF108" s="2751"/>
      <c r="BG108" s="2975"/>
      <c r="BH108" s="2975"/>
      <c r="BI108" s="3111"/>
      <c r="BJ108" s="3113"/>
      <c r="BK108" s="2971"/>
      <c r="BL108" s="3063"/>
      <c r="BM108" s="3117"/>
      <c r="BN108" s="3118"/>
      <c r="BO108" s="3115"/>
      <c r="BP108" s="2971"/>
    </row>
    <row r="109" spans="1:86" s="184" customFormat="1" ht="27" customHeight="1" x14ac:dyDescent="0.25">
      <c r="A109" s="45"/>
      <c r="B109" s="275"/>
      <c r="C109" s="1627"/>
      <c r="D109" s="1794">
        <v>42</v>
      </c>
      <c r="E109" s="3029" t="s">
        <v>63</v>
      </c>
      <c r="F109" s="3030"/>
      <c r="G109" s="3030"/>
      <c r="H109" s="3030"/>
      <c r="I109" s="3030"/>
      <c r="J109" s="3030"/>
      <c r="K109" s="3030"/>
      <c r="L109" s="3030"/>
      <c r="M109" s="3030"/>
      <c r="N109" s="1094"/>
      <c r="O109" s="278"/>
      <c r="P109" s="320"/>
      <c r="Q109" s="1759"/>
      <c r="R109" s="279"/>
      <c r="S109" s="279"/>
      <c r="T109" s="222"/>
      <c r="U109" s="1760"/>
      <c r="V109" s="1760"/>
      <c r="W109" s="1760"/>
      <c r="X109" s="1747"/>
      <c r="Y109" s="1744"/>
      <c r="Z109" s="280"/>
      <c r="AA109" s="280"/>
      <c r="AB109" s="280"/>
      <c r="AC109" s="280"/>
      <c r="AD109" s="280"/>
      <c r="AE109" s="280"/>
      <c r="AF109" s="280"/>
      <c r="AG109" s="280"/>
      <c r="AH109" s="280"/>
      <c r="AI109" s="280"/>
      <c r="AJ109" s="280"/>
      <c r="AK109" s="280"/>
      <c r="AL109" s="280"/>
      <c r="AM109" s="280"/>
      <c r="AN109" s="280"/>
      <c r="AO109" s="280"/>
      <c r="AP109" s="280"/>
      <c r="AQ109" s="280"/>
      <c r="AR109" s="280"/>
      <c r="AS109" s="280"/>
      <c r="AT109" s="280"/>
      <c r="AU109" s="280"/>
      <c r="AV109" s="280"/>
      <c r="AW109" s="280"/>
      <c r="AX109" s="280"/>
      <c r="AY109" s="280"/>
      <c r="AZ109" s="280"/>
      <c r="BA109" s="280"/>
      <c r="BB109" s="280"/>
      <c r="BC109" s="280"/>
      <c r="BD109" s="280"/>
      <c r="BE109" s="280"/>
      <c r="BF109" s="414"/>
      <c r="BG109" s="1760"/>
      <c r="BH109" s="1760"/>
      <c r="BI109" s="1331"/>
      <c r="BJ109" s="1747"/>
      <c r="BK109" s="280"/>
      <c r="BL109" s="288"/>
      <c r="BM109" s="288"/>
      <c r="BN109" s="288"/>
      <c r="BO109" s="288"/>
      <c r="BP109" s="1763"/>
    </row>
    <row r="110" spans="1:86" ht="49.5" customHeight="1" x14ac:dyDescent="0.25">
      <c r="A110" s="1334"/>
      <c r="B110" s="1518"/>
      <c r="C110" s="1519"/>
      <c r="D110" s="3107"/>
      <c r="E110" s="3108"/>
      <c r="F110" s="3108"/>
      <c r="G110" s="3109">
        <v>4502003</v>
      </c>
      <c r="H110" s="3109" t="s">
        <v>1532</v>
      </c>
      <c r="I110" s="3000" t="s">
        <v>1533</v>
      </c>
      <c r="J110" s="2698" t="s">
        <v>1533</v>
      </c>
      <c r="K110" s="2953">
        <v>2</v>
      </c>
      <c r="L110" s="2954">
        <v>2</v>
      </c>
      <c r="M110" s="2625" t="s">
        <v>1534</v>
      </c>
      <c r="N110" s="2626" t="s">
        <v>1404</v>
      </c>
      <c r="O110" s="2698" t="s">
        <v>1405</v>
      </c>
      <c r="P110" s="3084">
        <f>Q110/SUM(Q16,Q33,Q37,Q51,Q92,Q107,Q110)</f>
        <v>1.2339366065644782E-2</v>
      </c>
      <c r="Q110" s="3105">
        <f>SUM(U110:U112)</f>
        <v>24027729.16</v>
      </c>
      <c r="R110" s="2717" t="s">
        <v>1406</v>
      </c>
      <c r="S110" s="2717" t="s">
        <v>1407</v>
      </c>
      <c r="T110" s="2788" t="s">
        <v>1431</v>
      </c>
      <c r="U110" s="1822">
        <v>1027729.16</v>
      </c>
      <c r="V110" s="1822">
        <v>0</v>
      </c>
      <c r="W110" s="1822">
        <v>0</v>
      </c>
      <c r="X110" s="74">
        <v>20</v>
      </c>
      <c r="Y110" s="2002" t="s">
        <v>124</v>
      </c>
      <c r="Z110" s="3010">
        <v>295972</v>
      </c>
      <c r="AA110" s="2666"/>
      <c r="AB110" s="2960">
        <v>285580</v>
      </c>
      <c r="AC110" s="2666"/>
      <c r="AD110" s="2960">
        <v>135545</v>
      </c>
      <c r="AE110" s="2666"/>
      <c r="AF110" s="2960">
        <v>44254</v>
      </c>
      <c r="AG110" s="2666"/>
      <c r="AH110" s="2960">
        <v>309146</v>
      </c>
      <c r="AI110" s="2666"/>
      <c r="AJ110" s="2960">
        <v>92607</v>
      </c>
      <c r="AK110" s="2666"/>
      <c r="AL110" s="2960">
        <v>2145</v>
      </c>
      <c r="AM110" s="2666"/>
      <c r="AN110" s="2960">
        <v>12718</v>
      </c>
      <c r="AO110" s="2666"/>
      <c r="AP110" s="2960">
        <v>26</v>
      </c>
      <c r="AQ110" s="2666"/>
      <c r="AR110" s="2960">
        <v>37</v>
      </c>
      <c r="AS110" s="2666"/>
      <c r="AT110" s="2960">
        <v>0</v>
      </c>
      <c r="AU110" s="2666"/>
      <c r="AV110" s="2960">
        <v>0</v>
      </c>
      <c r="AW110" s="2666"/>
      <c r="AX110" s="2960">
        <v>44350</v>
      </c>
      <c r="AY110" s="2666"/>
      <c r="AZ110" s="2960">
        <v>21944</v>
      </c>
      <c r="BA110" s="2666"/>
      <c r="BB110" s="2960">
        <v>75687</v>
      </c>
      <c r="BC110" s="2666"/>
      <c r="BD110" s="2960">
        <f>+Z110+AB110</f>
        <v>581552</v>
      </c>
      <c r="BE110" s="2972"/>
      <c r="BF110" s="3013"/>
      <c r="BG110" s="2973">
        <f>+V110+V111+V112</f>
        <v>0</v>
      </c>
      <c r="BH110" s="2973">
        <f>+W110+W111+W112</f>
        <v>0</v>
      </c>
      <c r="BI110" s="3043"/>
      <c r="BJ110" s="3013"/>
      <c r="BK110" s="3013"/>
      <c r="BL110" s="3013"/>
      <c r="BM110" s="3013"/>
      <c r="BN110" s="3013"/>
      <c r="BO110" s="3013"/>
      <c r="BP110" s="3013"/>
    </row>
    <row r="111" spans="1:86" ht="49.5" customHeight="1" x14ac:dyDescent="0.25">
      <c r="A111" s="1334"/>
      <c r="B111" s="1518"/>
      <c r="C111" s="1519"/>
      <c r="D111" s="3107"/>
      <c r="E111" s="3108"/>
      <c r="F111" s="3108"/>
      <c r="G111" s="3109"/>
      <c r="H111" s="3109"/>
      <c r="I111" s="3000"/>
      <c r="J111" s="2698"/>
      <c r="K111" s="2953"/>
      <c r="L111" s="2955"/>
      <c r="M111" s="2625"/>
      <c r="N111" s="2626"/>
      <c r="O111" s="2698"/>
      <c r="P111" s="3084"/>
      <c r="Q111" s="3105"/>
      <c r="R111" s="2717"/>
      <c r="S111" s="2717"/>
      <c r="T111" s="2787"/>
      <c r="U111" s="1822">
        <v>13000000</v>
      </c>
      <c r="V111" s="1840">
        <v>0</v>
      </c>
      <c r="W111" s="1840">
        <v>0</v>
      </c>
      <c r="X111" s="74">
        <v>88</v>
      </c>
      <c r="Y111" s="1999" t="s">
        <v>247</v>
      </c>
      <c r="Z111" s="3011"/>
      <c r="AA111" s="2666"/>
      <c r="AB111" s="2960"/>
      <c r="AC111" s="2666"/>
      <c r="AD111" s="2960"/>
      <c r="AE111" s="2666"/>
      <c r="AF111" s="2960"/>
      <c r="AG111" s="2666"/>
      <c r="AH111" s="2960"/>
      <c r="AI111" s="2666"/>
      <c r="AJ111" s="2960"/>
      <c r="AK111" s="2666"/>
      <c r="AL111" s="2960"/>
      <c r="AM111" s="2666"/>
      <c r="AN111" s="2960"/>
      <c r="AO111" s="2666"/>
      <c r="AP111" s="2960"/>
      <c r="AQ111" s="2666"/>
      <c r="AR111" s="2960"/>
      <c r="AS111" s="2666"/>
      <c r="AT111" s="2960"/>
      <c r="AU111" s="2666"/>
      <c r="AV111" s="2960"/>
      <c r="AW111" s="2666"/>
      <c r="AX111" s="2960"/>
      <c r="AY111" s="2666"/>
      <c r="AZ111" s="2960"/>
      <c r="BA111" s="2666"/>
      <c r="BB111" s="2960"/>
      <c r="BC111" s="2666"/>
      <c r="BD111" s="2960"/>
      <c r="BE111" s="2972"/>
      <c r="BF111" s="3014"/>
      <c r="BG111" s="2974"/>
      <c r="BH111" s="2974"/>
      <c r="BI111" s="3044"/>
      <c r="BJ111" s="3014"/>
      <c r="BK111" s="3014"/>
      <c r="BL111" s="3014"/>
      <c r="BM111" s="3014"/>
      <c r="BN111" s="3014"/>
      <c r="BO111" s="3014"/>
      <c r="BP111" s="3014"/>
    </row>
    <row r="112" spans="1:86" ht="92.25" customHeight="1" x14ac:dyDescent="0.25">
      <c r="A112" s="1764"/>
      <c r="C112" s="1765"/>
      <c r="D112" s="3107"/>
      <c r="E112" s="3108"/>
      <c r="F112" s="3108"/>
      <c r="G112" s="3109"/>
      <c r="H112" s="3109"/>
      <c r="I112" s="3000"/>
      <c r="J112" s="2698"/>
      <c r="K112" s="2953"/>
      <c r="L112" s="2956"/>
      <c r="M112" s="2625"/>
      <c r="N112" s="2626"/>
      <c r="O112" s="2698"/>
      <c r="P112" s="3084"/>
      <c r="Q112" s="3105"/>
      <c r="R112" s="2717"/>
      <c r="S112" s="2717"/>
      <c r="T112" s="1750" t="s">
        <v>1535</v>
      </c>
      <c r="U112" s="1753">
        <v>10000000</v>
      </c>
      <c r="V112" s="1753">
        <v>0</v>
      </c>
      <c r="W112" s="1841">
        <v>0</v>
      </c>
      <c r="X112" s="1771">
        <v>88</v>
      </c>
      <c r="Y112" s="1999" t="s">
        <v>247</v>
      </c>
      <c r="Z112" s="3012"/>
      <c r="AA112" s="2666"/>
      <c r="AB112" s="2960"/>
      <c r="AC112" s="2666"/>
      <c r="AD112" s="2960"/>
      <c r="AE112" s="2666"/>
      <c r="AF112" s="2960"/>
      <c r="AG112" s="2666"/>
      <c r="AH112" s="2960"/>
      <c r="AI112" s="2666"/>
      <c r="AJ112" s="2960"/>
      <c r="AK112" s="2666"/>
      <c r="AL112" s="2960"/>
      <c r="AM112" s="2666"/>
      <c r="AN112" s="2960"/>
      <c r="AO112" s="2666"/>
      <c r="AP112" s="2960"/>
      <c r="AQ112" s="2666"/>
      <c r="AR112" s="2960"/>
      <c r="AS112" s="2666"/>
      <c r="AT112" s="2960"/>
      <c r="AU112" s="2666"/>
      <c r="AV112" s="2960"/>
      <c r="AW112" s="2666"/>
      <c r="AX112" s="2960"/>
      <c r="AY112" s="2666"/>
      <c r="AZ112" s="2960"/>
      <c r="BA112" s="2666"/>
      <c r="BB112" s="2960"/>
      <c r="BC112" s="2666"/>
      <c r="BD112" s="2960"/>
      <c r="BE112" s="2972"/>
      <c r="BF112" s="3015"/>
      <c r="BG112" s="2975"/>
      <c r="BH112" s="2975"/>
      <c r="BI112" s="3045"/>
      <c r="BJ112" s="3015"/>
      <c r="BK112" s="3015"/>
      <c r="BL112" s="3015"/>
      <c r="BM112" s="3015"/>
      <c r="BN112" s="3015"/>
      <c r="BO112" s="3015"/>
      <c r="BP112" s="3015"/>
    </row>
    <row r="113" spans="1:88" ht="27" customHeight="1" x14ac:dyDescent="0.25">
      <c r="A113" s="1810"/>
      <c r="B113" s="1803"/>
      <c r="C113" s="1804"/>
      <c r="D113" s="1766"/>
      <c r="E113" s="1766"/>
      <c r="F113" s="462"/>
      <c r="G113" s="462"/>
      <c r="H113" s="462"/>
      <c r="I113" s="1516"/>
      <c r="J113" s="1516"/>
      <c r="K113" s="1536"/>
      <c r="L113" s="1552"/>
      <c r="M113" s="1536"/>
      <c r="N113" s="1536"/>
      <c r="O113" s="1516"/>
      <c r="P113" s="469"/>
      <c r="Q113" s="1842">
        <f>SUM(Q12:Q112)</f>
        <v>5806104583.4699993</v>
      </c>
      <c r="R113" s="1514"/>
      <c r="S113" s="1514"/>
      <c r="T113" s="1514"/>
      <c r="U113" s="1843">
        <f>SUM(U12,U14,U16:U31,U33:U35,U37:U49,U51:U57,U60,U62,U65:U86,U88,U90,U92:U95,U97:U104,U107:U108,U110:U112)</f>
        <v>5840104583.4699993</v>
      </c>
      <c r="V113" s="1844">
        <f>SUM(V12,V14,V16:V31,V33:V35,V37:V49,V51:V57,V60,V62,V65:V85,V88,V90,V92:V95,V97:V104,V107:V108,V110:V112)</f>
        <v>4065502341</v>
      </c>
      <c r="W113" s="1844">
        <f>SUM(W12,W14,W16:W31,W33:W35,W37:W49,W51:W57,W60,W62,W65:W85,W88,W90,W92:W95,W97:W104,W107:W108,W110:W112)</f>
        <v>3963410508</v>
      </c>
      <c r="X113" s="472"/>
      <c r="Y113" s="359"/>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845"/>
      <c r="BF113" s="126"/>
      <c r="BG113" s="1846">
        <f>SUM(BG12:BG112)</f>
        <v>4065502341</v>
      </c>
      <c r="BH113" s="1843">
        <f>SUM(BH12:BH112)</f>
        <v>3963410508</v>
      </c>
      <c r="BI113" s="1808">
        <f>BH113/BG113</f>
        <v>0.97488826116998661</v>
      </c>
      <c r="BJ113" s="472"/>
      <c r="BK113" s="126"/>
      <c r="BL113" s="1547"/>
      <c r="BM113" s="1547"/>
      <c r="BN113" s="1547"/>
      <c r="BO113" s="1547"/>
      <c r="BP113" s="126"/>
    </row>
    <row r="114" spans="1:88" s="988" customFormat="1" ht="27" customHeight="1" x14ac:dyDescent="0.25">
      <c r="A114" s="1347"/>
      <c r="B114" s="1348"/>
      <c r="C114" s="1348"/>
      <c r="D114" s="1348"/>
      <c r="E114" s="1348"/>
      <c r="F114" s="1348"/>
      <c r="G114" s="1348"/>
      <c r="H114" s="1348"/>
      <c r="I114" s="1545"/>
      <c r="J114" s="1545"/>
      <c r="K114" s="184"/>
      <c r="L114" s="1847"/>
      <c r="M114" s="184"/>
      <c r="N114" s="184"/>
      <c r="O114" s="1545"/>
      <c r="P114" s="173"/>
      <c r="Q114" s="1848"/>
      <c r="R114" s="1545"/>
      <c r="S114" s="1545"/>
      <c r="T114" s="1274"/>
      <c r="U114" s="1849"/>
      <c r="V114" s="1849"/>
      <c r="W114" s="1849"/>
      <c r="X114" s="177"/>
      <c r="Y114" s="170"/>
      <c r="Z114" s="1348"/>
      <c r="AA114" s="1348"/>
      <c r="AB114" s="1348"/>
      <c r="AC114" s="1348"/>
      <c r="AD114" s="1348"/>
      <c r="AE114" s="1348"/>
      <c r="AF114" s="1348"/>
      <c r="AG114" s="1348"/>
      <c r="AH114" s="1348"/>
      <c r="AI114" s="1348"/>
      <c r="AJ114" s="1348"/>
      <c r="AK114" s="1348"/>
      <c r="AL114" s="1348"/>
      <c r="AM114" s="1348"/>
      <c r="AN114" s="1348"/>
      <c r="AO114" s="1348"/>
      <c r="AP114" s="1348"/>
      <c r="AQ114" s="1348"/>
      <c r="AR114" s="1348"/>
      <c r="AS114" s="1348"/>
      <c r="AT114" s="1348"/>
      <c r="AU114" s="1348"/>
      <c r="AV114" s="1348"/>
      <c r="AW114" s="1348"/>
      <c r="AX114" s="1348"/>
      <c r="AY114" s="1348"/>
      <c r="AZ114" s="1348"/>
      <c r="BA114" s="1348"/>
      <c r="BB114" s="1348"/>
      <c r="BC114" s="1348"/>
      <c r="BD114" s="1348"/>
      <c r="BE114" s="1348"/>
      <c r="BF114" s="1348"/>
      <c r="BG114" s="1850"/>
      <c r="BH114" s="1850"/>
      <c r="BI114" s="1851"/>
      <c r="BJ114" s="1348"/>
      <c r="BK114" s="1348"/>
      <c r="BL114" s="180"/>
      <c r="BM114" s="180"/>
      <c r="BN114" s="180"/>
      <c r="BO114" s="180"/>
      <c r="BP114" s="1348"/>
      <c r="BQ114" s="1348"/>
      <c r="BR114" s="1348"/>
      <c r="BS114" s="1348"/>
      <c r="BT114" s="1348"/>
      <c r="BU114" s="1348"/>
      <c r="BV114" s="1348"/>
      <c r="BW114" s="1348"/>
      <c r="BX114" s="1348"/>
      <c r="BY114" s="1348"/>
      <c r="BZ114" s="1348"/>
      <c r="CA114" s="1348"/>
      <c r="CB114" s="1348"/>
      <c r="CC114" s="1348"/>
      <c r="CD114" s="1348"/>
      <c r="CE114" s="1348"/>
      <c r="CF114" s="1348"/>
      <c r="CG114" s="1348"/>
      <c r="CH114" s="1348"/>
      <c r="CI114" s="1348"/>
      <c r="CJ114" s="1348"/>
    </row>
    <row r="115" spans="1:88" s="988" customFormat="1" ht="27" customHeight="1" x14ac:dyDescent="0.25">
      <c r="A115" s="1347"/>
      <c r="B115" s="1348"/>
      <c r="C115" s="1348"/>
      <c r="D115" s="1348"/>
      <c r="E115" s="1348"/>
      <c r="F115" s="1348"/>
      <c r="G115" s="1348"/>
      <c r="H115" s="1348"/>
      <c r="I115" s="1545"/>
      <c r="J115" s="1545"/>
      <c r="K115" s="184"/>
      <c r="L115" s="1847"/>
      <c r="M115" s="184"/>
      <c r="N115" s="184"/>
      <c r="O115" s="1545"/>
      <c r="P115" s="173"/>
      <c r="Q115" s="1848"/>
      <c r="R115" s="1545"/>
      <c r="S115" s="1852"/>
      <c r="T115" s="1274"/>
      <c r="U115" s="1849"/>
      <c r="V115" s="1849"/>
      <c r="W115" s="1849"/>
      <c r="X115" s="177"/>
      <c r="Y115" s="170"/>
      <c r="Z115" s="1348"/>
      <c r="AA115" s="1348"/>
      <c r="AB115" s="1348"/>
      <c r="AC115" s="1348"/>
      <c r="AD115" s="1348"/>
      <c r="AE115" s="1348"/>
      <c r="AF115" s="1348"/>
      <c r="AG115" s="1348"/>
      <c r="AH115" s="1348"/>
      <c r="AI115" s="1348"/>
      <c r="AJ115" s="1348"/>
      <c r="AK115" s="1348"/>
      <c r="AL115" s="1348"/>
      <c r="AM115" s="1348"/>
      <c r="AN115" s="1348"/>
      <c r="AO115" s="1348"/>
      <c r="AP115" s="1348"/>
      <c r="AQ115" s="1348"/>
      <c r="AR115" s="1348"/>
      <c r="AS115" s="1348"/>
      <c r="AT115" s="1348"/>
      <c r="AU115" s="1348"/>
      <c r="AV115" s="1348"/>
      <c r="AW115" s="1348"/>
      <c r="AX115" s="1348"/>
      <c r="AY115" s="1348"/>
      <c r="AZ115" s="1348"/>
      <c r="BA115" s="1348"/>
      <c r="BB115" s="1348"/>
      <c r="BC115" s="1348"/>
      <c r="BD115" s="1348"/>
      <c r="BE115" s="1348"/>
      <c r="BF115" s="1348"/>
      <c r="BG115" s="1850"/>
      <c r="BH115" s="1850"/>
      <c r="BI115" s="1851"/>
      <c r="BJ115" s="1348"/>
      <c r="BK115" s="1348"/>
      <c r="BL115" s="180"/>
      <c r="BM115" s="180"/>
      <c r="BN115" s="180"/>
      <c r="BO115" s="180"/>
      <c r="BP115" s="1348"/>
      <c r="BQ115" s="1348"/>
      <c r="BR115" s="1348"/>
      <c r="BS115" s="1348"/>
      <c r="BT115" s="1348"/>
      <c r="BU115" s="1348"/>
      <c r="BV115" s="1348"/>
      <c r="BW115" s="1348"/>
      <c r="BX115" s="1348"/>
      <c r="BY115" s="1348"/>
      <c r="BZ115" s="1348"/>
      <c r="CA115" s="1348"/>
      <c r="CB115" s="1348"/>
      <c r="CC115" s="1348"/>
      <c r="CD115" s="1348"/>
      <c r="CE115" s="1348"/>
      <c r="CF115" s="1348"/>
      <c r="CG115" s="1348"/>
      <c r="CH115" s="1348"/>
      <c r="CI115" s="1348"/>
      <c r="CJ115" s="1348"/>
    </row>
    <row r="116" spans="1:88" s="988" customFormat="1" ht="27" customHeight="1" x14ac:dyDescent="0.25">
      <c r="A116" s="1347"/>
      <c r="B116" s="1348"/>
      <c r="C116" s="1853"/>
      <c r="D116" s="1854"/>
      <c r="E116" s="1803"/>
      <c r="F116" s="1803"/>
      <c r="G116" s="1803"/>
      <c r="H116" s="1348"/>
      <c r="I116" s="1274"/>
      <c r="J116" s="1545"/>
      <c r="K116" s="184"/>
      <c r="L116" s="1847"/>
      <c r="M116" s="184"/>
      <c r="N116" s="184"/>
      <c r="O116" s="1545"/>
      <c r="P116" s="173"/>
      <c r="Q116" s="1848"/>
      <c r="R116" s="1545"/>
      <c r="S116" s="1545"/>
      <c r="T116" s="1274"/>
      <c r="U116" s="1849"/>
      <c r="V116" s="1855"/>
      <c r="W116" s="1855"/>
      <c r="X116" s="177"/>
      <c r="Y116" s="170"/>
      <c r="Z116" s="1348"/>
      <c r="AA116" s="1348"/>
      <c r="AB116" s="1348"/>
      <c r="AC116" s="1348"/>
      <c r="AD116" s="1348"/>
      <c r="AE116" s="1348"/>
      <c r="AF116" s="1348"/>
      <c r="AG116" s="1348"/>
      <c r="AH116" s="1348"/>
      <c r="AI116" s="1348"/>
      <c r="AJ116" s="1348"/>
      <c r="AK116" s="1348"/>
      <c r="AL116" s="1348"/>
      <c r="AM116" s="1348"/>
      <c r="AN116" s="1348"/>
      <c r="AO116" s="1348"/>
      <c r="AP116" s="1348"/>
      <c r="AQ116" s="1348"/>
      <c r="AR116" s="1348"/>
      <c r="AS116" s="1348"/>
      <c r="AT116" s="1348"/>
      <c r="AU116" s="1348"/>
      <c r="AV116" s="1348"/>
      <c r="AW116" s="1348"/>
      <c r="AX116" s="1348"/>
      <c r="AY116" s="1348"/>
      <c r="AZ116" s="1348"/>
      <c r="BA116" s="1348"/>
      <c r="BB116" s="1348"/>
      <c r="BC116" s="1348"/>
      <c r="BD116" s="1348"/>
      <c r="BE116" s="1348"/>
      <c r="BF116" s="1348"/>
      <c r="BG116" s="1850"/>
      <c r="BH116" s="1850"/>
      <c r="BI116" s="1851"/>
      <c r="BJ116" s="1348"/>
      <c r="BK116" s="1348"/>
      <c r="BL116" s="180"/>
      <c r="BM116" s="180"/>
      <c r="BN116" s="180"/>
      <c r="BO116" s="180"/>
      <c r="BP116" s="1348"/>
      <c r="BQ116" s="1348"/>
      <c r="BR116" s="1348"/>
      <c r="BS116" s="1348"/>
      <c r="BT116" s="1348"/>
      <c r="BU116" s="1348"/>
      <c r="BV116" s="1348"/>
      <c r="BW116" s="1348"/>
      <c r="BX116" s="1348"/>
      <c r="BY116" s="1348"/>
      <c r="BZ116" s="1348"/>
      <c r="CA116" s="1348"/>
      <c r="CB116" s="1348"/>
      <c r="CC116" s="1348"/>
      <c r="CD116" s="1348"/>
      <c r="CE116" s="1348"/>
      <c r="CF116" s="1348"/>
      <c r="CG116" s="1348"/>
      <c r="CH116" s="1348"/>
      <c r="CI116" s="1348"/>
      <c r="CJ116" s="1348"/>
    </row>
    <row r="117" spans="1:88" s="988" customFormat="1" ht="27" customHeight="1" x14ac:dyDescent="0.25">
      <c r="A117" s="1347"/>
      <c r="B117" s="1348"/>
      <c r="C117" s="1533" t="s">
        <v>1536</v>
      </c>
      <c r="D117" s="184"/>
      <c r="E117" s="1348"/>
      <c r="F117" s="1348"/>
      <c r="G117" s="1348"/>
      <c r="H117" s="1348"/>
      <c r="I117" s="1274"/>
      <c r="J117" s="1545"/>
      <c r="K117" s="184"/>
      <c r="L117" s="1847"/>
      <c r="M117" s="184"/>
      <c r="N117" s="184"/>
      <c r="O117" s="1545"/>
      <c r="P117" s="173"/>
      <c r="Q117" s="1848"/>
      <c r="R117" s="1545"/>
      <c r="S117" s="1545"/>
      <c r="T117" s="1545"/>
      <c r="U117" s="1855"/>
      <c r="V117" s="1855"/>
      <c r="W117" s="1855"/>
      <c r="X117" s="177"/>
      <c r="Y117" s="170"/>
      <c r="Z117" s="1348"/>
      <c r="AA117" s="1348"/>
      <c r="AB117" s="1348"/>
      <c r="AC117" s="1348"/>
      <c r="AD117" s="1348"/>
      <c r="AE117" s="1348"/>
      <c r="AF117" s="1348"/>
      <c r="AG117" s="1348"/>
      <c r="AH117" s="1348"/>
      <c r="AI117" s="1348"/>
      <c r="AJ117" s="1348"/>
      <c r="AK117" s="1348"/>
      <c r="AL117" s="1348"/>
      <c r="AM117" s="1348"/>
      <c r="AN117" s="1348"/>
      <c r="AO117" s="1348"/>
      <c r="AP117" s="1348"/>
      <c r="AQ117" s="1348"/>
      <c r="AR117" s="1348"/>
      <c r="AS117" s="1348"/>
      <c r="AT117" s="1348"/>
      <c r="AU117" s="1348"/>
      <c r="AV117" s="1348"/>
      <c r="AW117" s="1348"/>
      <c r="AX117" s="1348"/>
      <c r="AY117" s="1348"/>
      <c r="AZ117" s="1348"/>
      <c r="BA117" s="1348"/>
      <c r="BB117" s="1348"/>
      <c r="BC117" s="1348"/>
      <c r="BD117" s="1348"/>
      <c r="BE117" s="1348"/>
      <c r="BF117" s="1348"/>
      <c r="BG117" s="1850"/>
      <c r="BH117" s="1850"/>
      <c r="BI117" s="1851"/>
      <c r="BJ117" s="1348"/>
      <c r="BK117" s="1348"/>
      <c r="BL117" s="180"/>
      <c r="BM117" s="180"/>
      <c r="BN117" s="180"/>
      <c r="BO117" s="180"/>
      <c r="BP117" s="1348"/>
      <c r="BQ117" s="1348"/>
      <c r="BR117" s="1348"/>
      <c r="BS117" s="1348"/>
      <c r="BT117" s="1348"/>
      <c r="BU117" s="1348"/>
      <c r="BV117" s="1348"/>
      <c r="BW117" s="1348"/>
      <c r="BX117" s="1348"/>
      <c r="BY117" s="1348"/>
      <c r="BZ117" s="1348"/>
      <c r="CA117" s="1348"/>
      <c r="CB117" s="1348"/>
      <c r="CC117" s="1348"/>
      <c r="CD117" s="1348"/>
      <c r="CE117" s="1348"/>
      <c r="CF117" s="1348"/>
      <c r="CG117" s="1348"/>
      <c r="CH117" s="1348"/>
      <c r="CI117" s="1348"/>
      <c r="CJ117" s="1348"/>
    </row>
    <row r="118" spans="1:88" s="988" customFormat="1" ht="27" customHeight="1" x14ac:dyDescent="0.25">
      <c r="A118" s="1347"/>
      <c r="B118" s="1348"/>
      <c r="C118" s="1533" t="s">
        <v>1537</v>
      </c>
      <c r="D118" s="184"/>
      <c r="E118" s="1348"/>
      <c r="F118" s="1348"/>
      <c r="G118" s="1348"/>
      <c r="H118" s="1348"/>
      <c r="I118" s="1274"/>
      <c r="J118" s="1545"/>
      <c r="K118" s="184"/>
      <c r="L118" s="1847"/>
      <c r="M118" s="184"/>
      <c r="N118" s="184"/>
      <c r="O118" s="1545"/>
      <c r="P118" s="173"/>
      <c r="Q118" s="1848"/>
      <c r="R118" s="1545"/>
      <c r="S118" s="1545"/>
      <c r="T118" s="1545"/>
      <c r="U118" s="1855"/>
      <c r="V118" s="1855"/>
      <c r="W118" s="1855"/>
      <c r="X118" s="177"/>
      <c r="Y118" s="170"/>
      <c r="Z118" s="1348"/>
      <c r="AA118" s="1348"/>
      <c r="AB118" s="1348"/>
      <c r="AC118" s="1348"/>
      <c r="AD118" s="1348"/>
      <c r="AE118" s="1348"/>
      <c r="AF118" s="1348"/>
      <c r="AG118" s="1348"/>
      <c r="AH118" s="1348"/>
      <c r="AI118" s="1348"/>
      <c r="AJ118" s="1348"/>
      <c r="AK118" s="1348"/>
      <c r="AL118" s="1348"/>
      <c r="AM118" s="1348"/>
      <c r="AN118" s="1348"/>
      <c r="AO118" s="1348"/>
      <c r="AP118" s="1348"/>
      <c r="AQ118" s="1348"/>
      <c r="AR118" s="1348"/>
      <c r="AS118" s="1348"/>
      <c r="AT118" s="1348"/>
      <c r="AU118" s="1348"/>
      <c r="AV118" s="1348"/>
      <c r="AW118" s="1348"/>
      <c r="AX118" s="1348"/>
      <c r="AY118" s="1348"/>
      <c r="AZ118" s="1348"/>
      <c r="BA118" s="1348"/>
      <c r="BB118" s="1348"/>
      <c r="BC118" s="1348"/>
      <c r="BD118" s="1348"/>
      <c r="BE118" s="1348"/>
      <c r="BF118" s="1348"/>
      <c r="BG118" s="1850"/>
      <c r="BH118" s="1850"/>
      <c r="BI118" s="1851"/>
      <c r="BJ118" s="1348"/>
      <c r="BK118" s="1348"/>
      <c r="BL118" s="180"/>
      <c r="BM118" s="180"/>
      <c r="BN118" s="180"/>
      <c r="BO118" s="180"/>
      <c r="BP118" s="1348"/>
      <c r="BQ118" s="1348"/>
      <c r="BR118" s="1348"/>
      <c r="BS118" s="1348"/>
      <c r="BT118" s="1348"/>
      <c r="BU118" s="1348"/>
      <c r="BV118" s="1348"/>
      <c r="BW118" s="1348"/>
      <c r="BX118" s="1348"/>
      <c r="BY118" s="1348"/>
      <c r="BZ118" s="1348"/>
      <c r="CA118" s="1348"/>
      <c r="CB118" s="1348"/>
      <c r="CC118" s="1348"/>
      <c r="CD118" s="1348"/>
      <c r="CE118" s="1348"/>
      <c r="CF118" s="1348"/>
      <c r="CG118" s="1348"/>
      <c r="CH118" s="1348"/>
      <c r="CI118" s="1348"/>
      <c r="CJ118" s="1348"/>
    </row>
  </sheetData>
  <sheetProtection password="A60F" sheet="1" objects="1" scenarios="1"/>
  <mergeCells count="641">
    <mergeCell ref="BM110:BM112"/>
    <mergeCell ref="BN110:BN112"/>
    <mergeCell ref="BO110:BO112"/>
    <mergeCell ref="BP110:BP112"/>
    <mergeCell ref="BG110:BG112"/>
    <mergeCell ref="BH110:BH112"/>
    <mergeCell ref="BI110:BI112"/>
    <mergeCell ref="BJ110:BJ112"/>
    <mergeCell ref="BK110:BK112"/>
    <mergeCell ref="BL110:BL112"/>
    <mergeCell ref="BA110:BA112"/>
    <mergeCell ref="BB110:BB112"/>
    <mergeCell ref="BC110:BC112"/>
    <mergeCell ref="BD110:BD112"/>
    <mergeCell ref="BE110:BE112"/>
    <mergeCell ref="BF110:BF112"/>
    <mergeCell ref="AU110:AU112"/>
    <mergeCell ref="AV110:AV112"/>
    <mergeCell ref="AW110:AW112"/>
    <mergeCell ref="AX110:AX112"/>
    <mergeCell ref="AY110:AY112"/>
    <mergeCell ref="AZ110:AZ112"/>
    <mergeCell ref="AO110:AO112"/>
    <mergeCell ref="AP110:AP112"/>
    <mergeCell ref="AQ110:AQ112"/>
    <mergeCell ref="AR110:AR112"/>
    <mergeCell ref="AS110:AS112"/>
    <mergeCell ref="AT110:AT112"/>
    <mergeCell ref="AI110:AI112"/>
    <mergeCell ref="AJ110:AJ112"/>
    <mergeCell ref="AK110:AK112"/>
    <mergeCell ref="AL110:AL112"/>
    <mergeCell ref="AM110:AM112"/>
    <mergeCell ref="AN110:AN112"/>
    <mergeCell ref="AC110:AC112"/>
    <mergeCell ref="AD110:AD112"/>
    <mergeCell ref="AE110:AE112"/>
    <mergeCell ref="AF110:AF112"/>
    <mergeCell ref="AG110:AG112"/>
    <mergeCell ref="AH110:AH112"/>
    <mergeCell ref="R110:R112"/>
    <mergeCell ref="S110:S112"/>
    <mergeCell ref="T110:T111"/>
    <mergeCell ref="Z110:Z112"/>
    <mergeCell ref="AA110:AA112"/>
    <mergeCell ref="AB110:AB112"/>
    <mergeCell ref="L110:L112"/>
    <mergeCell ref="M110:M112"/>
    <mergeCell ref="N110:N112"/>
    <mergeCell ref="O110:O112"/>
    <mergeCell ref="P110:P112"/>
    <mergeCell ref="Q110:Q112"/>
    <mergeCell ref="BO107:BO108"/>
    <mergeCell ref="BP107:BP108"/>
    <mergeCell ref="E109:M109"/>
    <mergeCell ref="BK107:BK108"/>
    <mergeCell ref="BL107:BL108"/>
    <mergeCell ref="BM107:BM108"/>
    <mergeCell ref="BN107:BN108"/>
    <mergeCell ref="AT107:AT108"/>
    <mergeCell ref="AU107:AU108"/>
    <mergeCell ref="AV107:AV108"/>
    <mergeCell ref="AK107:AK108"/>
    <mergeCell ref="AL107:AL108"/>
    <mergeCell ref="AM107:AM108"/>
    <mergeCell ref="AN107:AN108"/>
    <mergeCell ref="AO107:AO108"/>
    <mergeCell ref="AP107:AP108"/>
    <mergeCell ref="AE107:AE108"/>
    <mergeCell ref="AF107:AF108"/>
    <mergeCell ref="D110:D112"/>
    <mergeCell ref="E110:F112"/>
    <mergeCell ref="G110:G112"/>
    <mergeCell ref="H110:H112"/>
    <mergeCell ref="I110:I112"/>
    <mergeCell ref="J110:J112"/>
    <mergeCell ref="K110:K112"/>
    <mergeCell ref="BI107:BI108"/>
    <mergeCell ref="BJ107:BJ108"/>
    <mergeCell ref="BC107:BC108"/>
    <mergeCell ref="BD107:BD108"/>
    <mergeCell ref="BE107:BE108"/>
    <mergeCell ref="BF107:BF108"/>
    <mergeCell ref="BG107:BG108"/>
    <mergeCell ref="BH107:BH108"/>
    <mergeCell ref="AW107:AW108"/>
    <mergeCell ref="AX107:AX108"/>
    <mergeCell ref="AY107:AY108"/>
    <mergeCell ref="AZ107:AZ108"/>
    <mergeCell ref="BA107:BA108"/>
    <mergeCell ref="BB107:BB108"/>
    <mergeCell ref="AQ107:AQ108"/>
    <mergeCell ref="AR107:AR108"/>
    <mergeCell ref="AS107:AS108"/>
    <mergeCell ref="AG107:AG108"/>
    <mergeCell ref="AH107:AH108"/>
    <mergeCell ref="AI107:AI108"/>
    <mergeCell ref="AJ107:AJ108"/>
    <mergeCell ref="S107:S108"/>
    <mergeCell ref="Z107:Z108"/>
    <mergeCell ref="AA107:AA108"/>
    <mergeCell ref="AB107:AB108"/>
    <mergeCell ref="AC107:AC108"/>
    <mergeCell ref="AD107:AD108"/>
    <mergeCell ref="M107:M108"/>
    <mergeCell ref="N107:N108"/>
    <mergeCell ref="O107:O108"/>
    <mergeCell ref="P107:P108"/>
    <mergeCell ref="Q107:Q108"/>
    <mergeCell ref="R107:R108"/>
    <mergeCell ref="B105:L105"/>
    <mergeCell ref="E106:M106"/>
    <mergeCell ref="D107:D108"/>
    <mergeCell ref="E107:F108"/>
    <mergeCell ref="G107:G108"/>
    <mergeCell ref="H107:H108"/>
    <mergeCell ref="I107:I108"/>
    <mergeCell ref="J107:J108"/>
    <mergeCell ref="K107:K108"/>
    <mergeCell ref="L107:L108"/>
    <mergeCell ref="BP97:BP104"/>
    <mergeCell ref="G100:G102"/>
    <mergeCell ref="H100:H102"/>
    <mergeCell ref="I100:I102"/>
    <mergeCell ref="J100:J102"/>
    <mergeCell ref="K100:K102"/>
    <mergeCell ref="L100:L102"/>
    <mergeCell ref="P100:P102"/>
    <mergeCell ref="T100:T102"/>
    <mergeCell ref="BJ97:BJ104"/>
    <mergeCell ref="BK97:BK104"/>
    <mergeCell ref="BL97:BL104"/>
    <mergeCell ref="BM97:BM104"/>
    <mergeCell ref="BN97:BN104"/>
    <mergeCell ref="BO97:BO104"/>
    <mergeCell ref="BD97:BD104"/>
    <mergeCell ref="BE97:BE104"/>
    <mergeCell ref="BF97:BF104"/>
    <mergeCell ref="BG97:BG104"/>
    <mergeCell ref="BH97:BH104"/>
    <mergeCell ref="BI97:BI104"/>
    <mergeCell ref="AX97:AX104"/>
    <mergeCell ref="AY97:AY104"/>
    <mergeCell ref="AZ97:AZ104"/>
    <mergeCell ref="BA97:BA104"/>
    <mergeCell ref="BB97:BB104"/>
    <mergeCell ref="BC97:BC104"/>
    <mergeCell ref="AR97:AR104"/>
    <mergeCell ref="AS97:AS104"/>
    <mergeCell ref="AT97:AT104"/>
    <mergeCell ref="AU97:AU104"/>
    <mergeCell ref="AV97:AV104"/>
    <mergeCell ref="AW97:AW104"/>
    <mergeCell ref="AL97:AL104"/>
    <mergeCell ref="AM97:AM104"/>
    <mergeCell ref="AN97:AN104"/>
    <mergeCell ref="AO97:AO104"/>
    <mergeCell ref="AP97:AP104"/>
    <mergeCell ref="AQ97:AQ104"/>
    <mergeCell ref="AF97:AF104"/>
    <mergeCell ref="AG97:AG104"/>
    <mergeCell ref="AH97:AH104"/>
    <mergeCell ref="AI97:AI104"/>
    <mergeCell ref="AJ97:AJ104"/>
    <mergeCell ref="AK97:AK104"/>
    <mergeCell ref="Z97:Z104"/>
    <mergeCell ref="AA97:AA104"/>
    <mergeCell ref="AB97:AB104"/>
    <mergeCell ref="AC97:AC104"/>
    <mergeCell ref="AD97:AD104"/>
    <mergeCell ref="AE97:AE104"/>
    <mergeCell ref="O97:O104"/>
    <mergeCell ref="P97:P98"/>
    <mergeCell ref="Q97:Q104"/>
    <mergeCell ref="R97:R104"/>
    <mergeCell ref="S97:S104"/>
    <mergeCell ref="T97:T98"/>
    <mergeCell ref="E96:K96"/>
    <mergeCell ref="G97:G98"/>
    <mergeCell ref="H97:H98"/>
    <mergeCell ref="I97:I98"/>
    <mergeCell ref="J97:J98"/>
    <mergeCell ref="K97:K98"/>
    <mergeCell ref="L97:L98"/>
    <mergeCell ref="M97:M104"/>
    <mergeCell ref="N97:N104"/>
    <mergeCell ref="BJ92:BJ95"/>
    <mergeCell ref="BK92:BK95"/>
    <mergeCell ref="BL92:BL95"/>
    <mergeCell ref="BM92:BM95"/>
    <mergeCell ref="BN92:BN95"/>
    <mergeCell ref="BO92:BO95"/>
    <mergeCell ref="BD92:BD95"/>
    <mergeCell ref="BE92:BE95"/>
    <mergeCell ref="BF92:BF95"/>
    <mergeCell ref="BG92:BG95"/>
    <mergeCell ref="BH92:BH95"/>
    <mergeCell ref="BI92:BI95"/>
    <mergeCell ref="AX92:AX95"/>
    <mergeCell ref="AY92:AY95"/>
    <mergeCell ref="AZ92:AZ95"/>
    <mergeCell ref="BA92:BA95"/>
    <mergeCell ref="BB92:BB95"/>
    <mergeCell ref="BC92:BC95"/>
    <mergeCell ref="AR92:AR95"/>
    <mergeCell ref="AS92:AS95"/>
    <mergeCell ref="AT92:AT95"/>
    <mergeCell ref="AU92:AU95"/>
    <mergeCell ref="AV92:AV95"/>
    <mergeCell ref="AW92:AW95"/>
    <mergeCell ref="AL92:AL95"/>
    <mergeCell ref="AM92:AM95"/>
    <mergeCell ref="AN92:AN95"/>
    <mergeCell ref="AO92:AO95"/>
    <mergeCell ref="AP92:AP95"/>
    <mergeCell ref="AQ92:AQ95"/>
    <mergeCell ref="AF92:AF95"/>
    <mergeCell ref="AG92:AG95"/>
    <mergeCell ref="AH92:AH95"/>
    <mergeCell ref="AI92:AI95"/>
    <mergeCell ref="AJ92:AJ95"/>
    <mergeCell ref="AK92:AK95"/>
    <mergeCell ref="Z92:Z95"/>
    <mergeCell ref="AA92:AA95"/>
    <mergeCell ref="AB92:AB95"/>
    <mergeCell ref="AC92:AC95"/>
    <mergeCell ref="AD92:AD95"/>
    <mergeCell ref="AE92:AE95"/>
    <mergeCell ref="N92:N95"/>
    <mergeCell ref="O92:O95"/>
    <mergeCell ref="P92:P95"/>
    <mergeCell ref="Q92:Q95"/>
    <mergeCell ref="R92:R95"/>
    <mergeCell ref="S92:S95"/>
    <mergeCell ref="T94:T95"/>
    <mergeCell ref="E91:M91"/>
    <mergeCell ref="G92:G95"/>
    <mergeCell ref="H92:H95"/>
    <mergeCell ref="I92:I95"/>
    <mergeCell ref="J92:J95"/>
    <mergeCell ref="K92:K95"/>
    <mergeCell ref="L92:L95"/>
    <mergeCell ref="M92:M95"/>
    <mergeCell ref="BP65:BP86"/>
    <mergeCell ref="T76:T78"/>
    <mergeCell ref="T81:T82"/>
    <mergeCell ref="T84:T85"/>
    <mergeCell ref="E87:M87"/>
    <mergeCell ref="E89:M89"/>
    <mergeCell ref="BJ65:BJ86"/>
    <mergeCell ref="BK65:BK86"/>
    <mergeCell ref="BL65:BL86"/>
    <mergeCell ref="BM65:BM86"/>
    <mergeCell ref="BN65:BN86"/>
    <mergeCell ref="BO65:BO86"/>
    <mergeCell ref="BD65:BD86"/>
    <mergeCell ref="BE65:BE86"/>
    <mergeCell ref="BF65:BF86"/>
    <mergeCell ref="BG65:BG86"/>
    <mergeCell ref="BH65:BH86"/>
    <mergeCell ref="BI65:BI86"/>
    <mergeCell ref="AX65:AX86"/>
    <mergeCell ref="AY65:AY86"/>
    <mergeCell ref="AZ65:AZ86"/>
    <mergeCell ref="BA65:BA86"/>
    <mergeCell ref="BB65:BB86"/>
    <mergeCell ref="BC65:BC86"/>
    <mergeCell ref="AR65:AR86"/>
    <mergeCell ref="AS65:AS86"/>
    <mergeCell ref="AT65:AT86"/>
    <mergeCell ref="AU65:AU86"/>
    <mergeCell ref="AV65:AV86"/>
    <mergeCell ref="AW65:AW86"/>
    <mergeCell ref="R65:R85"/>
    <mergeCell ref="S65:S86"/>
    <mergeCell ref="AL65:AL86"/>
    <mergeCell ref="AM65:AM86"/>
    <mergeCell ref="AN65:AN86"/>
    <mergeCell ref="AO65:AO86"/>
    <mergeCell ref="AP65:AP86"/>
    <mergeCell ref="AQ65:AQ86"/>
    <mergeCell ref="AF65:AF86"/>
    <mergeCell ref="AG65:AG86"/>
    <mergeCell ref="AH65:AH86"/>
    <mergeCell ref="AI65:AI86"/>
    <mergeCell ref="AJ65:AJ86"/>
    <mergeCell ref="AK65:AK86"/>
    <mergeCell ref="E64:M64"/>
    <mergeCell ref="G65:G85"/>
    <mergeCell ref="H65:H85"/>
    <mergeCell ref="I65:I85"/>
    <mergeCell ref="J65:J85"/>
    <mergeCell ref="K65:K85"/>
    <mergeCell ref="L65:L85"/>
    <mergeCell ref="M65:M86"/>
    <mergeCell ref="CS60:CS61"/>
    <mergeCell ref="BV60:BV61"/>
    <mergeCell ref="BW60:BW61"/>
    <mergeCell ref="BX60:BX61"/>
    <mergeCell ref="BY60:BY61"/>
    <mergeCell ref="BZ60:BZ61"/>
    <mergeCell ref="T65:T66"/>
    <mergeCell ref="Z65:Z86"/>
    <mergeCell ref="AB65:AB86"/>
    <mergeCell ref="AC65:AC86"/>
    <mergeCell ref="AD65:AD86"/>
    <mergeCell ref="AE65:AE86"/>
    <mergeCell ref="N65:N86"/>
    <mergeCell ref="O65:O86"/>
    <mergeCell ref="P65:P85"/>
    <mergeCell ref="Q65:Q85"/>
    <mergeCell ref="CT60:CT61"/>
    <mergeCell ref="CU60:CU61"/>
    <mergeCell ref="CV60:CV61"/>
    <mergeCell ref="E61:M61"/>
    <mergeCell ref="B63:M63"/>
    <mergeCell ref="CM60:CM61"/>
    <mergeCell ref="CN60:CN61"/>
    <mergeCell ref="CO60:CO61"/>
    <mergeCell ref="CP60:CP61"/>
    <mergeCell ref="CQ60:CQ61"/>
    <mergeCell ref="CR60:CR61"/>
    <mergeCell ref="CG60:CG61"/>
    <mergeCell ref="CH60:CH61"/>
    <mergeCell ref="CI60:CI61"/>
    <mergeCell ref="CJ60:CJ61"/>
    <mergeCell ref="CK60:CK61"/>
    <mergeCell ref="CL60:CL61"/>
    <mergeCell ref="CA60:CA61"/>
    <mergeCell ref="CB60:CB61"/>
    <mergeCell ref="CC60:CC61"/>
    <mergeCell ref="CD60:CD61"/>
    <mergeCell ref="CE60:CE61"/>
    <mergeCell ref="CF60:CF61"/>
    <mergeCell ref="BU60:BU61"/>
    <mergeCell ref="B58:M58"/>
    <mergeCell ref="E59:N59"/>
    <mergeCell ref="BQ60:BQ61"/>
    <mergeCell ref="BR60:BR61"/>
    <mergeCell ref="BS60:BS61"/>
    <mergeCell ref="BT60:BT61"/>
    <mergeCell ref="BN51:BN57"/>
    <mergeCell ref="BO51:BO57"/>
    <mergeCell ref="BP51:BP57"/>
    <mergeCell ref="D54:D57"/>
    <mergeCell ref="E54:F57"/>
    <mergeCell ref="T54:T55"/>
    <mergeCell ref="BH51:BH57"/>
    <mergeCell ref="BI51:BI57"/>
    <mergeCell ref="BJ51:BJ57"/>
    <mergeCell ref="BK51:BK57"/>
    <mergeCell ref="BL51:BL57"/>
    <mergeCell ref="BM51:BM57"/>
    <mergeCell ref="BB51:BB57"/>
    <mergeCell ref="BC51:BC57"/>
    <mergeCell ref="BD51:BD57"/>
    <mergeCell ref="BE51:BE57"/>
    <mergeCell ref="BF51:BF57"/>
    <mergeCell ref="BG51:BG57"/>
    <mergeCell ref="AV51:AV57"/>
    <mergeCell ref="AW51:AW57"/>
    <mergeCell ref="AX51:AX57"/>
    <mergeCell ref="AY51:AY57"/>
    <mergeCell ref="AZ51:AZ57"/>
    <mergeCell ref="BA51:BA57"/>
    <mergeCell ref="AP51:AP57"/>
    <mergeCell ref="AQ51:AQ57"/>
    <mergeCell ref="AR51:AR57"/>
    <mergeCell ref="AS51:AS57"/>
    <mergeCell ref="AT51:AT57"/>
    <mergeCell ref="AU51:AU57"/>
    <mergeCell ref="AJ51:AJ57"/>
    <mergeCell ref="AK51:AK57"/>
    <mergeCell ref="AL51:AL57"/>
    <mergeCell ref="AM51:AM57"/>
    <mergeCell ref="AN51:AN57"/>
    <mergeCell ref="AO51:AO57"/>
    <mergeCell ref="AD51:AD57"/>
    <mergeCell ref="AE51:AE57"/>
    <mergeCell ref="AF51:AF57"/>
    <mergeCell ref="AG51:AG57"/>
    <mergeCell ref="AH51:AH57"/>
    <mergeCell ref="AI51:AI57"/>
    <mergeCell ref="R51:R57"/>
    <mergeCell ref="S51:S57"/>
    <mergeCell ref="Z51:Z57"/>
    <mergeCell ref="AA51:AA57"/>
    <mergeCell ref="AB51:AB57"/>
    <mergeCell ref="AC51:AC57"/>
    <mergeCell ref="L51:L57"/>
    <mergeCell ref="M51:M57"/>
    <mergeCell ref="N51:N57"/>
    <mergeCell ref="O51:O57"/>
    <mergeCell ref="P51:P57"/>
    <mergeCell ref="Q51:Q57"/>
    <mergeCell ref="BM37:BM49"/>
    <mergeCell ref="BN37:BN49"/>
    <mergeCell ref="BO37:BO49"/>
    <mergeCell ref="BP37:BP49"/>
    <mergeCell ref="E50:L50"/>
    <mergeCell ref="G51:G57"/>
    <mergeCell ref="H51:H57"/>
    <mergeCell ref="I51:I57"/>
    <mergeCell ref="J51:J57"/>
    <mergeCell ref="K51:K57"/>
    <mergeCell ref="BG37:BG49"/>
    <mergeCell ref="BH37:BH49"/>
    <mergeCell ref="BI37:BI49"/>
    <mergeCell ref="BJ37:BJ49"/>
    <mergeCell ref="BK37:BK49"/>
    <mergeCell ref="BL37:BL49"/>
    <mergeCell ref="BA37:BA49"/>
    <mergeCell ref="BB37:BB49"/>
    <mergeCell ref="BC37:BC49"/>
    <mergeCell ref="BD37:BD49"/>
    <mergeCell ref="BE37:BE49"/>
    <mergeCell ref="BF37:BF49"/>
    <mergeCell ref="AU37:AU49"/>
    <mergeCell ref="AV37:AV49"/>
    <mergeCell ref="AW37:AW49"/>
    <mergeCell ref="AX37:AX49"/>
    <mergeCell ref="AY37:AY49"/>
    <mergeCell ref="AZ37:AZ49"/>
    <mergeCell ref="AO37:AO49"/>
    <mergeCell ref="AP37:AP49"/>
    <mergeCell ref="AQ37:AQ49"/>
    <mergeCell ref="AR37:AR49"/>
    <mergeCell ref="AS37:AS49"/>
    <mergeCell ref="AT37:AT49"/>
    <mergeCell ref="AI37:AI49"/>
    <mergeCell ref="AJ37:AJ49"/>
    <mergeCell ref="AK37:AK49"/>
    <mergeCell ref="AL37:AL49"/>
    <mergeCell ref="AM37:AM49"/>
    <mergeCell ref="AN37:AN49"/>
    <mergeCell ref="AC37:AC49"/>
    <mergeCell ref="AD37:AD49"/>
    <mergeCell ref="AE37:AE49"/>
    <mergeCell ref="AF37:AF49"/>
    <mergeCell ref="AG37:AG49"/>
    <mergeCell ref="AH37:AH49"/>
    <mergeCell ref="Q37:Q49"/>
    <mergeCell ref="R37:R49"/>
    <mergeCell ref="S37:S49"/>
    <mergeCell ref="Z37:Z49"/>
    <mergeCell ref="AA37:AA49"/>
    <mergeCell ref="AB37:AB49"/>
    <mergeCell ref="K37:K49"/>
    <mergeCell ref="L37:L49"/>
    <mergeCell ref="M37:M49"/>
    <mergeCell ref="N37:N49"/>
    <mergeCell ref="O37:O49"/>
    <mergeCell ref="P37:P49"/>
    <mergeCell ref="D37:D49"/>
    <mergeCell ref="E37:F49"/>
    <mergeCell ref="G37:G49"/>
    <mergeCell ref="H37:H49"/>
    <mergeCell ref="I37:I49"/>
    <mergeCell ref="J37:J49"/>
    <mergeCell ref="BL33:BL35"/>
    <mergeCell ref="BM33:BM35"/>
    <mergeCell ref="BN33:BN35"/>
    <mergeCell ref="AQ33:AQ35"/>
    <mergeCell ref="AR33:AR35"/>
    <mergeCell ref="AS33:AS35"/>
    <mergeCell ref="AH33:AH35"/>
    <mergeCell ref="AI33:AI35"/>
    <mergeCell ref="AJ33:AJ35"/>
    <mergeCell ref="AK33:AK35"/>
    <mergeCell ref="AL33:AL35"/>
    <mergeCell ref="AM33:AM35"/>
    <mergeCell ref="AB33:AB35"/>
    <mergeCell ref="AC33:AC35"/>
    <mergeCell ref="AD33:AD35"/>
    <mergeCell ref="AE33:AE35"/>
    <mergeCell ref="AF33:AF35"/>
    <mergeCell ref="AG33:AG35"/>
    <mergeCell ref="BO33:BO35"/>
    <mergeCell ref="BP33:BP35"/>
    <mergeCell ref="E36:J36"/>
    <mergeCell ref="BF33:BF35"/>
    <mergeCell ref="BG33:BG35"/>
    <mergeCell ref="BH33:BH35"/>
    <mergeCell ref="BI33:BI35"/>
    <mergeCell ref="BJ33:BJ35"/>
    <mergeCell ref="BK33:BK35"/>
    <mergeCell ref="AZ33:AZ35"/>
    <mergeCell ref="BA33:BA35"/>
    <mergeCell ref="BB33:BB35"/>
    <mergeCell ref="BC33:BC35"/>
    <mergeCell ref="BD33:BD35"/>
    <mergeCell ref="BE33:BE35"/>
    <mergeCell ref="AT33:AT35"/>
    <mergeCell ref="AU33:AU35"/>
    <mergeCell ref="AV33:AV35"/>
    <mergeCell ref="AW33:AW35"/>
    <mergeCell ref="AX33:AX35"/>
    <mergeCell ref="AY33:AY35"/>
    <mergeCell ref="AN33:AN35"/>
    <mergeCell ref="AO33:AO35"/>
    <mergeCell ref="AP33:AP35"/>
    <mergeCell ref="P33:P35"/>
    <mergeCell ref="Q33:Q35"/>
    <mergeCell ref="R33:R35"/>
    <mergeCell ref="S33:S35"/>
    <mergeCell ref="Z33:Z35"/>
    <mergeCell ref="AA33:AA35"/>
    <mergeCell ref="J33:J35"/>
    <mergeCell ref="K33:K35"/>
    <mergeCell ref="L33:L35"/>
    <mergeCell ref="M33:M35"/>
    <mergeCell ref="N33:N35"/>
    <mergeCell ref="O33:O35"/>
    <mergeCell ref="BO16:BO31"/>
    <mergeCell ref="BP16:BP31"/>
    <mergeCell ref="T29:T30"/>
    <mergeCell ref="E32:J32"/>
    <mergeCell ref="D33:D35"/>
    <mergeCell ref="E33:E35"/>
    <mergeCell ref="F33:F35"/>
    <mergeCell ref="G33:G35"/>
    <mergeCell ref="H33:H35"/>
    <mergeCell ref="I33:I35"/>
    <mergeCell ref="BI16:BI31"/>
    <mergeCell ref="BJ16:BJ31"/>
    <mergeCell ref="BK16:BK31"/>
    <mergeCell ref="BL16:BL31"/>
    <mergeCell ref="BM16:BM31"/>
    <mergeCell ref="BN16:BN31"/>
    <mergeCell ref="BC16:BC31"/>
    <mergeCell ref="BD16:BD31"/>
    <mergeCell ref="BE16:BE31"/>
    <mergeCell ref="BF16:BF31"/>
    <mergeCell ref="BG16:BG31"/>
    <mergeCell ref="BH16:BH31"/>
    <mergeCell ref="AW16:AW31"/>
    <mergeCell ref="AX16:AX31"/>
    <mergeCell ref="AY16:AY31"/>
    <mergeCell ref="AZ16:AZ31"/>
    <mergeCell ref="BA16:BA31"/>
    <mergeCell ref="BB16:BB31"/>
    <mergeCell ref="AQ16:AQ31"/>
    <mergeCell ref="AR16:AR31"/>
    <mergeCell ref="AS16:AS31"/>
    <mergeCell ref="AT16:AT31"/>
    <mergeCell ref="AU16:AU31"/>
    <mergeCell ref="AV16:AV31"/>
    <mergeCell ref="AK16:AK31"/>
    <mergeCell ref="AL16:AL31"/>
    <mergeCell ref="AM16:AM31"/>
    <mergeCell ref="AN16:AN31"/>
    <mergeCell ref="AO16:AO31"/>
    <mergeCell ref="AP16:AP31"/>
    <mergeCell ref="AE16:AE31"/>
    <mergeCell ref="AF16:AF31"/>
    <mergeCell ref="AG16:AG31"/>
    <mergeCell ref="AH16:AH31"/>
    <mergeCell ref="AI16:AI31"/>
    <mergeCell ref="AJ16:AJ31"/>
    <mergeCell ref="S16:S31"/>
    <mergeCell ref="Z16:Z31"/>
    <mergeCell ref="AA16:AA31"/>
    <mergeCell ref="AB16:AB31"/>
    <mergeCell ref="AC16:AC31"/>
    <mergeCell ref="AD16:AD31"/>
    <mergeCell ref="M16:M31"/>
    <mergeCell ref="N16:N31"/>
    <mergeCell ref="O16:O31"/>
    <mergeCell ref="P16:P31"/>
    <mergeCell ref="Q16:Q31"/>
    <mergeCell ref="R16:R31"/>
    <mergeCell ref="E13:I13"/>
    <mergeCell ref="E15:L15"/>
    <mergeCell ref="D16:D31"/>
    <mergeCell ref="E16:F31"/>
    <mergeCell ref="G16:G31"/>
    <mergeCell ref="H16:H31"/>
    <mergeCell ref="I16:I31"/>
    <mergeCell ref="J16:J31"/>
    <mergeCell ref="K16:K31"/>
    <mergeCell ref="L16:L31"/>
    <mergeCell ref="BG8:BG9"/>
    <mergeCell ref="BH8:BH9"/>
    <mergeCell ref="BI8:BI9"/>
    <mergeCell ref="BJ8:BJ9"/>
    <mergeCell ref="BK8:BK9"/>
    <mergeCell ref="B10:J10"/>
    <mergeCell ref="AT8:AU8"/>
    <mergeCell ref="AV8:AW8"/>
    <mergeCell ref="AX8:AY8"/>
    <mergeCell ref="AZ8:BA8"/>
    <mergeCell ref="BB8:BC8"/>
    <mergeCell ref="BF8:BF9"/>
    <mergeCell ref="AH8:AI8"/>
    <mergeCell ref="AJ8:AK8"/>
    <mergeCell ref="AL8:AM8"/>
    <mergeCell ref="AN8:AO8"/>
    <mergeCell ref="AP8:AQ8"/>
    <mergeCell ref="AR8:AS8"/>
    <mergeCell ref="BD7:BE8"/>
    <mergeCell ref="BF7:BK7"/>
    <mergeCell ref="I7:I9"/>
    <mergeCell ref="J7:J9"/>
    <mergeCell ref="K7:L7"/>
    <mergeCell ref="M7:M9"/>
    <mergeCell ref="AL7:AW7"/>
    <mergeCell ref="AX7:BC7"/>
    <mergeCell ref="Z8:AA8"/>
    <mergeCell ref="AB8:AC8"/>
    <mergeCell ref="AD8:AE8"/>
    <mergeCell ref="AF8:AG8"/>
    <mergeCell ref="P7:P9"/>
    <mergeCell ref="Q7:Q9"/>
    <mergeCell ref="R7:R9"/>
    <mergeCell ref="S7:S9"/>
    <mergeCell ref="T7:T9"/>
    <mergeCell ref="U7:W7"/>
    <mergeCell ref="N7:N9"/>
    <mergeCell ref="O7:O9"/>
    <mergeCell ref="A1:BM4"/>
    <mergeCell ref="A5:L6"/>
    <mergeCell ref="N5:BP5"/>
    <mergeCell ref="AA6:BC6"/>
    <mergeCell ref="A7:A9"/>
    <mergeCell ref="B7:C9"/>
    <mergeCell ref="D7:D9"/>
    <mergeCell ref="E7:F9"/>
    <mergeCell ref="G7:G9"/>
    <mergeCell ref="H7:H9"/>
    <mergeCell ref="BL7:BM8"/>
    <mergeCell ref="BN7:BO8"/>
    <mergeCell ref="BP7:BP9"/>
    <mergeCell ref="K8:K9"/>
    <mergeCell ref="L8:L9"/>
    <mergeCell ref="U8:U9"/>
    <mergeCell ref="V8:V9"/>
    <mergeCell ref="W8:W9"/>
    <mergeCell ref="X7:X9"/>
    <mergeCell ref="Y7:Y9"/>
    <mergeCell ref="Z7:AC7"/>
    <mergeCell ref="AD7:AK7"/>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G183"/>
  <sheetViews>
    <sheetView showGridLines="0" zoomScale="60" zoomScaleNormal="60" workbookViewId="0">
      <selection sqref="A1:BN4"/>
    </sheetView>
  </sheetViews>
  <sheetFormatPr baseColWidth="10" defaultColWidth="11.42578125" defaultRowHeight="14.25" x14ac:dyDescent="0.2"/>
  <cols>
    <col min="1" max="1" width="14.28515625" style="2196" customWidth="1"/>
    <col min="2" max="2" width="5.42578125" style="1553" customWidth="1"/>
    <col min="3" max="3" width="17.7109375" style="1553" customWidth="1"/>
    <col min="4" max="4" width="15.85546875" style="1553" customWidth="1"/>
    <col min="5" max="5" width="12.85546875" style="1553" customWidth="1"/>
    <col min="6" max="6" width="6.7109375" style="1553" customWidth="1"/>
    <col min="7" max="7" width="16.140625" style="2197" customWidth="1"/>
    <col min="8" max="8" width="17.42578125" style="2197" customWidth="1"/>
    <col min="9" max="9" width="35.85546875" style="2198" customWidth="1"/>
    <col min="10" max="10" width="46.28515625" style="2198" customWidth="1"/>
    <col min="11" max="11" width="18.85546875" style="2025" customWidth="1"/>
    <col min="12" max="12" width="20.42578125" style="2025" customWidth="1"/>
    <col min="13" max="13" width="42.7109375" style="2199" customWidth="1"/>
    <col min="14" max="14" width="27.42578125" style="2200" customWidth="1"/>
    <col min="15" max="15" width="37.140625" style="2198" customWidth="1"/>
    <col min="16" max="16" width="28.7109375" style="2201" customWidth="1"/>
    <col min="17" max="17" width="28.7109375" style="2202" customWidth="1"/>
    <col min="18" max="18" width="45.85546875" style="2198" customWidth="1"/>
    <col min="19" max="19" width="53.5703125" style="2198" customWidth="1"/>
    <col min="20" max="20" width="63.42578125" style="2203" customWidth="1"/>
    <col min="21" max="21" width="34.85546875" style="2202" customWidth="1"/>
    <col min="22" max="22" width="34.7109375" style="2210" customWidth="1"/>
    <col min="23" max="23" width="33.7109375" style="2210" customWidth="1"/>
    <col min="24" max="24" width="21.85546875" style="2206" customWidth="1"/>
    <col min="25" max="25" width="29" style="2198" customWidth="1"/>
    <col min="26" max="55" width="9.7109375" style="2197" customWidth="1"/>
    <col min="56" max="56" width="11.140625" style="2197" customWidth="1"/>
    <col min="57" max="57" width="11" style="2197" customWidth="1"/>
    <col min="58" max="58" width="22.140625" style="2197" customWidth="1"/>
    <col min="59" max="59" width="32.42578125" style="2197" customWidth="1"/>
    <col min="60" max="60" width="31.85546875" style="2197" customWidth="1"/>
    <col min="61" max="61" width="20" style="2197" customWidth="1"/>
    <col min="62" max="62" width="19.140625" style="2197" customWidth="1"/>
    <col min="63" max="63" width="36.140625" style="2197" customWidth="1"/>
    <col min="64" max="64" width="19.7109375" style="2207" customWidth="1"/>
    <col min="65" max="65" width="16.85546875" style="2207" customWidth="1"/>
    <col min="66" max="66" width="20.140625" style="2208" customWidth="1"/>
    <col min="67" max="67" width="16" style="2208" customWidth="1"/>
    <col min="68" max="68" width="30.42578125" style="2209" customWidth="1"/>
    <col min="69" max="69" width="30.85546875" style="1553" customWidth="1"/>
    <col min="70" max="70" width="26" style="1553" customWidth="1"/>
    <col min="71" max="71" width="22.28515625" style="1553" customWidth="1"/>
    <col min="72" max="16384" width="11.42578125" style="1553"/>
  </cols>
  <sheetData>
    <row r="1" spans="1:85" ht="16.5" customHeight="1" x14ac:dyDescent="0.2">
      <c r="A1" s="3120" t="s">
        <v>1573</v>
      </c>
      <c r="B1" s="3120"/>
      <c r="C1" s="3120"/>
      <c r="D1" s="3120"/>
      <c r="E1" s="3120"/>
      <c r="F1" s="3120"/>
      <c r="G1" s="3120"/>
      <c r="H1" s="3120"/>
      <c r="I1" s="3120"/>
      <c r="J1" s="3120"/>
      <c r="K1" s="3120"/>
      <c r="L1" s="3120"/>
      <c r="M1" s="3120"/>
      <c r="N1" s="3120"/>
      <c r="O1" s="3120"/>
      <c r="P1" s="3120"/>
      <c r="Q1" s="3120"/>
      <c r="R1" s="3120"/>
      <c r="S1" s="3120"/>
      <c r="T1" s="3120"/>
      <c r="U1" s="3120"/>
      <c r="V1" s="3120"/>
      <c r="W1" s="3120"/>
      <c r="X1" s="3120"/>
      <c r="Y1" s="3120"/>
      <c r="Z1" s="3120"/>
      <c r="AA1" s="3120"/>
      <c r="AB1" s="3120"/>
      <c r="AC1" s="3120"/>
      <c r="AD1" s="3120"/>
      <c r="AE1" s="3120"/>
      <c r="AF1" s="3120"/>
      <c r="AG1" s="3120"/>
      <c r="AH1" s="3120"/>
      <c r="AI1" s="3120"/>
      <c r="AJ1" s="3120"/>
      <c r="AK1" s="3120"/>
      <c r="AL1" s="3120"/>
      <c r="AM1" s="3120"/>
      <c r="AN1" s="3120"/>
      <c r="AO1" s="3120"/>
      <c r="AP1" s="3120"/>
      <c r="AQ1" s="3120"/>
      <c r="AR1" s="3120"/>
      <c r="AS1" s="3120"/>
      <c r="AT1" s="3120"/>
      <c r="AU1" s="3120"/>
      <c r="AV1" s="3120"/>
      <c r="AW1" s="3120"/>
      <c r="AX1" s="3120"/>
      <c r="AY1" s="3120"/>
      <c r="AZ1" s="3120"/>
      <c r="BA1" s="3120"/>
      <c r="BB1" s="3120"/>
      <c r="BC1" s="3120"/>
      <c r="BD1" s="3120"/>
      <c r="BE1" s="3120"/>
      <c r="BF1" s="3120"/>
      <c r="BG1" s="3120"/>
      <c r="BH1" s="3120"/>
      <c r="BI1" s="3120"/>
      <c r="BJ1" s="3120"/>
      <c r="BK1" s="3120"/>
      <c r="BL1" s="3120"/>
      <c r="BM1" s="3120"/>
      <c r="BN1" s="3121"/>
      <c r="BO1" s="2023" t="s">
        <v>1</v>
      </c>
      <c r="BP1" s="2024" t="s">
        <v>1574</v>
      </c>
      <c r="BQ1" s="2025"/>
      <c r="BR1" s="2025"/>
      <c r="BS1" s="2025"/>
      <c r="BT1" s="2025"/>
      <c r="BU1" s="2025"/>
      <c r="BV1" s="2025"/>
      <c r="BW1" s="2025"/>
      <c r="BX1" s="2025"/>
      <c r="BY1" s="2025"/>
      <c r="BZ1" s="2025"/>
      <c r="CA1" s="2025"/>
      <c r="CB1" s="2025"/>
      <c r="CC1" s="2025"/>
      <c r="CD1" s="2025"/>
      <c r="CE1" s="2025"/>
      <c r="CF1" s="2025"/>
      <c r="CG1" s="2025"/>
    </row>
    <row r="2" spans="1:85" ht="18.75" customHeight="1" x14ac:dyDescent="0.2">
      <c r="A2" s="3120"/>
      <c r="B2" s="3120"/>
      <c r="C2" s="3120"/>
      <c r="D2" s="3120"/>
      <c r="E2" s="3120"/>
      <c r="F2" s="3120"/>
      <c r="G2" s="3120"/>
      <c r="H2" s="3120"/>
      <c r="I2" s="3120"/>
      <c r="J2" s="3120"/>
      <c r="K2" s="3120"/>
      <c r="L2" s="3120"/>
      <c r="M2" s="3120"/>
      <c r="N2" s="3120"/>
      <c r="O2" s="3120"/>
      <c r="P2" s="3120"/>
      <c r="Q2" s="3120"/>
      <c r="R2" s="3120"/>
      <c r="S2" s="3120"/>
      <c r="T2" s="3120"/>
      <c r="U2" s="3120"/>
      <c r="V2" s="3120"/>
      <c r="W2" s="3120"/>
      <c r="X2" s="3120"/>
      <c r="Y2" s="3120"/>
      <c r="Z2" s="3120"/>
      <c r="AA2" s="3120"/>
      <c r="AB2" s="3120"/>
      <c r="AC2" s="3120"/>
      <c r="AD2" s="3120"/>
      <c r="AE2" s="3120"/>
      <c r="AF2" s="3120"/>
      <c r="AG2" s="3120"/>
      <c r="AH2" s="3120"/>
      <c r="AI2" s="3120"/>
      <c r="AJ2" s="3120"/>
      <c r="AK2" s="3120"/>
      <c r="AL2" s="3120"/>
      <c r="AM2" s="3120"/>
      <c r="AN2" s="3120"/>
      <c r="AO2" s="3120"/>
      <c r="AP2" s="3120"/>
      <c r="AQ2" s="3120"/>
      <c r="AR2" s="3120"/>
      <c r="AS2" s="3120"/>
      <c r="AT2" s="3120"/>
      <c r="AU2" s="3120"/>
      <c r="AV2" s="3120"/>
      <c r="AW2" s="3120"/>
      <c r="AX2" s="3120"/>
      <c r="AY2" s="3120"/>
      <c r="AZ2" s="3120"/>
      <c r="BA2" s="3120"/>
      <c r="BB2" s="3120"/>
      <c r="BC2" s="3120"/>
      <c r="BD2" s="3120"/>
      <c r="BE2" s="3120"/>
      <c r="BF2" s="3120"/>
      <c r="BG2" s="3120"/>
      <c r="BH2" s="3120"/>
      <c r="BI2" s="3120"/>
      <c r="BJ2" s="3120"/>
      <c r="BK2" s="3120"/>
      <c r="BL2" s="3120"/>
      <c r="BM2" s="3120"/>
      <c r="BN2" s="3121"/>
      <c r="BO2" s="2023" t="s">
        <v>3</v>
      </c>
      <c r="BP2" s="2024" t="s">
        <v>4</v>
      </c>
      <c r="BQ2" s="2025"/>
      <c r="BR2" s="2025"/>
      <c r="BS2" s="2025"/>
      <c r="BT2" s="2025"/>
      <c r="BU2" s="2025"/>
      <c r="BV2" s="2025"/>
      <c r="BW2" s="2025"/>
      <c r="BX2" s="2025"/>
      <c r="BY2" s="2025"/>
      <c r="BZ2" s="2025"/>
      <c r="CA2" s="2025"/>
      <c r="CB2" s="2025"/>
      <c r="CC2" s="2025"/>
      <c r="CD2" s="2025"/>
      <c r="CE2" s="2025"/>
      <c r="CF2" s="2025"/>
      <c r="CG2" s="2025"/>
    </row>
    <row r="3" spans="1:85" ht="18" customHeight="1" x14ac:dyDescent="0.2">
      <c r="A3" s="3120"/>
      <c r="B3" s="3120"/>
      <c r="C3" s="3120"/>
      <c r="D3" s="3120"/>
      <c r="E3" s="3120"/>
      <c r="F3" s="3120"/>
      <c r="G3" s="3120"/>
      <c r="H3" s="3120"/>
      <c r="I3" s="3120"/>
      <c r="J3" s="3120"/>
      <c r="K3" s="3120"/>
      <c r="L3" s="3120"/>
      <c r="M3" s="3120"/>
      <c r="N3" s="3120"/>
      <c r="O3" s="3120"/>
      <c r="P3" s="3120"/>
      <c r="Q3" s="3120"/>
      <c r="R3" s="3120"/>
      <c r="S3" s="3120"/>
      <c r="T3" s="3120"/>
      <c r="U3" s="3120"/>
      <c r="V3" s="3120"/>
      <c r="W3" s="3120"/>
      <c r="X3" s="3120"/>
      <c r="Y3" s="3120"/>
      <c r="Z3" s="3120"/>
      <c r="AA3" s="3120"/>
      <c r="AB3" s="3120"/>
      <c r="AC3" s="3120"/>
      <c r="AD3" s="3120"/>
      <c r="AE3" s="3120"/>
      <c r="AF3" s="3120"/>
      <c r="AG3" s="3120"/>
      <c r="AH3" s="3120"/>
      <c r="AI3" s="3120"/>
      <c r="AJ3" s="3120"/>
      <c r="AK3" s="3120"/>
      <c r="AL3" s="3120"/>
      <c r="AM3" s="3120"/>
      <c r="AN3" s="3120"/>
      <c r="AO3" s="3120"/>
      <c r="AP3" s="3120"/>
      <c r="AQ3" s="3120"/>
      <c r="AR3" s="3120"/>
      <c r="AS3" s="3120"/>
      <c r="AT3" s="3120"/>
      <c r="AU3" s="3120"/>
      <c r="AV3" s="3120"/>
      <c r="AW3" s="3120"/>
      <c r="AX3" s="3120"/>
      <c r="AY3" s="3120"/>
      <c r="AZ3" s="3120"/>
      <c r="BA3" s="3120"/>
      <c r="BB3" s="3120"/>
      <c r="BC3" s="3120"/>
      <c r="BD3" s="3120"/>
      <c r="BE3" s="3120"/>
      <c r="BF3" s="3120"/>
      <c r="BG3" s="3120"/>
      <c r="BH3" s="3120"/>
      <c r="BI3" s="3120"/>
      <c r="BJ3" s="3120"/>
      <c r="BK3" s="3120"/>
      <c r="BL3" s="3120"/>
      <c r="BM3" s="3120"/>
      <c r="BN3" s="3121"/>
      <c r="BO3" s="2023" t="s">
        <v>5</v>
      </c>
      <c r="BP3" s="2026" t="s">
        <v>6</v>
      </c>
      <c r="BQ3" s="2025"/>
      <c r="BR3" s="2025"/>
      <c r="BS3" s="2025"/>
      <c r="BT3" s="2025"/>
      <c r="BU3" s="2025"/>
      <c r="BV3" s="2025"/>
      <c r="BW3" s="2025"/>
      <c r="BX3" s="2025"/>
      <c r="BY3" s="2025"/>
      <c r="BZ3" s="2025"/>
      <c r="CA3" s="2025"/>
      <c r="CB3" s="2025"/>
      <c r="CC3" s="2025"/>
      <c r="CD3" s="2025"/>
      <c r="CE3" s="2025"/>
      <c r="CF3" s="2025"/>
      <c r="CG3" s="2025"/>
    </row>
    <row r="4" spans="1:85" ht="14.25" customHeight="1" x14ac:dyDescent="0.2">
      <c r="A4" s="3122"/>
      <c r="B4" s="3122"/>
      <c r="C4" s="3122"/>
      <c r="D4" s="3122"/>
      <c r="E4" s="3122"/>
      <c r="F4" s="3122"/>
      <c r="G4" s="3122"/>
      <c r="H4" s="3122"/>
      <c r="I4" s="3122"/>
      <c r="J4" s="3122"/>
      <c r="K4" s="3122"/>
      <c r="L4" s="3122"/>
      <c r="M4" s="3122"/>
      <c r="N4" s="3122"/>
      <c r="O4" s="3122"/>
      <c r="P4" s="3122"/>
      <c r="Q4" s="3122"/>
      <c r="R4" s="3122"/>
      <c r="S4" s="3122"/>
      <c r="T4" s="3122"/>
      <c r="U4" s="3122"/>
      <c r="V4" s="3122"/>
      <c r="W4" s="3122"/>
      <c r="X4" s="3122"/>
      <c r="Y4" s="3122"/>
      <c r="Z4" s="3122"/>
      <c r="AA4" s="3122"/>
      <c r="AB4" s="3122"/>
      <c r="AC4" s="3122"/>
      <c r="AD4" s="3122"/>
      <c r="AE4" s="3122"/>
      <c r="AF4" s="3122"/>
      <c r="AG4" s="3122"/>
      <c r="AH4" s="3122"/>
      <c r="AI4" s="3122"/>
      <c r="AJ4" s="3122"/>
      <c r="AK4" s="3122"/>
      <c r="AL4" s="3122"/>
      <c r="AM4" s="3122"/>
      <c r="AN4" s="3122"/>
      <c r="AO4" s="3122"/>
      <c r="AP4" s="3122"/>
      <c r="AQ4" s="3122"/>
      <c r="AR4" s="3122"/>
      <c r="AS4" s="3122"/>
      <c r="AT4" s="3122"/>
      <c r="AU4" s="3122"/>
      <c r="AV4" s="3122"/>
      <c r="AW4" s="3122"/>
      <c r="AX4" s="3122"/>
      <c r="AY4" s="3122"/>
      <c r="AZ4" s="3122"/>
      <c r="BA4" s="3122"/>
      <c r="BB4" s="3122"/>
      <c r="BC4" s="3122"/>
      <c r="BD4" s="3122"/>
      <c r="BE4" s="3122"/>
      <c r="BF4" s="3122"/>
      <c r="BG4" s="3122"/>
      <c r="BH4" s="3122"/>
      <c r="BI4" s="3122"/>
      <c r="BJ4" s="3122"/>
      <c r="BK4" s="3122"/>
      <c r="BL4" s="3122"/>
      <c r="BM4" s="3122"/>
      <c r="BN4" s="3123"/>
      <c r="BO4" s="2023" t="s">
        <v>7</v>
      </c>
      <c r="BP4" s="2027" t="s">
        <v>8</v>
      </c>
      <c r="BQ4" s="2025"/>
      <c r="BR4" s="2025"/>
      <c r="BS4" s="2025"/>
      <c r="BT4" s="2025"/>
      <c r="BU4" s="2025"/>
      <c r="BV4" s="2025"/>
      <c r="BW4" s="2025"/>
      <c r="BX4" s="2025"/>
      <c r="BY4" s="2025"/>
      <c r="BZ4" s="2025"/>
      <c r="CA4" s="2025"/>
      <c r="CB4" s="2025"/>
      <c r="CC4" s="2025"/>
      <c r="CD4" s="2025"/>
      <c r="CE4" s="2025"/>
      <c r="CF4" s="2025"/>
      <c r="CG4" s="2025"/>
    </row>
    <row r="5" spans="1:85" s="366" customFormat="1" ht="24" customHeight="1" x14ac:dyDescent="0.2">
      <c r="A5" s="2528" t="s">
        <v>9</v>
      </c>
      <c r="B5" s="2528"/>
      <c r="C5" s="2528"/>
      <c r="D5" s="2528"/>
      <c r="E5" s="2528"/>
      <c r="F5" s="2528"/>
      <c r="G5" s="2528"/>
      <c r="H5" s="2528"/>
      <c r="I5" s="2528"/>
      <c r="J5" s="2528"/>
      <c r="K5" s="2528"/>
      <c r="L5" s="1879"/>
      <c r="M5" s="3124" t="s">
        <v>10</v>
      </c>
      <c r="N5" s="3124"/>
      <c r="O5" s="3124"/>
      <c r="P5" s="3124"/>
      <c r="Q5" s="3124"/>
      <c r="R5" s="3124"/>
      <c r="S5" s="3124"/>
      <c r="T5" s="3124"/>
      <c r="U5" s="3124"/>
      <c r="V5" s="3124"/>
      <c r="W5" s="3124"/>
      <c r="X5" s="3124"/>
      <c r="Y5" s="3124"/>
      <c r="Z5" s="3124"/>
      <c r="AA5" s="3124"/>
      <c r="AB5" s="3124"/>
      <c r="AC5" s="3124"/>
      <c r="AD5" s="3124"/>
      <c r="AE5" s="3124"/>
      <c r="AF5" s="3124"/>
      <c r="AG5" s="3124"/>
      <c r="AH5" s="3124"/>
      <c r="AI5" s="3124"/>
      <c r="AJ5" s="3124"/>
      <c r="AK5" s="3124"/>
      <c r="AL5" s="3124"/>
      <c r="AM5" s="3124"/>
      <c r="AN5" s="3124"/>
      <c r="AO5" s="3124"/>
      <c r="AP5" s="3124"/>
      <c r="AQ5" s="3124"/>
      <c r="AR5" s="3124"/>
      <c r="AS5" s="3124"/>
      <c r="AT5" s="3124"/>
      <c r="AU5" s="3124"/>
      <c r="AV5" s="3124"/>
      <c r="AW5" s="3124"/>
      <c r="AX5" s="3124"/>
      <c r="AY5" s="3124"/>
      <c r="AZ5" s="3124"/>
      <c r="BA5" s="3124"/>
      <c r="BB5" s="3124"/>
      <c r="BC5" s="3124"/>
      <c r="BD5" s="3124"/>
      <c r="BE5" s="3124"/>
      <c r="BF5" s="3124"/>
      <c r="BG5" s="3124"/>
      <c r="BH5" s="3124"/>
      <c r="BI5" s="3124"/>
      <c r="BJ5" s="3124"/>
      <c r="BK5" s="3124"/>
      <c r="BL5" s="3124"/>
      <c r="BM5" s="3124"/>
      <c r="BN5" s="3124"/>
      <c r="BO5" s="3124"/>
      <c r="BP5" s="3124"/>
      <c r="BQ5" s="1555"/>
      <c r="BR5" s="1555"/>
      <c r="BS5" s="1555"/>
      <c r="BT5" s="1555"/>
      <c r="BU5" s="1555"/>
      <c r="BV5" s="1555"/>
      <c r="BW5" s="1555"/>
      <c r="BX5" s="1555"/>
      <c r="BY5" s="1555"/>
      <c r="BZ5" s="1555"/>
      <c r="CA5" s="1555"/>
      <c r="CB5" s="1555"/>
      <c r="CC5" s="1555"/>
      <c r="CD5" s="1555"/>
      <c r="CE5" s="1555"/>
      <c r="CF5" s="1555"/>
      <c r="CG5" s="1555"/>
    </row>
    <row r="6" spans="1:85" s="366" customFormat="1" ht="24.75" customHeight="1" thickBot="1" x14ac:dyDescent="0.25">
      <c r="A6" s="2530"/>
      <c r="B6" s="2530"/>
      <c r="C6" s="2530"/>
      <c r="D6" s="2530"/>
      <c r="E6" s="2530"/>
      <c r="F6" s="2530"/>
      <c r="G6" s="2530"/>
      <c r="H6" s="2530"/>
      <c r="I6" s="2530"/>
      <c r="J6" s="2530"/>
      <c r="K6" s="2530"/>
      <c r="L6" s="1880"/>
      <c r="M6" s="1895"/>
      <c r="N6" s="2028"/>
      <c r="O6" s="1030"/>
      <c r="P6" s="1880"/>
      <c r="Q6" s="1880"/>
      <c r="R6" s="1030"/>
      <c r="S6" s="1030"/>
      <c r="T6" s="2029"/>
      <c r="U6" s="1896"/>
      <c r="V6" s="2030"/>
      <c r="W6" s="2030"/>
      <c r="X6" s="1896"/>
      <c r="Y6" s="1030"/>
      <c r="Z6" s="3125" t="s">
        <v>11</v>
      </c>
      <c r="AA6" s="2530"/>
      <c r="AB6" s="2530"/>
      <c r="AC6" s="2530"/>
      <c r="AD6" s="2530"/>
      <c r="AE6" s="2530"/>
      <c r="AF6" s="2530"/>
      <c r="AG6" s="2530"/>
      <c r="AH6" s="2530"/>
      <c r="AI6" s="2530"/>
      <c r="AJ6" s="2530"/>
      <c r="AK6" s="2530"/>
      <c r="AL6" s="2530"/>
      <c r="AM6" s="2530"/>
      <c r="AN6" s="2530"/>
      <c r="AO6" s="2530"/>
      <c r="AP6" s="2530"/>
      <c r="AQ6" s="2530"/>
      <c r="AR6" s="2530"/>
      <c r="AS6" s="2530"/>
      <c r="AT6" s="2530"/>
      <c r="AU6" s="2530"/>
      <c r="AV6" s="2530"/>
      <c r="AW6" s="2530"/>
      <c r="AX6" s="2530"/>
      <c r="AY6" s="2530"/>
      <c r="AZ6" s="2530"/>
      <c r="BA6" s="2530"/>
      <c r="BB6" s="3041"/>
      <c r="BC6" s="1880"/>
      <c r="BD6" s="1880"/>
      <c r="BE6" s="1880"/>
      <c r="BF6" s="1880"/>
      <c r="BG6" s="1880"/>
      <c r="BH6" s="1880"/>
      <c r="BI6" s="1880"/>
      <c r="BJ6" s="1880"/>
      <c r="BK6" s="1880"/>
      <c r="BL6" s="1880"/>
      <c r="BM6" s="1880"/>
      <c r="BN6" s="1880"/>
      <c r="BO6" s="1880"/>
      <c r="BP6" s="2031"/>
      <c r="BQ6" s="1555"/>
      <c r="BR6" s="1555"/>
      <c r="BS6" s="1555"/>
      <c r="BT6" s="1555"/>
      <c r="BU6" s="1555"/>
      <c r="BV6" s="1555"/>
      <c r="BW6" s="1555"/>
      <c r="BX6" s="1555"/>
      <c r="BY6" s="1555"/>
      <c r="BZ6" s="1555"/>
      <c r="CA6" s="1555"/>
      <c r="CB6" s="1555"/>
      <c r="CC6" s="1555"/>
      <c r="CD6" s="1555"/>
      <c r="CE6" s="1555"/>
      <c r="CF6" s="1555"/>
      <c r="CG6" s="1555"/>
    </row>
    <row r="7" spans="1:85" s="366" customFormat="1" ht="40.5" customHeight="1" x14ac:dyDescent="0.2">
      <c r="A7" s="3126" t="s">
        <v>12</v>
      </c>
      <c r="B7" s="3119" t="s">
        <v>13</v>
      </c>
      <c r="C7" s="3119"/>
      <c r="D7" s="3119" t="s">
        <v>12</v>
      </c>
      <c r="E7" s="3119" t="s">
        <v>14</v>
      </c>
      <c r="F7" s="3119"/>
      <c r="G7" s="3119" t="s">
        <v>12</v>
      </c>
      <c r="H7" s="3119" t="s">
        <v>313</v>
      </c>
      <c r="I7" s="3119" t="s">
        <v>15</v>
      </c>
      <c r="J7" s="3119" t="s">
        <v>16</v>
      </c>
      <c r="K7" s="3159" t="s">
        <v>17</v>
      </c>
      <c r="L7" s="3160"/>
      <c r="M7" s="3119" t="s">
        <v>18</v>
      </c>
      <c r="N7" s="3119" t="s">
        <v>19</v>
      </c>
      <c r="O7" s="3119" t="s">
        <v>10</v>
      </c>
      <c r="P7" s="3158" t="s">
        <v>20</v>
      </c>
      <c r="Q7" s="3135" t="s">
        <v>21</v>
      </c>
      <c r="R7" s="3119" t="s">
        <v>22</v>
      </c>
      <c r="S7" s="3119" t="s">
        <v>23</v>
      </c>
      <c r="T7" s="3119" t="s">
        <v>24</v>
      </c>
      <c r="U7" s="3147" t="s">
        <v>21</v>
      </c>
      <c r="V7" s="3147"/>
      <c r="W7" s="3148"/>
      <c r="X7" s="3143" t="s">
        <v>12</v>
      </c>
      <c r="Y7" s="3144" t="s">
        <v>25</v>
      </c>
      <c r="Z7" s="2551" t="s">
        <v>26</v>
      </c>
      <c r="AA7" s="2552"/>
      <c r="AB7" s="2552"/>
      <c r="AC7" s="2553"/>
      <c r="AD7" s="2554" t="s">
        <v>27</v>
      </c>
      <c r="AE7" s="2555"/>
      <c r="AF7" s="2555"/>
      <c r="AG7" s="2555"/>
      <c r="AH7" s="2555"/>
      <c r="AI7" s="2555"/>
      <c r="AJ7" s="2555"/>
      <c r="AK7" s="2556"/>
      <c r="AL7" s="2677" t="s">
        <v>28</v>
      </c>
      <c r="AM7" s="2678"/>
      <c r="AN7" s="2678"/>
      <c r="AO7" s="2678"/>
      <c r="AP7" s="2678"/>
      <c r="AQ7" s="2678"/>
      <c r="AR7" s="2678"/>
      <c r="AS7" s="2678"/>
      <c r="AT7" s="2678"/>
      <c r="AU7" s="2678"/>
      <c r="AV7" s="2678"/>
      <c r="AW7" s="2679"/>
      <c r="AX7" s="2554" t="s">
        <v>29</v>
      </c>
      <c r="AY7" s="2555"/>
      <c r="AZ7" s="2555"/>
      <c r="BA7" s="2555"/>
      <c r="BB7" s="2555"/>
      <c r="BC7" s="2556"/>
      <c r="BD7" s="2554" t="s">
        <v>30</v>
      </c>
      <c r="BE7" s="2556"/>
      <c r="BF7" s="2577" t="s">
        <v>31</v>
      </c>
      <c r="BG7" s="2578"/>
      <c r="BH7" s="2578"/>
      <c r="BI7" s="2578"/>
      <c r="BJ7" s="2578"/>
      <c r="BK7" s="2579"/>
      <c r="BL7" s="3129" t="s">
        <v>32</v>
      </c>
      <c r="BM7" s="3130"/>
      <c r="BN7" s="3129" t="s">
        <v>33</v>
      </c>
      <c r="BO7" s="3130"/>
      <c r="BP7" s="3133" t="s">
        <v>34</v>
      </c>
      <c r="BQ7" s="1555"/>
      <c r="BR7" s="1555"/>
      <c r="BS7" s="1555"/>
      <c r="BT7" s="1555"/>
      <c r="BU7" s="1555"/>
      <c r="BV7" s="1555"/>
      <c r="BW7" s="1555"/>
      <c r="BX7" s="1555"/>
      <c r="BY7" s="1555"/>
      <c r="BZ7" s="1555"/>
      <c r="CA7" s="1555"/>
      <c r="CB7" s="1555"/>
      <c r="CC7" s="1555"/>
      <c r="CD7" s="1555"/>
      <c r="CE7" s="1555"/>
      <c r="CF7" s="1555"/>
      <c r="CG7" s="1555"/>
    </row>
    <row r="8" spans="1:85" s="366" customFormat="1" ht="121.5" customHeight="1" x14ac:dyDescent="0.2">
      <c r="A8" s="3127"/>
      <c r="B8" s="3119"/>
      <c r="C8" s="3119"/>
      <c r="D8" s="3119"/>
      <c r="E8" s="3119"/>
      <c r="F8" s="3119"/>
      <c r="G8" s="3119"/>
      <c r="H8" s="3119"/>
      <c r="I8" s="3119"/>
      <c r="J8" s="3119"/>
      <c r="K8" s="3161"/>
      <c r="L8" s="3162"/>
      <c r="M8" s="3119"/>
      <c r="N8" s="3119"/>
      <c r="O8" s="3119"/>
      <c r="P8" s="3158"/>
      <c r="Q8" s="3135"/>
      <c r="R8" s="3119"/>
      <c r="S8" s="3119"/>
      <c r="T8" s="3119"/>
      <c r="U8" s="3135" t="s">
        <v>229</v>
      </c>
      <c r="V8" s="3136" t="s">
        <v>230</v>
      </c>
      <c r="W8" s="3137" t="s">
        <v>316</v>
      </c>
      <c r="X8" s="3143"/>
      <c r="Y8" s="3145"/>
      <c r="Z8" s="3139" t="s">
        <v>38</v>
      </c>
      <c r="AA8" s="3140"/>
      <c r="AB8" s="3141" t="s">
        <v>39</v>
      </c>
      <c r="AC8" s="3142"/>
      <c r="AD8" s="3139" t="s">
        <v>40</v>
      </c>
      <c r="AE8" s="3140"/>
      <c r="AF8" s="3139" t="s">
        <v>41</v>
      </c>
      <c r="AG8" s="3140"/>
      <c r="AH8" s="3139" t="s">
        <v>232</v>
      </c>
      <c r="AI8" s="3140"/>
      <c r="AJ8" s="3139" t="s">
        <v>43</v>
      </c>
      <c r="AK8" s="3140"/>
      <c r="AL8" s="3139" t="s">
        <v>44</v>
      </c>
      <c r="AM8" s="3140"/>
      <c r="AN8" s="3139" t="s">
        <v>45</v>
      </c>
      <c r="AO8" s="3140"/>
      <c r="AP8" s="3139" t="s">
        <v>46</v>
      </c>
      <c r="AQ8" s="3140"/>
      <c r="AR8" s="3139" t="s">
        <v>47</v>
      </c>
      <c r="AS8" s="3140"/>
      <c r="AT8" s="3139" t="s">
        <v>48</v>
      </c>
      <c r="AU8" s="3140"/>
      <c r="AV8" s="3139" t="s">
        <v>49</v>
      </c>
      <c r="AW8" s="3140"/>
      <c r="AX8" s="3139" t="s">
        <v>50</v>
      </c>
      <c r="AY8" s="3140"/>
      <c r="AZ8" s="3139" t="s">
        <v>51</v>
      </c>
      <c r="BA8" s="3140"/>
      <c r="BB8" s="3139" t="s">
        <v>52</v>
      </c>
      <c r="BC8" s="3140"/>
      <c r="BD8" s="3139" t="s">
        <v>30</v>
      </c>
      <c r="BE8" s="3140"/>
      <c r="BF8" s="2568" t="s">
        <v>53</v>
      </c>
      <c r="BG8" s="2567" t="s">
        <v>54</v>
      </c>
      <c r="BH8" s="2568" t="s">
        <v>55</v>
      </c>
      <c r="BI8" s="2569" t="s">
        <v>56</v>
      </c>
      <c r="BJ8" s="2568" t="s">
        <v>57</v>
      </c>
      <c r="BK8" s="2570" t="s">
        <v>58</v>
      </c>
      <c r="BL8" s="3131"/>
      <c r="BM8" s="3132"/>
      <c r="BN8" s="3131"/>
      <c r="BO8" s="3132"/>
      <c r="BP8" s="3134"/>
      <c r="BQ8" s="1555"/>
      <c r="BR8" s="1555"/>
      <c r="BS8" s="1555"/>
      <c r="BT8" s="1555"/>
      <c r="BU8" s="1555"/>
      <c r="BV8" s="1555"/>
      <c r="BW8" s="1555"/>
      <c r="BX8" s="1555"/>
      <c r="BY8" s="1555"/>
      <c r="BZ8" s="1555"/>
      <c r="CA8" s="1555"/>
      <c r="CB8" s="1555"/>
      <c r="CC8" s="1555"/>
      <c r="CD8" s="1555"/>
      <c r="CE8" s="1555"/>
      <c r="CF8" s="1555"/>
      <c r="CG8" s="1555"/>
    </row>
    <row r="9" spans="1:85" s="366" customFormat="1" ht="39" customHeight="1" x14ac:dyDescent="0.2">
      <c r="A9" s="3128"/>
      <c r="B9" s="3119"/>
      <c r="C9" s="3119"/>
      <c r="D9" s="3119"/>
      <c r="E9" s="3119"/>
      <c r="F9" s="3119"/>
      <c r="G9" s="3119"/>
      <c r="H9" s="3119"/>
      <c r="I9" s="3119"/>
      <c r="J9" s="3119"/>
      <c r="K9" s="1878" t="s">
        <v>59</v>
      </c>
      <c r="L9" s="1878" t="s">
        <v>60</v>
      </c>
      <c r="M9" s="3119"/>
      <c r="N9" s="3119"/>
      <c r="O9" s="3119"/>
      <c r="P9" s="3158"/>
      <c r="Q9" s="3135"/>
      <c r="R9" s="3119"/>
      <c r="S9" s="3119"/>
      <c r="T9" s="3119"/>
      <c r="U9" s="3135"/>
      <c r="V9" s="3136"/>
      <c r="W9" s="3138"/>
      <c r="X9" s="3143"/>
      <c r="Y9" s="3146"/>
      <c r="Z9" s="2032" t="s">
        <v>59</v>
      </c>
      <c r="AA9" s="2032" t="s">
        <v>60</v>
      </c>
      <c r="AB9" s="2033" t="s">
        <v>59</v>
      </c>
      <c r="AC9" s="2033" t="s">
        <v>60</v>
      </c>
      <c r="AD9" s="2032" t="s">
        <v>59</v>
      </c>
      <c r="AE9" s="2032" t="s">
        <v>60</v>
      </c>
      <c r="AF9" s="2032" t="s">
        <v>59</v>
      </c>
      <c r="AG9" s="2032" t="s">
        <v>60</v>
      </c>
      <c r="AH9" s="2032" t="s">
        <v>59</v>
      </c>
      <c r="AI9" s="2032" t="s">
        <v>60</v>
      </c>
      <c r="AJ9" s="2032" t="s">
        <v>59</v>
      </c>
      <c r="AK9" s="2032" t="s">
        <v>60</v>
      </c>
      <c r="AL9" s="2032" t="s">
        <v>59</v>
      </c>
      <c r="AM9" s="2032" t="s">
        <v>60</v>
      </c>
      <c r="AN9" s="2032" t="s">
        <v>59</v>
      </c>
      <c r="AO9" s="2032" t="s">
        <v>60</v>
      </c>
      <c r="AP9" s="2032" t="s">
        <v>59</v>
      </c>
      <c r="AQ9" s="2032" t="s">
        <v>60</v>
      </c>
      <c r="AR9" s="2032" t="s">
        <v>59</v>
      </c>
      <c r="AS9" s="2032" t="s">
        <v>60</v>
      </c>
      <c r="AT9" s="2032" t="s">
        <v>59</v>
      </c>
      <c r="AU9" s="2032" t="s">
        <v>60</v>
      </c>
      <c r="AV9" s="2032" t="s">
        <v>59</v>
      </c>
      <c r="AW9" s="2032" t="s">
        <v>60</v>
      </c>
      <c r="AX9" s="2032" t="s">
        <v>59</v>
      </c>
      <c r="AY9" s="2032" t="s">
        <v>60</v>
      </c>
      <c r="AZ9" s="2032" t="s">
        <v>59</v>
      </c>
      <c r="BA9" s="2032" t="s">
        <v>60</v>
      </c>
      <c r="BB9" s="2032" t="s">
        <v>59</v>
      </c>
      <c r="BC9" s="2032" t="s">
        <v>60</v>
      </c>
      <c r="BD9" s="2032" t="s">
        <v>59</v>
      </c>
      <c r="BE9" s="2032" t="s">
        <v>60</v>
      </c>
      <c r="BF9" s="2568"/>
      <c r="BG9" s="2567"/>
      <c r="BH9" s="2568"/>
      <c r="BI9" s="2569"/>
      <c r="BJ9" s="2568"/>
      <c r="BK9" s="2571"/>
      <c r="BL9" s="2034" t="s">
        <v>59</v>
      </c>
      <c r="BM9" s="2034" t="s">
        <v>60</v>
      </c>
      <c r="BN9" s="2034" t="s">
        <v>59</v>
      </c>
      <c r="BO9" s="2034" t="s">
        <v>60</v>
      </c>
      <c r="BP9" s="2035"/>
      <c r="BQ9" s="1555"/>
      <c r="BR9" s="1555"/>
      <c r="BS9" s="1555"/>
      <c r="BT9" s="1555"/>
      <c r="BU9" s="1555"/>
      <c r="BV9" s="1555"/>
      <c r="BW9" s="1555"/>
      <c r="BX9" s="1555"/>
      <c r="BY9" s="1555"/>
      <c r="BZ9" s="1555"/>
      <c r="CA9" s="1555"/>
      <c r="CB9" s="1555"/>
      <c r="CC9" s="1555"/>
      <c r="CD9" s="1555"/>
      <c r="CE9" s="1555"/>
      <c r="CF9" s="1555"/>
      <c r="CG9" s="1555"/>
    </row>
    <row r="10" spans="1:85" s="366" customFormat="1" ht="25.5" customHeight="1" x14ac:dyDescent="0.2">
      <c r="A10" s="203">
        <v>1</v>
      </c>
      <c r="B10" s="2036" t="s">
        <v>1575</v>
      </c>
      <c r="C10" s="2036"/>
      <c r="D10" s="207"/>
      <c r="E10" s="207"/>
      <c r="F10" s="207"/>
      <c r="G10" s="316"/>
      <c r="H10" s="316"/>
      <c r="I10" s="206"/>
      <c r="J10" s="206"/>
      <c r="K10" s="207"/>
      <c r="L10" s="207"/>
      <c r="M10" s="1797"/>
      <c r="N10" s="316"/>
      <c r="O10" s="206"/>
      <c r="P10" s="2037"/>
      <c r="Q10" s="2038"/>
      <c r="R10" s="206"/>
      <c r="S10" s="206"/>
      <c r="T10" s="2039"/>
      <c r="U10" s="2040"/>
      <c r="V10" s="2041"/>
      <c r="W10" s="2041"/>
      <c r="X10" s="1242"/>
      <c r="Y10" s="20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2042"/>
      <c r="BM10" s="2042"/>
      <c r="BN10" s="2042"/>
      <c r="BO10" s="2042"/>
      <c r="BP10" s="2043"/>
      <c r="BQ10" s="1555"/>
      <c r="BR10" s="1555"/>
      <c r="BS10" s="1555"/>
      <c r="BT10" s="1555"/>
      <c r="BU10" s="1555"/>
      <c r="BV10" s="1555"/>
      <c r="BW10" s="1555"/>
      <c r="BX10" s="1555"/>
      <c r="BY10" s="1555"/>
      <c r="BZ10" s="1555"/>
      <c r="CA10" s="1555"/>
      <c r="CB10" s="1555"/>
      <c r="CC10" s="1555"/>
      <c r="CD10" s="1555"/>
      <c r="CE10" s="1555"/>
      <c r="CF10" s="1555"/>
      <c r="CG10" s="1555"/>
    </row>
    <row r="11" spans="1:85" s="1555" customFormat="1" ht="27.75" customHeight="1" x14ac:dyDescent="0.2">
      <c r="A11" s="2044"/>
      <c r="B11" s="1912"/>
      <c r="C11" s="2045"/>
      <c r="D11" s="2046">
        <v>1</v>
      </c>
      <c r="E11" s="1075" t="s">
        <v>1382</v>
      </c>
      <c r="F11" s="789"/>
      <c r="G11" s="1891"/>
      <c r="H11" s="1891"/>
      <c r="I11" s="789"/>
      <c r="J11" s="789"/>
      <c r="K11" s="233"/>
      <c r="L11" s="233"/>
      <c r="M11" s="2047"/>
      <c r="N11" s="1891"/>
      <c r="O11" s="789"/>
      <c r="P11" s="2048"/>
      <c r="Q11" s="2049"/>
      <c r="R11" s="789"/>
      <c r="S11" s="789"/>
      <c r="T11" s="1134"/>
      <c r="U11" s="2050"/>
      <c r="V11" s="2051"/>
      <c r="W11" s="2051"/>
      <c r="X11" s="2052"/>
      <c r="Y11" s="789"/>
      <c r="Z11" s="1891"/>
      <c r="AA11" s="1891"/>
      <c r="AB11" s="1891"/>
      <c r="AC11" s="1891"/>
      <c r="AD11" s="1891"/>
      <c r="AE11" s="1891"/>
      <c r="AF11" s="1891"/>
      <c r="AG11" s="1891"/>
      <c r="AH11" s="1891"/>
      <c r="AI11" s="1891"/>
      <c r="AJ11" s="1891"/>
      <c r="AK11" s="1891"/>
      <c r="AL11" s="1891"/>
      <c r="AM11" s="1891"/>
      <c r="AN11" s="1891"/>
      <c r="AO11" s="1891"/>
      <c r="AP11" s="1891"/>
      <c r="AQ11" s="1891"/>
      <c r="AR11" s="1891"/>
      <c r="AS11" s="1891"/>
      <c r="AT11" s="1891"/>
      <c r="AU11" s="1891"/>
      <c r="AV11" s="1891"/>
      <c r="AW11" s="1891"/>
      <c r="AX11" s="1891"/>
      <c r="AY11" s="1891"/>
      <c r="AZ11" s="1891"/>
      <c r="BA11" s="1891"/>
      <c r="BB11" s="1891"/>
      <c r="BC11" s="1891"/>
      <c r="BD11" s="1891"/>
      <c r="BE11" s="1891"/>
      <c r="BF11" s="1891"/>
      <c r="BG11" s="1891"/>
      <c r="BH11" s="1891"/>
      <c r="BI11" s="1891"/>
      <c r="BJ11" s="1891"/>
      <c r="BK11" s="1891"/>
      <c r="BL11" s="2053"/>
      <c r="BM11" s="2053"/>
      <c r="BN11" s="2053"/>
      <c r="BO11" s="2053"/>
      <c r="BP11" s="2054"/>
    </row>
    <row r="12" spans="1:85" s="1555" customFormat="1" ht="67.5" customHeight="1" x14ac:dyDescent="0.2">
      <c r="A12" s="2055"/>
      <c r="B12" s="2056"/>
      <c r="C12" s="1898"/>
      <c r="D12" s="3149"/>
      <c r="E12" s="3152"/>
      <c r="F12" s="3155"/>
      <c r="G12" s="2626">
        <v>1202004</v>
      </c>
      <c r="H12" s="2626" t="s">
        <v>1576</v>
      </c>
      <c r="I12" s="2698" t="s">
        <v>1577</v>
      </c>
      <c r="J12" s="2698" t="s">
        <v>1035</v>
      </c>
      <c r="K12" s="2626">
        <v>12</v>
      </c>
      <c r="L12" s="3167">
        <v>8</v>
      </c>
      <c r="M12" s="2626" t="s">
        <v>1578</v>
      </c>
      <c r="N12" s="2626" t="s">
        <v>1579</v>
      </c>
      <c r="O12" s="2698" t="s">
        <v>1580</v>
      </c>
      <c r="P12" s="3163">
        <f>SUM(U12:U18)/Q12</f>
        <v>1</v>
      </c>
      <c r="Q12" s="3164">
        <f>SUM(U12:U18)</f>
        <v>112128400</v>
      </c>
      <c r="R12" s="2698" t="s">
        <v>1581</v>
      </c>
      <c r="S12" s="3165" t="s">
        <v>1582</v>
      </c>
      <c r="T12" s="3166" t="s">
        <v>1583</v>
      </c>
      <c r="U12" s="2420">
        <v>20128400</v>
      </c>
      <c r="V12" s="2421">
        <v>10393333</v>
      </c>
      <c r="W12" s="2421">
        <v>10393333</v>
      </c>
      <c r="X12" s="2057">
        <v>88</v>
      </c>
      <c r="Y12" s="2213" t="s">
        <v>411</v>
      </c>
      <c r="Z12" s="2890">
        <v>1018</v>
      </c>
      <c r="AA12" s="2860">
        <v>325</v>
      </c>
      <c r="AB12" s="2890">
        <v>982</v>
      </c>
      <c r="AC12" s="2860">
        <v>198</v>
      </c>
      <c r="AD12" s="2890">
        <v>466</v>
      </c>
      <c r="AE12" s="2860"/>
      <c r="AF12" s="2890">
        <v>152</v>
      </c>
      <c r="AG12" s="2860"/>
      <c r="AH12" s="2890">
        <v>1063</v>
      </c>
      <c r="AI12" s="2860">
        <v>523</v>
      </c>
      <c r="AJ12" s="2890">
        <v>319</v>
      </c>
      <c r="AK12" s="2860"/>
      <c r="AL12" s="2890">
        <v>0</v>
      </c>
      <c r="AM12" s="2860"/>
      <c r="AN12" s="2890">
        <v>0</v>
      </c>
      <c r="AO12" s="2860"/>
      <c r="AP12" s="2890">
        <v>0</v>
      </c>
      <c r="AQ12" s="2860"/>
      <c r="AR12" s="2890">
        <v>0</v>
      </c>
      <c r="AS12" s="2860"/>
      <c r="AT12" s="2890">
        <v>0</v>
      </c>
      <c r="AU12" s="2860"/>
      <c r="AV12" s="2890">
        <v>0</v>
      </c>
      <c r="AW12" s="2860"/>
      <c r="AX12" s="2890">
        <v>0</v>
      </c>
      <c r="AY12" s="2860"/>
      <c r="AZ12" s="2890">
        <v>0</v>
      </c>
      <c r="BA12" s="2860"/>
      <c r="BB12" s="2890">
        <v>0</v>
      </c>
      <c r="BC12" s="2860"/>
      <c r="BD12" s="2860">
        <f>Z12+AB12</f>
        <v>2000</v>
      </c>
      <c r="BE12" s="2890">
        <f>AA12+AC12</f>
        <v>523</v>
      </c>
      <c r="BF12" s="3177">
        <v>3</v>
      </c>
      <c r="BG12" s="3179">
        <f>SUM(V12:V18)</f>
        <v>41593333</v>
      </c>
      <c r="BH12" s="3179">
        <f>SUM(W12:W18)</f>
        <v>41593333</v>
      </c>
      <c r="BI12" s="3181">
        <f>BH12/BG12</f>
        <v>1</v>
      </c>
      <c r="BJ12" s="3183" t="s">
        <v>301</v>
      </c>
      <c r="BK12" s="3169" t="s">
        <v>1584</v>
      </c>
      <c r="BL12" s="3171">
        <v>44071</v>
      </c>
      <c r="BM12" s="3171">
        <v>44186</v>
      </c>
      <c r="BN12" s="3171">
        <v>44195</v>
      </c>
      <c r="BO12" s="3173">
        <v>44195</v>
      </c>
      <c r="BP12" s="3175" t="s">
        <v>1585</v>
      </c>
    </row>
    <row r="13" spans="1:85" s="1555" customFormat="1" ht="44.25" customHeight="1" x14ac:dyDescent="0.2">
      <c r="A13" s="2055"/>
      <c r="B13" s="2056"/>
      <c r="C13" s="1898"/>
      <c r="D13" s="3150"/>
      <c r="E13" s="3153"/>
      <c r="F13" s="3156"/>
      <c r="G13" s="2626"/>
      <c r="H13" s="2626"/>
      <c r="I13" s="2698"/>
      <c r="J13" s="2698"/>
      <c r="K13" s="2626"/>
      <c r="L13" s="3019"/>
      <c r="M13" s="2626"/>
      <c r="N13" s="2626"/>
      <c r="O13" s="2698"/>
      <c r="P13" s="3163"/>
      <c r="Q13" s="3164"/>
      <c r="R13" s="2698"/>
      <c r="S13" s="3165"/>
      <c r="T13" s="3166"/>
      <c r="U13" s="2420">
        <v>7800000</v>
      </c>
      <c r="V13" s="2421"/>
      <c r="W13" s="2421"/>
      <c r="X13" s="2057">
        <v>20</v>
      </c>
      <c r="Y13" s="2213" t="s">
        <v>85</v>
      </c>
      <c r="Z13" s="2890"/>
      <c r="AA13" s="2861"/>
      <c r="AB13" s="2890"/>
      <c r="AC13" s="2861"/>
      <c r="AD13" s="2890"/>
      <c r="AE13" s="2861"/>
      <c r="AF13" s="2890"/>
      <c r="AG13" s="2861"/>
      <c r="AH13" s="2890"/>
      <c r="AI13" s="2861"/>
      <c r="AJ13" s="2890"/>
      <c r="AK13" s="2861"/>
      <c r="AL13" s="2890"/>
      <c r="AM13" s="2861"/>
      <c r="AN13" s="2890"/>
      <c r="AO13" s="2861"/>
      <c r="AP13" s="2890"/>
      <c r="AQ13" s="2861"/>
      <c r="AR13" s="2890"/>
      <c r="AS13" s="2861"/>
      <c r="AT13" s="2890"/>
      <c r="AU13" s="2861"/>
      <c r="AV13" s="2890"/>
      <c r="AW13" s="2861"/>
      <c r="AX13" s="2890"/>
      <c r="AY13" s="2861"/>
      <c r="AZ13" s="2890"/>
      <c r="BA13" s="2861"/>
      <c r="BB13" s="2890"/>
      <c r="BC13" s="2861"/>
      <c r="BD13" s="2861"/>
      <c r="BE13" s="2890"/>
      <c r="BF13" s="3178"/>
      <c r="BG13" s="3180"/>
      <c r="BH13" s="3180"/>
      <c r="BI13" s="3182"/>
      <c r="BJ13" s="3176"/>
      <c r="BK13" s="3170"/>
      <c r="BL13" s="3172"/>
      <c r="BM13" s="3172"/>
      <c r="BN13" s="3172"/>
      <c r="BO13" s="3174"/>
      <c r="BP13" s="3176"/>
    </row>
    <row r="14" spans="1:85" s="1555" customFormat="1" ht="68.25" customHeight="1" x14ac:dyDescent="0.2">
      <c r="A14" s="2055"/>
      <c r="B14" s="2056"/>
      <c r="C14" s="1898"/>
      <c r="D14" s="3150"/>
      <c r="E14" s="3153"/>
      <c r="F14" s="3156"/>
      <c r="G14" s="2626"/>
      <c r="H14" s="2626"/>
      <c r="I14" s="2698"/>
      <c r="J14" s="2698"/>
      <c r="K14" s="2626"/>
      <c r="L14" s="3019"/>
      <c r="M14" s="2626"/>
      <c r="N14" s="2626"/>
      <c r="O14" s="2698"/>
      <c r="P14" s="3163"/>
      <c r="Q14" s="3164"/>
      <c r="R14" s="2698"/>
      <c r="S14" s="3165"/>
      <c r="T14" s="2058" t="s">
        <v>1586</v>
      </c>
      <c r="U14" s="2422">
        <v>15000000</v>
      </c>
      <c r="V14" s="2421"/>
      <c r="W14" s="2421"/>
      <c r="X14" s="2057">
        <v>20</v>
      </c>
      <c r="Y14" s="2213" t="s">
        <v>85</v>
      </c>
      <c r="Z14" s="2890"/>
      <c r="AA14" s="2861"/>
      <c r="AB14" s="2890"/>
      <c r="AC14" s="2861"/>
      <c r="AD14" s="2890"/>
      <c r="AE14" s="2861"/>
      <c r="AF14" s="2890"/>
      <c r="AG14" s="2861"/>
      <c r="AH14" s="2890"/>
      <c r="AI14" s="2861"/>
      <c r="AJ14" s="2890"/>
      <c r="AK14" s="2861"/>
      <c r="AL14" s="2890"/>
      <c r="AM14" s="2861"/>
      <c r="AN14" s="2890"/>
      <c r="AO14" s="2861"/>
      <c r="AP14" s="2890"/>
      <c r="AQ14" s="2861"/>
      <c r="AR14" s="2890"/>
      <c r="AS14" s="2861"/>
      <c r="AT14" s="2890"/>
      <c r="AU14" s="2861"/>
      <c r="AV14" s="2890"/>
      <c r="AW14" s="2861"/>
      <c r="AX14" s="2890"/>
      <c r="AY14" s="2861"/>
      <c r="AZ14" s="2890"/>
      <c r="BA14" s="2861"/>
      <c r="BB14" s="2890"/>
      <c r="BC14" s="2861"/>
      <c r="BD14" s="2861"/>
      <c r="BE14" s="2890"/>
      <c r="BF14" s="3178"/>
      <c r="BG14" s="3180"/>
      <c r="BH14" s="3180"/>
      <c r="BI14" s="3182"/>
      <c r="BJ14" s="3176"/>
      <c r="BK14" s="3170"/>
      <c r="BL14" s="3172"/>
      <c r="BM14" s="3172"/>
      <c r="BN14" s="3172"/>
      <c r="BO14" s="3174"/>
      <c r="BP14" s="3176"/>
    </row>
    <row r="15" spans="1:85" s="1555" customFormat="1" ht="56.25" customHeight="1" x14ac:dyDescent="0.2">
      <c r="A15" s="2055"/>
      <c r="B15" s="2056"/>
      <c r="C15" s="1898"/>
      <c r="D15" s="3150"/>
      <c r="E15" s="3153"/>
      <c r="F15" s="3156"/>
      <c r="G15" s="2626"/>
      <c r="H15" s="2626"/>
      <c r="I15" s="2698"/>
      <c r="J15" s="2698"/>
      <c r="K15" s="2626"/>
      <c r="L15" s="3019"/>
      <c r="M15" s="2626"/>
      <c r="N15" s="2626"/>
      <c r="O15" s="2698"/>
      <c r="P15" s="3163"/>
      <c r="Q15" s="3164"/>
      <c r="R15" s="2698"/>
      <c r="S15" s="3165"/>
      <c r="T15" s="2059" t="s">
        <v>1587</v>
      </c>
      <c r="U15" s="2422">
        <v>15000000</v>
      </c>
      <c r="V15" s="2421"/>
      <c r="W15" s="2421"/>
      <c r="X15" s="2057">
        <v>20</v>
      </c>
      <c r="Y15" s="2213" t="s">
        <v>85</v>
      </c>
      <c r="Z15" s="2890"/>
      <c r="AA15" s="2861"/>
      <c r="AB15" s="2890"/>
      <c r="AC15" s="2861"/>
      <c r="AD15" s="2890"/>
      <c r="AE15" s="2861"/>
      <c r="AF15" s="2890"/>
      <c r="AG15" s="2861"/>
      <c r="AH15" s="2890"/>
      <c r="AI15" s="2861"/>
      <c r="AJ15" s="2890"/>
      <c r="AK15" s="2861"/>
      <c r="AL15" s="2890"/>
      <c r="AM15" s="2861"/>
      <c r="AN15" s="2890"/>
      <c r="AO15" s="2861"/>
      <c r="AP15" s="2890"/>
      <c r="AQ15" s="2861"/>
      <c r="AR15" s="2890"/>
      <c r="AS15" s="2861"/>
      <c r="AT15" s="2890"/>
      <c r="AU15" s="2861"/>
      <c r="AV15" s="2890"/>
      <c r="AW15" s="2861"/>
      <c r="AX15" s="2890"/>
      <c r="AY15" s="2861"/>
      <c r="AZ15" s="2890"/>
      <c r="BA15" s="2861"/>
      <c r="BB15" s="2890"/>
      <c r="BC15" s="2861"/>
      <c r="BD15" s="2861"/>
      <c r="BE15" s="2890"/>
      <c r="BF15" s="3178"/>
      <c r="BG15" s="3180"/>
      <c r="BH15" s="3180"/>
      <c r="BI15" s="3182"/>
      <c r="BJ15" s="3176"/>
      <c r="BK15" s="3170"/>
      <c r="BL15" s="3172"/>
      <c r="BM15" s="3172"/>
      <c r="BN15" s="3172"/>
      <c r="BO15" s="3174"/>
      <c r="BP15" s="3176"/>
    </row>
    <row r="16" spans="1:85" s="1555" customFormat="1" ht="57.75" customHeight="1" x14ac:dyDescent="0.2">
      <c r="A16" s="2055"/>
      <c r="B16" s="2056"/>
      <c r="C16" s="1898"/>
      <c r="D16" s="3150"/>
      <c r="E16" s="3153"/>
      <c r="F16" s="3156"/>
      <c r="G16" s="2626"/>
      <c r="H16" s="2626"/>
      <c r="I16" s="2698"/>
      <c r="J16" s="2698"/>
      <c r="K16" s="2626"/>
      <c r="L16" s="3019"/>
      <c r="M16" s="2626"/>
      <c r="N16" s="2626"/>
      <c r="O16" s="2698"/>
      <c r="P16" s="3163"/>
      <c r="Q16" s="3164"/>
      <c r="R16" s="2698"/>
      <c r="S16" s="3165"/>
      <c r="T16" s="2059" t="s">
        <v>1588</v>
      </c>
      <c r="U16" s="2422">
        <v>23000000</v>
      </c>
      <c r="V16" s="2421"/>
      <c r="W16" s="2421"/>
      <c r="X16" s="2057">
        <v>20</v>
      </c>
      <c r="Y16" s="2213" t="s">
        <v>85</v>
      </c>
      <c r="Z16" s="2890"/>
      <c r="AA16" s="2861"/>
      <c r="AB16" s="2890"/>
      <c r="AC16" s="2861"/>
      <c r="AD16" s="2890"/>
      <c r="AE16" s="2861"/>
      <c r="AF16" s="2890"/>
      <c r="AG16" s="2861"/>
      <c r="AH16" s="2890"/>
      <c r="AI16" s="2861"/>
      <c r="AJ16" s="2890"/>
      <c r="AK16" s="2861"/>
      <c r="AL16" s="2890"/>
      <c r="AM16" s="2861"/>
      <c r="AN16" s="2890"/>
      <c r="AO16" s="2861"/>
      <c r="AP16" s="2890"/>
      <c r="AQ16" s="2861"/>
      <c r="AR16" s="2890"/>
      <c r="AS16" s="2861"/>
      <c r="AT16" s="2890"/>
      <c r="AU16" s="2861"/>
      <c r="AV16" s="2890"/>
      <c r="AW16" s="2861"/>
      <c r="AX16" s="2890"/>
      <c r="AY16" s="2861"/>
      <c r="AZ16" s="2890"/>
      <c r="BA16" s="2861"/>
      <c r="BB16" s="2890"/>
      <c r="BC16" s="2861"/>
      <c r="BD16" s="2861"/>
      <c r="BE16" s="2890"/>
      <c r="BF16" s="3178"/>
      <c r="BG16" s="3180"/>
      <c r="BH16" s="3180"/>
      <c r="BI16" s="3182"/>
      <c r="BJ16" s="3176"/>
      <c r="BK16" s="3170"/>
      <c r="BL16" s="3172"/>
      <c r="BM16" s="3172"/>
      <c r="BN16" s="3172"/>
      <c r="BO16" s="3174"/>
      <c r="BP16" s="3176"/>
    </row>
    <row r="17" spans="1:68" s="1555" customFormat="1" ht="66.75" customHeight="1" x14ac:dyDescent="0.2">
      <c r="A17" s="2055"/>
      <c r="B17" s="2056"/>
      <c r="C17" s="1898"/>
      <c r="D17" s="3150"/>
      <c r="E17" s="3153"/>
      <c r="F17" s="3156"/>
      <c r="G17" s="2626"/>
      <c r="H17" s="2626"/>
      <c r="I17" s="2698"/>
      <c r="J17" s="2698"/>
      <c r="K17" s="2626"/>
      <c r="L17" s="3019"/>
      <c r="M17" s="2626"/>
      <c r="N17" s="2626"/>
      <c r="O17" s="2698"/>
      <c r="P17" s="3163"/>
      <c r="Q17" s="3164"/>
      <c r="R17" s="2698"/>
      <c r="S17" s="3165"/>
      <c r="T17" s="2059" t="s">
        <v>1589</v>
      </c>
      <c r="U17" s="2422">
        <v>20000000</v>
      </c>
      <c r="V17" s="2421">
        <v>20000000</v>
      </c>
      <c r="W17" s="2421">
        <v>20000000</v>
      </c>
      <c r="X17" s="2060">
        <v>20</v>
      </c>
      <c r="Y17" s="2213" t="s">
        <v>85</v>
      </c>
      <c r="Z17" s="2890"/>
      <c r="AA17" s="2861"/>
      <c r="AB17" s="2890"/>
      <c r="AC17" s="2861"/>
      <c r="AD17" s="2890"/>
      <c r="AE17" s="2861"/>
      <c r="AF17" s="2890"/>
      <c r="AG17" s="2861"/>
      <c r="AH17" s="2890"/>
      <c r="AI17" s="2861"/>
      <c r="AJ17" s="2890"/>
      <c r="AK17" s="2861"/>
      <c r="AL17" s="2890"/>
      <c r="AM17" s="2861"/>
      <c r="AN17" s="2890"/>
      <c r="AO17" s="2861"/>
      <c r="AP17" s="2890"/>
      <c r="AQ17" s="2861"/>
      <c r="AR17" s="2890"/>
      <c r="AS17" s="2861"/>
      <c r="AT17" s="2890"/>
      <c r="AU17" s="2861"/>
      <c r="AV17" s="2890"/>
      <c r="AW17" s="2861"/>
      <c r="AX17" s="2890"/>
      <c r="AY17" s="2861"/>
      <c r="AZ17" s="2890"/>
      <c r="BA17" s="2861"/>
      <c r="BB17" s="2890"/>
      <c r="BC17" s="2861"/>
      <c r="BD17" s="2861"/>
      <c r="BE17" s="2890"/>
      <c r="BF17" s="3178"/>
      <c r="BG17" s="3180"/>
      <c r="BH17" s="3180"/>
      <c r="BI17" s="3182"/>
      <c r="BJ17" s="3176"/>
      <c r="BK17" s="3170"/>
      <c r="BL17" s="3172"/>
      <c r="BM17" s="3172"/>
      <c r="BN17" s="3172"/>
      <c r="BO17" s="3174"/>
      <c r="BP17" s="3176"/>
    </row>
    <row r="18" spans="1:68" s="1555" customFormat="1" ht="63.75" customHeight="1" x14ac:dyDescent="0.2">
      <c r="A18" s="2055"/>
      <c r="B18" s="2056"/>
      <c r="C18" s="1898"/>
      <c r="D18" s="3151"/>
      <c r="E18" s="3154"/>
      <c r="F18" s="3157"/>
      <c r="G18" s="2626"/>
      <c r="H18" s="2626"/>
      <c r="I18" s="2698"/>
      <c r="J18" s="2698"/>
      <c r="K18" s="2626"/>
      <c r="L18" s="3168"/>
      <c r="M18" s="2626"/>
      <c r="N18" s="2626"/>
      <c r="O18" s="2698"/>
      <c r="P18" s="3163"/>
      <c r="Q18" s="3164"/>
      <c r="R18" s="2698"/>
      <c r="S18" s="3165"/>
      <c r="T18" s="2059" t="s">
        <v>1590</v>
      </c>
      <c r="U18" s="2422">
        <v>11200000</v>
      </c>
      <c r="V18" s="2421">
        <v>11200000</v>
      </c>
      <c r="W18" s="2421">
        <v>11200000</v>
      </c>
      <c r="X18" s="2060">
        <v>20</v>
      </c>
      <c r="Y18" s="2213" t="s">
        <v>85</v>
      </c>
      <c r="Z18" s="2890"/>
      <c r="AA18" s="2862"/>
      <c r="AB18" s="2890"/>
      <c r="AC18" s="2862"/>
      <c r="AD18" s="2890"/>
      <c r="AE18" s="2862"/>
      <c r="AF18" s="2890"/>
      <c r="AG18" s="2862"/>
      <c r="AH18" s="2890"/>
      <c r="AI18" s="2862"/>
      <c r="AJ18" s="2890"/>
      <c r="AK18" s="2862"/>
      <c r="AL18" s="2890"/>
      <c r="AM18" s="2862"/>
      <c r="AN18" s="2890"/>
      <c r="AO18" s="2862"/>
      <c r="AP18" s="2890"/>
      <c r="AQ18" s="2862"/>
      <c r="AR18" s="2890"/>
      <c r="AS18" s="2862"/>
      <c r="AT18" s="2890"/>
      <c r="AU18" s="2862"/>
      <c r="AV18" s="2890"/>
      <c r="AW18" s="2862"/>
      <c r="AX18" s="2890"/>
      <c r="AY18" s="2862"/>
      <c r="AZ18" s="2890"/>
      <c r="BA18" s="2862"/>
      <c r="BB18" s="2890"/>
      <c r="BC18" s="2862"/>
      <c r="BD18" s="2862"/>
      <c r="BE18" s="2890"/>
      <c r="BF18" s="3178"/>
      <c r="BG18" s="3180"/>
      <c r="BH18" s="3180"/>
      <c r="BI18" s="3182"/>
      <c r="BJ18" s="3176"/>
      <c r="BK18" s="3170"/>
      <c r="BL18" s="3172"/>
      <c r="BM18" s="3172"/>
      <c r="BN18" s="3172"/>
      <c r="BO18" s="3174"/>
      <c r="BP18" s="3176"/>
    </row>
    <row r="19" spans="1:68" s="1555" customFormat="1" ht="27" customHeight="1" x14ac:dyDescent="0.2">
      <c r="A19" s="2061"/>
      <c r="B19" s="2062"/>
      <c r="C19" s="2063"/>
      <c r="D19" s="2064">
        <v>2</v>
      </c>
      <c r="E19" s="1893" t="s">
        <v>1591</v>
      </c>
      <c r="F19" s="222"/>
      <c r="G19" s="1326"/>
      <c r="H19" s="1326"/>
      <c r="I19" s="789"/>
      <c r="J19" s="789"/>
      <c r="K19" s="233"/>
      <c r="L19" s="233"/>
      <c r="M19" s="2047"/>
      <c r="N19" s="1891"/>
      <c r="O19" s="789"/>
      <c r="P19" s="1431"/>
      <c r="Q19" s="1474"/>
      <c r="R19" s="789"/>
      <c r="S19" s="789"/>
      <c r="T19" s="1134"/>
      <c r="U19" s="2423"/>
      <c r="V19" s="2424"/>
      <c r="W19" s="2424"/>
      <c r="X19" s="2052"/>
      <c r="Y19" s="2047"/>
      <c r="Z19" s="1891"/>
      <c r="AA19" s="1891"/>
      <c r="AB19" s="1891"/>
      <c r="AC19" s="1891"/>
      <c r="AD19" s="1891"/>
      <c r="AE19" s="1891"/>
      <c r="AF19" s="1891"/>
      <c r="AG19" s="1891"/>
      <c r="AH19" s="1891"/>
      <c r="AI19" s="1891"/>
      <c r="AJ19" s="1891"/>
      <c r="AK19" s="1891"/>
      <c r="AL19" s="1891"/>
      <c r="AM19" s="1891"/>
      <c r="AN19" s="1891"/>
      <c r="AO19" s="1891"/>
      <c r="AP19" s="1891"/>
      <c r="AQ19" s="1891"/>
      <c r="AR19" s="1891"/>
      <c r="AS19" s="1891"/>
      <c r="AT19" s="1891"/>
      <c r="AU19" s="1891"/>
      <c r="AV19" s="1891"/>
      <c r="AW19" s="1891"/>
      <c r="AX19" s="1891"/>
      <c r="AY19" s="1891"/>
      <c r="AZ19" s="1891"/>
      <c r="BA19" s="1891"/>
      <c r="BB19" s="1891"/>
      <c r="BC19" s="1891"/>
      <c r="BD19" s="1891"/>
      <c r="BE19" s="1891"/>
      <c r="BF19" s="955"/>
      <c r="BG19" s="955"/>
      <c r="BH19" s="955"/>
      <c r="BI19" s="955"/>
      <c r="BJ19" s="955"/>
      <c r="BK19" s="955"/>
      <c r="BL19" s="2065"/>
      <c r="BM19" s="2065"/>
      <c r="BN19" s="2065"/>
      <c r="BO19" s="2065"/>
      <c r="BP19" s="2066"/>
    </row>
    <row r="20" spans="1:68" s="1555" customFormat="1" ht="96.75" customHeight="1" x14ac:dyDescent="0.2">
      <c r="A20" s="2067"/>
      <c r="B20" s="2068"/>
      <c r="C20" s="2069"/>
      <c r="D20" s="2070"/>
      <c r="E20" s="2070"/>
      <c r="F20" s="2070"/>
      <c r="G20" s="2626">
        <v>1203002</v>
      </c>
      <c r="H20" s="2626" t="s">
        <v>1592</v>
      </c>
      <c r="I20" s="2698" t="s">
        <v>1593</v>
      </c>
      <c r="J20" s="2698" t="s">
        <v>1594</v>
      </c>
      <c r="K20" s="2626">
        <v>10</v>
      </c>
      <c r="L20" s="3167">
        <v>10</v>
      </c>
      <c r="M20" s="2626" t="s">
        <v>1595</v>
      </c>
      <c r="N20" s="3188" t="s">
        <v>1596</v>
      </c>
      <c r="O20" s="3189" t="s">
        <v>1597</v>
      </c>
      <c r="P20" s="3190">
        <f>(U20+U21)/(Q23+Q83+Q20)</f>
        <v>6.750451597756015E-3</v>
      </c>
      <c r="Q20" s="3191">
        <f>SUM(U20:U21)</f>
        <v>15000000</v>
      </c>
      <c r="R20" s="2698" t="s">
        <v>1598</v>
      </c>
      <c r="S20" s="3184" t="s">
        <v>1599</v>
      </c>
      <c r="T20" s="2071" t="s">
        <v>1600</v>
      </c>
      <c r="U20" s="2422">
        <v>6000000</v>
      </c>
      <c r="V20" s="2421">
        <v>3620000</v>
      </c>
      <c r="W20" s="2421">
        <v>3620000</v>
      </c>
      <c r="X20" s="2060">
        <v>20</v>
      </c>
      <c r="Y20" s="2213" t="s">
        <v>300</v>
      </c>
      <c r="Z20" s="3185">
        <v>295972</v>
      </c>
      <c r="AA20" s="3186">
        <v>48</v>
      </c>
      <c r="AB20" s="3185">
        <v>285580</v>
      </c>
      <c r="AC20" s="3186">
        <v>55</v>
      </c>
      <c r="AD20" s="3185">
        <v>135545</v>
      </c>
      <c r="AE20" s="3186"/>
      <c r="AF20" s="3185">
        <v>44254</v>
      </c>
      <c r="AG20" s="3186"/>
      <c r="AH20" s="3185">
        <v>309146</v>
      </c>
      <c r="AI20" s="3186">
        <v>103</v>
      </c>
      <c r="AJ20" s="3185">
        <v>92607</v>
      </c>
      <c r="AK20" s="3186"/>
      <c r="AL20" s="3185">
        <v>2145</v>
      </c>
      <c r="AM20" s="3186"/>
      <c r="AN20" s="3185">
        <v>12718</v>
      </c>
      <c r="AO20" s="3186"/>
      <c r="AP20" s="3185">
        <v>26</v>
      </c>
      <c r="AQ20" s="3186"/>
      <c r="AR20" s="3185">
        <v>12</v>
      </c>
      <c r="AS20" s="3186"/>
      <c r="AT20" s="3185">
        <v>0</v>
      </c>
      <c r="AU20" s="3186"/>
      <c r="AV20" s="3185">
        <v>0</v>
      </c>
      <c r="AW20" s="3186"/>
      <c r="AX20" s="3185"/>
      <c r="AY20" s="3186"/>
      <c r="AZ20" s="3185"/>
      <c r="BA20" s="3186"/>
      <c r="BB20" s="3185"/>
      <c r="BC20" s="3186"/>
      <c r="BD20" s="3186">
        <f>Z20+AB20</f>
        <v>581552</v>
      </c>
      <c r="BE20" s="3185">
        <f>AA20+AC20</f>
        <v>103</v>
      </c>
      <c r="BF20" s="3201">
        <v>2</v>
      </c>
      <c r="BG20" s="3179">
        <f>+V20+V21</f>
        <v>3620000</v>
      </c>
      <c r="BH20" s="3179">
        <f>+W20+W21</f>
        <v>3620000</v>
      </c>
      <c r="BI20" s="3181">
        <f>BH20/BG20</f>
        <v>1</v>
      </c>
      <c r="BJ20" s="3197">
        <v>20</v>
      </c>
      <c r="BK20" s="3199" t="s">
        <v>1601</v>
      </c>
      <c r="BL20" s="3171"/>
      <c r="BM20" s="3171"/>
      <c r="BN20" s="3171">
        <v>44195</v>
      </c>
      <c r="BO20" s="3173">
        <v>44195</v>
      </c>
      <c r="BP20" s="3175" t="s">
        <v>1585</v>
      </c>
    </row>
    <row r="21" spans="1:68" s="1555" customFormat="1" ht="104.25" customHeight="1" x14ac:dyDescent="0.2">
      <c r="A21" s="2067"/>
      <c r="B21" s="2068"/>
      <c r="C21" s="2069"/>
      <c r="D21" s="2072"/>
      <c r="E21" s="2072"/>
      <c r="F21" s="2072"/>
      <c r="G21" s="3167"/>
      <c r="H21" s="2626"/>
      <c r="I21" s="2698"/>
      <c r="J21" s="2698"/>
      <c r="K21" s="2626"/>
      <c r="L21" s="3168"/>
      <c r="M21" s="2626"/>
      <c r="N21" s="3188"/>
      <c r="O21" s="3189"/>
      <c r="P21" s="3190"/>
      <c r="Q21" s="3191"/>
      <c r="R21" s="2698"/>
      <c r="S21" s="3184"/>
      <c r="T21" s="2071" t="s">
        <v>1602</v>
      </c>
      <c r="U21" s="2422">
        <v>9000000</v>
      </c>
      <c r="V21" s="2421"/>
      <c r="W21" s="2421"/>
      <c r="X21" s="2060">
        <v>88</v>
      </c>
      <c r="Y21" s="2213" t="s">
        <v>411</v>
      </c>
      <c r="Z21" s="3185"/>
      <c r="AA21" s="3187"/>
      <c r="AB21" s="3185"/>
      <c r="AC21" s="3187"/>
      <c r="AD21" s="3185"/>
      <c r="AE21" s="3187"/>
      <c r="AF21" s="3185"/>
      <c r="AG21" s="3187"/>
      <c r="AH21" s="3185"/>
      <c r="AI21" s="3187"/>
      <c r="AJ21" s="3185"/>
      <c r="AK21" s="3187"/>
      <c r="AL21" s="3185"/>
      <c r="AM21" s="3187"/>
      <c r="AN21" s="3185"/>
      <c r="AO21" s="3187"/>
      <c r="AP21" s="3185"/>
      <c r="AQ21" s="3187"/>
      <c r="AR21" s="3185"/>
      <c r="AS21" s="3187"/>
      <c r="AT21" s="3185"/>
      <c r="AU21" s="3187"/>
      <c r="AV21" s="3185"/>
      <c r="AW21" s="3187"/>
      <c r="AX21" s="3185"/>
      <c r="AY21" s="3187"/>
      <c r="AZ21" s="3185"/>
      <c r="BA21" s="3187"/>
      <c r="BB21" s="3185"/>
      <c r="BC21" s="3187"/>
      <c r="BD21" s="3187"/>
      <c r="BE21" s="3185"/>
      <c r="BF21" s="3202"/>
      <c r="BG21" s="3180"/>
      <c r="BH21" s="3180"/>
      <c r="BI21" s="3182"/>
      <c r="BJ21" s="3198"/>
      <c r="BK21" s="3200"/>
      <c r="BL21" s="3172"/>
      <c r="BM21" s="3172"/>
      <c r="BN21" s="3172"/>
      <c r="BO21" s="3174"/>
      <c r="BP21" s="3176"/>
    </row>
    <row r="22" spans="1:68" s="1555" customFormat="1" ht="27" customHeight="1" x14ac:dyDescent="0.2">
      <c r="A22" s="2067"/>
      <c r="B22" s="2068"/>
      <c r="C22" s="2069"/>
      <c r="D22" s="1897">
        <v>3</v>
      </c>
      <c r="E22" s="1890" t="s">
        <v>1603</v>
      </c>
      <c r="F22" s="220"/>
      <c r="G22" s="954"/>
      <c r="H22" s="1326"/>
      <c r="I22" s="789"/>
      <c r="J22" s="789"/>
      <c r="K22" s="1891"/>
      <c r="L22" s="1891"/>
      <c r="M22" s="2047"/>
      <c r="N22" s="1891"/>
      <c r="O22" s="789"/>
      <c r="P22" s="1431"/>
      <c r="Q22" s="1474"/>
      <c r="R22" s="789"/>
      <c r="S22" s="789"/>
      <c r="T22" s="1134"/>
      <c r="U22" s="2425"/>
      <c r="V22" s="2424"/>
      <c r="W22" s="2424"/>
      <c r="X22" s="2052"/>
      <c r="Y22" s="2047"/>
      <c r="Z22" s="1891"/>
      <c r="AA22" s="1891"/>
      <c r="AB22" s="1891"/>
      <c r="AC22" s="1891"/>
      <c r="AD22" s="1891"/>
      <c r="AE22" s="1891"/>
      <c r="AF22" s="1891"/>
      <c r="AG22" s="1891"/>
      <c r="AH22" s="1891"/>
      <c r="AI22" s="1891"/>
      <c r="AJ22" s="1891"/>
      <c r="AK22" s="1891"/>
      <c r="AL22" s="1891"/>
      <c r="AM22" s="1891"/>
      <c r="AN22" s="1891"/>
      <c r="AO22" s="1891"/>
      <c r="AP22" s="1891"/>
      <c r="AQ22" s="1891"/>
      <c r="AR22" s="1891"/>
      <c r="AS22" s="1891"/>
      <c r="AT22" s="1891"/>
      <c r="AU22" s="1891"/>
      <c r="AV22" s="1891"/>
      <c r="AW22" s="1891"/>
      <c r="AX22" s="1891"/>
      <c r="AY22" s="1891"/>
      <c r="AZ22" s="1891"/>
      <c r="BA22" s="1891"/>
      <c r="BB22" s="1891"/>
      <c r="BC22" s="1891"/>
      <c r="BD22" s="1891"/>
      <c r="BE22" s="1891"/>
      <c r="BF22" s="955"/>
      <c r="BG22" s="955"/>
      <c r="BH22" s="955"/>
      <c r="BI22" s="955"/>
      <c r="BJ22" s="955"/>
      <c r="BK22" s="955"/>
      <c r="BL22" s="2065"/>
      <c r="BM22" s="2065"/>
      <c r="BN22" s="2065"/>
      <c r="BO22" s="2065"/>
      <c r="BP22" s="2066"/>
    </row>
    <row r="23" spans="1:68" s="1555" customFormat="1" ht="50.25" customHeight="1" x14ac:dyDescent="0.2">
      <c r="A23" s="2067"/>
      <c r="B23" s="2068"/>
      <c r="C23" s="2069"/>
      <c r="D23" s="2070"/>
      <c r="E23" s="2070"/>
      <c r="F23" s="2070"/>
      <c r="G23" s="2626">
        <v>1206005</v>
      </c>
      <c r="H23" s="2626">
        <v>3.1</v>
      </c>
      <c r="I23" s="2698" t="s">
        <v>1604</v>
      </c>
      <c r="J23" s="2698" t="s">
        <v>1605</v>
      </c>
      <c r="K23" s="2626">
        <v>15</v>
      </c>
      <c r="L23" s="3167">
        <v>0</v>
      </c>
      <c r="M23" s="2626" t="s">
        <v>1606</v>
      </c>
      <c r="N23" s="2626" t="s">
        <v>1596</v>
      </c>
      <c r="O23" s="3189" t="s">
        <v>1597</v>
      </c>
      <c r="P23" s="3192">
        <f>(U23+U24+U25+U26)/(Q20+Q23+Q83)</f>
        <v>6.750451597756015E-3</v>
      </c>
      <c r="Q23" s="3191">
        <f>SUM(U23:U26)</f>
        <v>15000000</v>
      </c>
      <c r="R23" s="2698" t="s">
        <v>1607</v>
      </c>
      <c r="S23" s="3165" t="s">
        <v>1599</v>
      </c>
      <c r="T23" s="3195" t="s">
        <v>1608</v>
      </c>
      <c r="U23" s="2422">
        <v>4500000</v>
      </c>
      <c r="V23" s="2421"/>
      <c r="W23" s="2421"/>
      <c r="X23" s="2060">
        <v>88</v>
      </c>
      <c r="Y23" s="2247" t="s">
        <v>411</v>
      </c>
      <c r="Z23" s="3185">
        <v>295972</v>
      </c>
      <c r="AA23" s="3186">
        <v>48</v>
      </c>
      <c r="AB23" s="3185">
        <v>285580</v>
      </c>
      <c r="AC23" s="3186">
        <v>55</v>
      </c>
      <c r="AD23" s="3185">
        <v>135545</v>
      </c>
      <c r="AE23" s="3186"/>
      <c r="AF23" s="3185">
        <v>44254</v>
      </c>
      <c r="AG23" s="3186"/>
      <c r="AH23" s="3185">
        <v>309146</v>
      </c>
      <c r="AI23" s="3186">
        <v>103</v>
      </c>
      <c r="AJ23" s="3185">
        <v>92607</v>
      </c>
      <c r="AK23" s="3186"/>
      <c r="AL23" s="3185">
        <v>2145</v>
      </c>
      <c r="AM23" s="3186"/>
      <c r="AN23" s="3185">
        <v>12718</v>
      </c>
      <c r="AO23" s="3186"/>
      <c r="AP23" s="3185">
        <v>26</v>
      </c>
      <c r="AQ23" s="3186"/>
      <c r="AR23" s="3185">
        <v>12</v>
      </c>
      <c r="AS23" s="3186"/>
      <c r="AT23" s="3185">
        <v>0</v>
      </c>
      <c r="AU23" s="3186"/>
      <c r="AV23" s="3185">
        <v>0</v>
      </c>
      <c r="AW23" s="3186"/>
      <c r="AX23" s="3185"/>
      <c r="AY23" s="3186"/>
      <c r="AZ23" s="3185"/>
      <c r="BA23" s="3186"/>
      <c r="BB23" s="3185"/>
      <c r="BC23" s="3186"/>
      <c r="BD23" s="3186">
        <f>Z23+AB23</f>
        <v>581552</v>
      </c>
      <c r="BE23" s="3211">
        <f>AA23+AC23</f>
        <v>103</v>
      </c>
      <c r="BF23" s="3186">
        <v>1</v>
      </c>
      <c r="BG23" s="3212">
        <f>+V23+V24+V25+V26</f>
        <v>3886666</v>
      </c>
      <c r="BH23" s="3214">
        <f>+W23+W24+W25+W26</f>
        <v>3886666</v>
      </c>
      <c r="BI23" s="3181">
        <f t="shared" ref="BI23" si="0">BH23/BG23</f>
        <v>1</v>
      </c>
      <c r="BJ23" s="3197">
        <v>20</v>
      </c>
      <c r="BK23" s="3199" t="s">
        <v>1601</v>
      </c>
      <c r="BL23" s="3171"/>
      <c r="BM23" s="3171"/>
      <c r="BN23" s="3171">
        <v>44195</v>
      </c>
      <c r="BO23" s="3171">
        <v>44195</v>
      </c>
      <c r="BP23" s="3207" t="s">
        <v>1585</v>
      </c>
    </row>
    <row r="24" spans="1:68" s="1555" customFormat="1" ht="50.25" customHeight="1" x14ac:dyDescent="0.2">
      <c r="A24" s="2067"/>
      <c r="B24" s="2068"/>
      <c r="C24" s="2069"/>
      <c r="D24" s="2072"/>
      <c r="E24" s="2072"/>
      <c r="F24" s="2072"/>
      <c r="G24" s="2626"/>
      <c r="H24" s="2626"/>
      <c r="I24" s="2698"/>
      <c r="J24" s="2698"/>
      <c r="K24" s="2626"/>
      <c r="L24" s="3019"/>
      <c r="M24" s="2626"/>
      <c r="N24" s="2626"/>
      <c r="O24" s="3189"/>
      <c r="P24" s="3193"/>
      <c r="Q24" s="3191"/>
      <c r="R24" s="2698"/>
      <c r="S24" s="3165"/>
      <c r="T24" s="3196"/>
      <c r="U24" s="2422">
        <v>620000</v>
      </c>
      <c r="V24" s="2421">
        <v>620000</v>
      </c>
      <c r="W24" s="2421">
        <v>620000</v>
      </c>
      <c r="X24" s="2060">
        <v>20</v>
      </c>
      <c r="Y24" s="2247" t="s">
        <v>300</v>
      </c>
      <c r="Z24" s="3185"/>
      <c r="AA24" s="3203"/>
      <c r="AB24" s="3185"/>
      <c r="AC24" s="3203"/>
      <c r="AD24" s="3185"/>
      <c r="AE24" s="3203"/>
      <c r="AF24" s="3185"/>
      <c r="AG24" s="3203"/>
      <c r="AH24" s="3185"/>
      <c r="AI24" s="3203"/>
      <c r="AJ24" s="3185"/>
      <c r="AK24" s="3203"/>
      <c r="AL24" s="3185"/>
      <c r="AM24" s="3203"/>
      <c r="AN24" s="3185"/>
      <c r="AO24" s="3203"/>
      <c r="AP24" s="3185"/>
      <c r="AQ24" s="3203"/>
      <c r="AR24" s="3185"/>
      <c r="AS24" s="3203"/>
      <c r="AT24" s="3185"/>
      <c r="AU24" s="3203"/>
      <c r="AV24" s="3185"/>
      <c r="AW24" s="3203"/>
      <c r="AX24" s="3185"/>
      <c r="AY24" s="3203"/>
      <c r="AZ24" s="3185"/>
      <c r="BA24" s="3203"/>
      <c r="BB24" s="3185"/>
      <c r="BC24" s="3203"/>
      <c r="BD24" s="3203"/>
      <c r="BE24" s="3211"/>
      <c r="BF24" s="3203"/>
      <c r="BG24" s="3213"/>
      <c r="BH24" s="3215"/>
      <c r="BI24" s="3182"/>
      <c r="BJ24" s="3198"/>
      <c r="BK24" s="3200"/>
      <c r="BL24" s="3172"/>
      <c r="BM24" s="3172"/>
      <c r="BN24" s="3172"/>
      <c r="BO24" s="3172"/>
      <c r="BP24" s="3207"/>
    </row>
    <row r="25" spans="1:68" s="1555" customFormat="1" ht="63" customHeight="1" x14ac:dyDescent="0.2">
      <c r="A25" s="2067"/>
      <c r="B25" s="2068"/>
      <c r="C25" s="2069"/>
      <c r="D25" s="2072"/>
      <c r="E25" s="2072"/>
      <c r="F25" s="2072"/>
      <c r="G25" s="2626"/>
      <c r="H25" s="2626"/>
      <c r="I25" s="2698"/>
      <c r="J25" s="2698"/>
      <c r="K25" s="2626"/>
      <c r="L25" s="3019"/>
      <c r="M25" s="2626"/>
      <c r="N25" s="2626"/>
      <c r="O25" s="3189"/>
      <c r="P25" s="3193"/>
      <c r="Q25" s="3191"/>
      <c r="R25" s="2698"/>
      <c r="S25" s="3165"/>
      <c r="T25" s="2071" t="s">
        <v>1609</v>
      </c>
      <c r="U25" s="2422">
        <v>5380000</v>
      </c>
      <c r="V25" s="2421"/>
      <c r="W25" s="2421"/>
      <c r="X25" s="2060">
        <v>20</v>
      </c>
      <c r="Y25" s="2247" t="s">
        <v>300</v>
      </c>
      <c r="Z25" s="3185"/>
      <c r="AA25" s="3203"/>
      <c r="AB25" s="3185"/>
      <c r="AC25" s="3203"/>
      <c r="AD25" s="3185"/>
      <c r="AE25" s="3203"/>
      <c r="AF25" s="3185"/>
      <c r="AG25" s="3203"/>
      <c r="AH25" s="3185"/>
      <c r="AI25" s="3203"/>
      <c r="AJ25" s="3185"/>
      <c r="AK25" s="3203"/>
      <c r="AL25" s="3185"/>
      <c r="AM25" s="3203"/>
      <c r="AN25" s="3185"/>
      <c r="AO25" s="3203"/>
      <c r="AP25" s="3185"/>
      <c r="AQ25" s="3203"/>
      <c r="AR25" s="3185"/>
      <c r="AS25" s="3203"/>
      <c r="AT25" s="3185"/>
      <c r="AU25" s="3203"/>
      <c r="AV25" s="3185"/>
      <c r="AW25" s="3203"/>
      <c r="AX25" s="3185"/>
      <c r="AY25" s="3203"/>
      <c r="AZ25" s="3185"/>
      <c r="BA25" s="3203"/>
      <c r="BB25" s="3185"/>
      <c r="BC25" s="3203"/>
      <c r="BD25" s="3203"/>
      <c r="BE25" s="3211"/>
      <c r="BF25" s="3203"/>
      <c r="BG25" s="3213"/>
      <c r="BH25" s="3215"/>
      <c r="BI25" s="3182" t="e">
        <f t="shared" ref="BI25" si="1">BH25/BG25</f>
        <v>#DIV/0!</v>
      </c>
      <c r="BJ25" s="3198"/>
      <c r="BK25" s="3200"/>
      <c r="BL25" s="3172"/>
      <c r="BM25" s="3172"/>
      <c r="BN25" s="3172"/>
      <c r="BO25" s="3172"/>
      <c r="BP25" s="3207"/>
    </row>
    <row r="26" spans="1:68" s="1555" customFormat="1" ht="66" customHeight="1" x14ac:dyDescent="0.2">
      <c r="A26" s="2067"/>
      <c r="B26" s="2068"/>
      <c r="C26" s="2069"/>
      <c r="D26" s="2072"/>
      <c r="E26" s="2072"/>
      <c r="F26" s="2072"/>
      <c r="G26" s="3167"/>
      <c r="H26" s="2626"/>
      <c r="I26" s="2698"/>
      <c r="J26" s="2698"/>
      <c r="K26" s="2626"/>
      <c r="L26" s="3168"/>
      <c r="M26" s="2626"/>
      <c r="N26" s="2626"/>
      <c r="O26" s="3189"/>
      <c r="P26" s="3194"/>
      <c r="Q26" s="3191"/>
      <c r="R26" s="2698"/>
      <c r="S26" s="3165"/>
      <c r="T26" s="2071" t="s">
        <v>1610</v>
      </c>
      <c r="U26" s="2422">
        <v>4500000</v>
      </c>
      <c r="V26" s="2421">
        <v>3266666</v>
      </c>
      <c r="W26" s="2421">
        <v>3266666</v>
      </c>
      <c r="X26" s="2060">
        <v>88</v>
      </c>
      <c r="Y26" s="2247" t="s">
        <v>411</v>
      </c>
      <c r="Z26" s="3185"/>
      <c r="AA26" s="3187"/>
      <c r="AB26" s="3185"/>
      <c r="AC26" s="3187"/>
      <c r="AD26" s="3185"/>
      <c r="AE26" s="3187"/>
      <c r="AF26" s="3185"/>
      <c r="AG26" s="3187"/>
      <c r="AH26" s="3185"/>
      <c r="AI26" s="3187"/>
      <c r="AJ26" s="3185"/>
      <c r="AK26" s="3187"/>
      <c r="AL26" s="3185"/>
      <c r="AM26" s="3187"/>
      <c r="AN26" s="3185"/>
      <c r="AO26" s="3187"/>
      <c r="AP26" s="3185"/>
      <c r="AQ26" s="3187"/>
      <c r="AR26" s="3185"/>
      <c r="AS26" s="3187"/>
      <c r="AT26" s="3185"/>
      <c r="AU26" s="3187"/>
      <c r="AV26" s="3185"/>
      <c r="AW26" s="3187"/>
      <c r="AX26" s="3185"/>
      <c r="AY26" s="3187"/>
      <c r="AZ26" s="3185"/>
      <c r="BA26" s="3187"/>
      <c r="BB26" s="3185"/>
      <c r="BC26" s="3187"/>
      <c r="BD26" s="3187"/>
      <c r="BE26" s="3211"/>
      <c r="BF26" s="3187"/>
      <c r="BG26" s="3213"/>
      <c r="BH26" s="3215"/>
      <c r="BI26" s="3182"/>
      <c r="BJ26" s="3198"/>
      <c r="BK26" s="3200"/>
      <c r="BL26" s="3172"/>
      <c r="BM26" s="3172"/>
      <c r="BN26" s="3172"/>
      <c r="BO26" s="3172"/>
      <c r="BP26" s="3208"/>
    </row>
    <row r="27" spans="1:68" s="1555" customFormat="1" ht="27" customHeight="1" x14ac:dyDescent="0.2">
      <c r="A27" s="2067"/>
      <c r="B27" s="2068"/>
      <c r="C27" s="2069"/>
      <c r="D27" s="1897">
        <v>15</v>
      </c>
      <c r="E27" s="1890" t="s">
        <v>617</v>
      </c>
      <c r="F27" s="220"/>
      <c r="G27" s="954"/>
      <c r="H27" s="1326"/>
      <c r="I27" s="789"/>
      <c r="J27" s="789"/>
      <c r="K27" s="1891"/>
      <c r="L27" s="1891"/>
      <c r="M27" s="2047"/>
      <c r="N27" s="1891"/>
      <c r="O27" s="789"/>
      <c r="P27" s="1431"/>
      <c r="Q27" s="1474"/>
      <c r="R27" s="789"/>
      <c r="S27" s="789"/>
      <c r="T27" s="1134"/>
      <c r="U27" s="2423"/>
      <c r="V27" s="2424"/>
      <c r="W27" s="2424"/>
      <c r="X27" s="2052"/>
      <c r="Y27" s="2047"/>
      <c r="Z27" s="1891"/>
      <c r="AA27" s="1891"/>
      <c r="AB27" s="1891"/>
      <c r="AC27" s="1891"/>
      <c r="AD27" s="1891"/>
      <c r="AE27" s="1891"/>
      <c r="AF27" s="1891"/>
      <c r="AG27" s="1891"/>
      <c r="AH27" s="1891"/>
      <c r="AI27" s="1891"/>
      <c r="AJ27" s="1891"/>
      <c r="AK27" s="1891"/>
      <c r="AL27" s="1891"/>
      <c r="AM27" s="1891"/>
      <c r="AN27" s="1891"/>
      <c r="AO27" s="1891"/>
      <c r="AP27" s="1891"/>
      <c r="AQ27" s="1891"/>
      <c r="AR27" s="1891"/>
      <c r="AS27" s="1891"/>
      <c r="AT27" s="1891"/>
      <c r="AU27" s="1891"/>
      <c r="AV27" s="1891"/>
      <c r="AW27" s="1891"/>
      <c r="AX27" s="1891"/>
      <c r="AY27" s="1891"/>
      <c r="AZ27" s="1891"/>
      <c r="BA27" s="1891"/>
      <c r="BB27" s="1891"/>
      <c r="BC27" s="1891"/>
      <c r="BD27" s="1891"/>
      <c r="BE27" s="1891"/>
      <c r="BF27" s="1891"/>
      <c r="BG27" s="955"/>
      <c r="BH27" s="955"/>
      <c r="BI27" s="955"/>
      <c r="BJ27" s="955"/>
      <c r="BK27" s="955"/>
      <c r="BL27" s="2065"/>
      <c r="BM27" s="2065"/>
      <c r="BN27" s="2065"/>
      <c r="BO27" s="2065"/>
      <c r="BP27" s="2066"/>
    </row>
    <row r="28" spans="1:68" s="1555" customFormat="1" ht="60.75" customHeight="1" x14ac:dyDescent="0.2">
      <c r="A28" s="2067"/>
      <c r="B28" s="2068"/>
      <c r="C28" s="2068"/>
      <c r="D28" s="2073"/>
      <c r="E28" s="2070"/>
      <c r="F28" s="2074"/>
      <c r="G28" s="3209">
        <v>2201068</v>
      </c>
      <c r="H28" s="3047" t="s">
        <v>1611</v>
      </c>
      <c r="I28" s="2698" t="s">
        <v>1612</v>
      </c>
      <c r="J28" s="2779" t="s">
        <v>1613</v>
      </c>
      <c r="K28" s="2620">
        <v>40</v>
      </c>
      <c r="L28" s="2786">
        <v>0</v>
      </c>
      <c r="M28" s="2620" t="s">
        <v>1614</v>
      </c>
      <c r="N28" s="2777" t="s">
        <v>1615</v>
      </c>
      <c r="O28" s="3189" t="s">
        <v>1616</v>
      </c>
      <c r="P28" s="3239">
        <f>(U28+U29+U30)/(Q28+Q117+Q120)</f>
        <v>0.35719198237322686</v>
      </c>
      <c r="Q28" s="3191">
        <f>SUM(U28:U30)</f>
        <v>201866667</v>
      </c>
      <c r="R28" s="2779" t="s">
        <v>1617</v>
      </c>
      <c r="S28" s="3240" t="s">
        <v>1618</v>
      </c>
      <c r="T28" s="2075" t="s">
        <v>1619</v>
      </c>
      <c r="U28" s="2422">
        <v>22551333</v>
      </c>
      <c r="V28" s="2421">
        <f>1582666+4293333+8500000-373333-560000</f>
        <v>13442666</v>
      </c>
      <c r="W28" s="2421">
        <f>1582666+4293333+8500000-373333-560000</f>
        <v>13442666</v>
      </c>
      <c r="X28" s="2060">
        <v>88</v>
      </c>
      <c r="Y28" s="2211" t="s">
        <v>411</v>
      </c>
      <c r="Z28" s="3185">
        <v>5089</v>
      </c>
      <c r="AA28" s="3204">
        <v>0</v>
      </c>
      <c r="AB28" s="3238">
        <v>4911</v>
      </c>
      <c r="AC28" s="3204">
        <v>0</v>
      </c>
      <c r="AD28" s="3185">
        <v>2331</v>
      </c>
      <c r="AE28" s="3186">
        <v>0</v>
      </c>
      <c r="AF28" s="3185">
        <v>761</v>
      </c>
      <c r="AG28" s="3186">
        <v>0</v>
      </c>
      <c r="AH28" s="3185">
        <v>5316</v>
      </c>
      <c r="AI28" s="3186">
        <v>0</v>
      </c>
      <c r="AJ28" s="3185">
        <v>1592</v>
      </c>
      <c r="AK28" s="3186">
        <v>0</v>
      </c>
      <c r="AL28" s="3185">
        <v>0</v>
      </c>
      <c r="AM28" s="3186"/>
      <c r="AN28" s="3185">
        <v>0</v>
      </c>
      <c r="AO28" s="3186"/>
      <c r="AP28" s="3185">
        <v>0</v>
      </c>
      <c r="AQ28" s="3186"/>
      <c r="AR28" s="3185">
        <v>0</v>
      </c>
      <c r="AS28" s="3186"/>
      <c r="AT28" s="3185">
        <v>0</v>
      </c>
      <c r="AU28" s="3186"/>
      <c r="AV28" s="3185">
        <v>0</v>
      </c>
      <c r="AW28" s="3186"/>
      <c r="AX28" s="3185">
        <v>0</v>
      </c>
      <c r="AY28" s="3186"/>
      <c r="AZ28" s="3185">
        <v>0</v>
      </c>
      <c r="BA28" s="3186"/>
      <c r="BB28" s="3185">
        <v>0</v>
      </c>
      <c r="BC28" s="3186"/>
      <c r="BD28" s="3185">
        <f>+Z28+AB28</f>
        <v>10000</v>
      </c>
      <c r="BE28" s="3204">
        <f>+AA28+AC28</f>
        <v>0</v>
      </c>
      <c r="BF28" s="3186">
        <v>2</v>
      </c>
      <c r="BG28" s="3212">
        <f>+V28+V29+V30</f>
        <v>13442666</v>
      </c>
      <c r="BH28" s="3214">
        <f>+W28+W29+W30</f>
        <v>13442666</v>
      </c>
      <c r="BI28" s="3181">
        <f t="shared" ref="BI28" si="2">BH28/BG28</f>
        <v>1</v>
      </c>
      <c r="BJ28" s="3218">
        <v>88</v>
      </c>
      <c r="BK28" s="3220" t="s">
        <v>1620</v>
      </c>
      <c r="BL28" s="3171">
        <v>44057</v>
      </c>
      <c r="BM28" s="3171">
        <v>44186</v>
      </c>
      <c r="BN28" s="3171">
        <v>44195</v>
      </c>
      <c r="BO28" s="3171">
        <v>44195</v>
      </c>
      <c r="BP28" s="3207" t="s">
        <v>1585</v>
      </c>
    </row>
    <row r="29" spans="1:68" s="1555" customFormat="1" ht="57.75" customHeight="1" x14ac:dyDescent="0.2">
      <c r="A29" s="2067"/>
      <c r="B29" s="2068"/>
      <c r="C29" s="2068"/>
      <c r="D29" s="3150"/>
      <c r="E29" s="3153"/>
      <c r="F29" s="3216"/>
      <c r="G29" s="3209"/>
      <c r="H29" s="3047"/>
      <c r="I29" s="2698"/>
      <c r="J29" s="2779"/>
      <c r="K29" s="2620"/>
      <c r="L29" s="3210"/>
      <c r="M29" s="2620"/>
      <c r="N29" s="2777"/>
      <c r="O29" s="3189"/>
      <c r="P29" s="3239"/>
      <c r="Q29" s="3191"/>
      <c r="R29" s="2779"/>
      <c r="S29" s="3240"/>
      <c r="T29" s="2075" t="s">
        <v>1621</v>
      </c>
      <c r="U29" s="2422">
        <v>148315334</v>
      </c>
      <c r="V29" s="2421"/>
      <c r="W29" s="2421"/>
      <c r="X29" s="2060">
        <v>88</v>
      </c>
      <c r="Y29" s="2211" t="s">
        <v>411</v>
      </c>
      <c r="Z29" s="3185"/>
      <c r="AA29" s="3205"/>
      <c r="AB29" s="3238"/>
      <c r="AC29" s="3205"/>
      <c r="AD29" s="3185"/>
      <c r="AE29" s="3203"/>
      <c r="AF29" s="3185"/>
      <c r="AG29" s="3203"/>
      <c r="AH29" s="3185"/>
      <c r="AI29" s="3203"/>
      <c r="AJ29" s="3185"/>
      <c r="AK29" s="3203"/>
      <c r="AL29" s="3185"/>
      <c r="AM29" s="3203"/>
      <c r="AN29" s="3185"/>
      <c r="AO29" s="3203"/>
      <c r="AP29" s="3185"/>
      <c r="AQ29" s="3203"/>
      <c r="AR29" s="3185"/>
      <c r="AS29" s="3203"/>
      <c r="AT29" s="3185"/>
      <c r="AU29" s="3203"/>
      <c r="AV29" s="3185"/>
      <c r="AW29" s="3203"/>
      <c r="AX29" s="3185"/>
      <c r="AY29" s="3203"/>
      <c r="AZ29" s="3185"/>
      <c r="BA29" s="3203"/>
      <c r="BB29" s="3185"/>
      <c r="BC29" s="3203"/>
      <c r="BD29" s="3185"/>
      <c r="BE29" s="3205"/>
      <c r="BF29" s="3203"/>
      <c r="BG29" s="3213"/>
      <c r="BH29" s="3215"/>
      <c r="BI29" s="3182"/>
      <c r="BJ29" s="3219"/>
      <c r="BK29" s="3221"/>
      <c r="BL29" s="3172"/>
      <c r="BM29" s="3172"/>
      <c r="BN29" s="3172"/>
      <c r="BO29" s="3172"/>
      <c r="BP29" s="3207"/>
    </row>
    <row r="30" spans="1:68" s="1555" customFormat="1" ht="70.5" customHeight="1" x14ac:dyDescent="0.2">
      <c r="A30" s="2076"/>
      <c r="B30" s="2077"/>
      <c r="C30" s="2077"/>
      <c r="D30" s="3151"/>
      <c r="E30" s="3154"/>
      <c r="F30" s="3217"/>
      <c r="G30" s="3209"/>
      <c r="H30" s="3047"/>
      <c r="I30" s="2698"/>
      <c r="J30" s="2779"/>
      <c r="K30" s="2620"/>
      <c r="L30" s="2619"/>
      <c r="M30" s="2620"/>
      <c r="N30" s="2777"/>
      <c r="O30" s="3189"/>
      <c r="P30" s="3239"/>
      <c r="Q30" s="3191"/>
      <c r="R30" s="2779"/>
      <c r="S30" s="3240"/>
      <c r="T30" s="2075" t="s">
        <v>1622</v>
      </c>
      <c r="U30" s="2426">
        <v>31000000</v>
      </c>
      <c r="V30" s="2427"/>
      <c r="W30" s="2427"/>
      <c r="X30" s="2078">
        <v>88</v>
      </c>
      <c r="Y30" s="2211"/>
      <c r="Z30" s="3185"/>
      <c r="AA30" s="3206"/>
      <c r="AB30" s="3238"/>
      <c r="AC30" s="3206"/>
      <c r="AD30" s="3185"/>
      <c r="AE30" s="3187"/>
      <c r="AF30" s="3185"/>
      <c r="AG30" s="3187"/>
      <c r="AH30" s="3185"/>
      <c r="AI30" s="3187"/>
      <c r="AJ30" s="3185"/>
      <c r="AK30" s="3187"/>
      <c r="AL30" s="3185"/>
      <c r="AM30" s="3187"/>
      <c r="AN30" s="3185"/>
      <c r="AO30" s="3187"/>
      <c r="AP30" s="3185"/>
      <c r="AQ30" s="3187"/>
      <c r="AR30" s="3185"/>
      <c r="AS30" s="3187"/>
      <c r="AT30" s="3185"/>
      <c r="AU30" s="3187"/>
      <c r="AV30" s="3185"/>
      <c r="AW30" s="3187"/>
      <c r="AX30" s="3185"/>
      <c r="AY30" s="3187"/>
      <c r="AZ30" s="3185"/>
      <c r="BA30" s="3187"/>
      <c r="BB30" s="3185"/>
      <c r="BC30" s="3187"/>
      <c r="BD30" s="3185"/>
      <c r="BE30" s="3206"/>
      <c r="BF30" s="3187"/>
      <c r="BG30" s="3213"/>
      <c r="BH30" s="3215"/>
      <c r="BI30" s="3182" t="e">
        <f t="shared" ref="BI30" si="3">BH30/BG30</f>
        <v>#DIV/0!</v>
      </c>
      <c r="BJ30" s="3219"/>
      <c r="BK30" s="3221"/>
      <c r="BL30" s="3172"/>
      <c r="BM30" s="3172"/>
      <c r="BN30" s="3172"/>
      <c r="BO30" s="3172"/>
      <c r="BP30" s="3208"/>
    </row>
    <row r="31" spans="1:68" s="1555" customFormat="1" ht="27" customHeight="1" x14ac:dyDescent="0.2">
      <c r="A31" s="2068"/>
      <c r="B31" s="2068"/>
      <c r="C31" s="2068"/>
      <c r="D31" s="1905">
        <v>35</v>
      </c>
      <c r="E31" s="819" t="s">
        <v>1623</v>
      </c>
      <c r="F31" s="2079"/>
      <c r="G31" s="2080"/>
      <c r="H31" s="2080"/>
      <c r="I31" s="278"/>
      <c r="J31" s="278"/>
      <c r="K31" s="287"/>
      <c r="L31" s="287"/>
      <c r="M31" s="1094"/>
      <c r="N31" s="287"/>
      <c r="O31" s="278"/>
      <c r="P31" s="1096"/>
      <c r="Q31" s="2457"/>
      <c r="R31" s="278"/>
      <c r="S31" s="278"/>
      <c r="T31" s="2081"/>
      <c r="U31" s="2428"/>
      <c r="V31" s="2429"/>
      <c r="W31" s="2430"/>
      <c r="X31" s="2082"/>
      <c r="Y31" s="204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23"/>
      <c r="BH31" s="223"/>
      <c r="BI31" s="223"/>
      <c r="BJ31" s="223"/>
      <c r="BK31" s="223"/>
      <c r="BL31" s="2083"/>
      <c r="BM31" s="2083"/>
      <c r="BN31" s="2083"/>
      <c r="BO31" s="2083"/>
      <c r="BP31" s="2084"/>
    </row>
    <row r="32" spans="1:68" s="1555" customFormat="1" ht="33" customHeight="1" x14ac:dyDescent="0.2">
      <c r="A32" s="2068"/>
      <c r="B32" s="2068"/>
      <c r="C32" s="2068"/>
      <c r="D32" s="3150"/>
      <c r="E32" s="3153"/>
      <c r="F32" s="3216"/>
      <c r="G32" s="3232">
        <v>4101023</v>
      </c>
      <c r="H32" s="3232" t="s">
        <v>1624</v>
      </c>
      <c r="I32" s="3235" t="s">
        <v>1625</v>
      </c>
      <c r="J32" s="2741" t="s">
        <v>1626</v>
      </c>
      <c r="K32" s="2583">
        <v>200</v>
      </c>
      <c r="L32" s="2583">
        <v>200</v>
      </c>
      <c r="M32" s="2583" t="s">
        <v>1627</v>
      </c>
      <c r="N32" s="3224" t="s">
        <v>1628</v>
      </c>
      <c r="O32" s="2908" t="s">
        <v>1629</v>
      </c>
      <c r="P32" s="3226">
        <f>SUM(U32:U52)/Q32</f>
        <v>0.5944374890154972</v>
      </c>
      <c r="Q32" s="3229">
        <f>SUM(U32:U77)</f>
        <v>522730761</v>
      </c>
      <c r="R32" s="2741" t="s">
        <v>1630</v>
      </c>
      <c r="S32" s="3243" t="s">
        <v>1631</v>
      </c>
      <c r="T32" s="2892" t="s">
        <v>1632</v>
      </c>
      <c r="U32" s="2422">
        <v>12000000</v>
      </c>
      <c r="V32" s="2431">
        <f>1226667</f>
        <v>1226667</v>
      </c>
      <c r="W32" s="2431">
        <f>1226667</f>
        <v>1226667</v>
      </c>
      <c r="X32" s="2085">
        <v>88</v>
      </c>
      <c r="Y32" s="2211" t="s">
        <v>1633</v>
      </c>
      <c r="Z32" s="3249">
        <v>1018</v>
      </c>
      <c r="AA32" s="3241">
        <v>1018</v>
      </c>
      <c r="AB32" s="3241">
        <v>982</v>
      </c>
      <c r="AC32" s="3241">
        <v>982</v>
      </c>
      <c r="AD32" s="3241">
        <v>466</v>
      </c>
      <c r="AE32" s="3241">
        <v>0</v>
      </c>
      <c r="AF32" s="3241">
        <v>152</v>
      </c>
      <c r="AG32" s="3241">
        <v>0</v>
      </c>
      <c r="AH32" s="3241">
        <v>1063</v>
      </c>
      <c r="AI32" s="3241">
        <v>0</v>
      </c>
      <c r="AJ32" s="3241">
        <v>319</v>
      </c>
      <c r="AK32" s="3241">
        <v>0</v>
      </c>
      <c r="AL32" s="3241">
        <v>0</v>
      </c>
      <c r="AM32" s="3241"/>
      <c r="AN32" s="3241">
        <v>0</v>
      </c>
      <c r="AO32" s="3241"/>
      <c r="AP32" s="3241">
        <v>0</v>
      </c>
      <c r="AQ32" s="3241"/>
      <c r="AR32" s="3241">
        <v>0</v>
      </c>
      <c r="AS32" s="3241"/>
      <c r="AT32" s="3241">
        <v>0</v>
      </c>
      <c r="AU32" s="3241"/>
      <c r="AV32" s="3241">
        <v>0</v>
      </c>
      <c r="AW32" s="3241"/>
      <c r="AX32" s="3241">
        <v>0</v>
      </c>
      <c r="AY32" s="3241"/>
      <c r="AZ32" s="3241">
        <v>0</v>
      </c>
      <c r="BA32" s="3241"/>
      <c r="BB32" s="3241">
        <v>0</v>
      </c>
      <c r="BC32" s="3241"/>
      <c r="BD32" s="3241">
        <f>+Z32+AB32</f>
        <v>2000</v>
      </c>
      <c r="BE32" s="3241">
        <f>+AA32+AC32</f>
        <v>2000</v>
      </c>
      <c r="BF32" s="3175">
        <v>10</v>
      </c>
      <c r="BG32" s="3258">
        <f>SUM(V32:V77)</f>
        <v>181023648</v>
      </c>
      <c r="BH32" s="3258">
        <f>SUM(W32:W77)</f>
        <v>181023648</v>
      </c>
      <c r="BI32" s="3181">
        <f>BH32/BG32</f>
        <v>1</v>
      </c>
      <c r="BJ32" s="3197" t="s">
        <v>301</v>
      </c>
      <c r="BK32" s="3199" t="s">
        <v>1634</v>
      </c>
      <c r="BL32" s="3171">
        <v>44056</v>
      </c>
      <c r="BM32" s="3171">
        <v>44186</v>
      </c>
      <c r="BN32" s="3171">
        <v>44195</v>
      </c>
      <c r="BO32" s="3171">
        <v>44195</v>
      </c>
      <c r="BP32" s="3175" t="s">
        <v>1585</v>
      </c>
    </row>
    <row r="33" spans="1:68" s="1555" customFormat="1" ht="33" customHeight="1" x14ac:dyDescent="0.2">
      <c r="A33" s="2068"/>
      <c r="B33" s="2068"/>
      <c r="C33" s="2068"/>
      <c r="D33" s="1908"/>
      <c r="E33" s="2056"/>
      <c r="F33" s="1898"/>
      <c r="G33" s="3233"/>
      <c r="H33" s="3233"/>
      <c r="I33" s="3236"/>
      <c r="J33" s="2742"/>
      <c r="K33" s="2584"/>
      <c r="L33" s="2584"/>
      <c r="M33" s="2584"/>
      <c r="N33" s="3225"/>
      <c r="O33" s="2909"/>
      <c r="P33" s="3227"/>
      <c r="Q33" s="3230"/>
      <c r="R33" s="2742"/>
      <c r="S33" s="3244"/>
      <c r="T33" s="3248"/>
      <c r="U33" s="2422">
        <v>12000000</v>
      </c>
      <c r="V33" s="2421"/>
      <c r="W33" s="2421"/>
      <c r="X33" s="2060">
        <v>20</v>
      </c>
      <c r="Y33" s="2211" t="s">
        <v>85</v>
      </c>
      <c r="Z33" s="3250"/>
      <c r="AA33" s="3242"/>
      <c r="AB33" s="3242"/>
      <c r="AC33" s="3242"/>
      <c r="AD33" s="3242"/>
      <c r="AE33" s="3242"/>
      <c r="AF33" s="3242"/>
      <c r="AG33" s="3242"/>
      <c r="AH33" s="3242"/>
      <c r="AI33" s="3242"/>
      <c r="AJ33" s="3242"/>
      <c r="AK33" s="3242"/>
      <c r="AL33" s="3242"/>
      <c r="AM33" s="3242"/>
      <c r="AN33" s="3242"/>
      <c r="AO33" s="3242"/>
      <c r="AP33" s="3242"/>
      <c r="AQ33" s="3242"/>
      <c r="AR33" s="3242"/>
      <c r="AS33" s="3242"/>
      <c r="AT33" s="3242"/>
      <c r="AU33" s="3242"/>
      <c r="AV33" s="3242"/>
      <c r="AW33" s="3242"/>
      <c r="AX33" s="3242"/>
      <c r="AY33" s="3242"/>
      <c r="AZ33" s="3242"/>
      <c r="BA33" s="3242"/>
      <c r="BB33" s="3242"/>
      <c r="BC33" s="3242"/>
      <c r="BD33" s="3242"/>
      <c r="BE33" s="3242"/>
      <c r="BF33" s="3176"/>
      <c r="BG33" s="3259"/>
      <c r="BH33" s="3259"/>
      <c r="BI33" s="3182"/>
      <c r="BJ33" s="3198"/>
      <c r="BK33" s="3200"/>
      <c r="BL33" s="3172"/>
      <c r="BM33" s="3172"/>
      <c r="BN33" s="3172"/>
      <c r="BO33" s="3172"/>
      <c r="BP33" s="3176"/>
    </row>
    <row r="34" spans="1:68" s="1555" customFormat="1" ht="35.25" customHeight="1" x14ac:dyDescent="0.2">
      <c r="A34" s="2068"/>
      <c r="B34" s="2068"/>
      <c r="C34" s="2068"/>
      <c r="D34" s="1908"/>
      <c r="E34" s="2056"/>
      <c r="F34" s="1898"/>
      <c r="G34" s="3233"/>
      <c r="H34" s="3233"/>
      <c r="I34" s="3236"/>
      <c r="J34" s="2742"/>
      <c r="K34" s="2584"/>
      <c r="L34" s="2584"/>
      <c r="M34" s="2584"/>
      <c r="N34" s="3225"/>
      <c r="O34" s="2909"/>
      <c r="P34" s="3227"/>
      <c r="Q34" s="3230"/>
      <c r="R34" s="2742"/>
      <c r="S34" s="3244"/>
      <c r="T34" s="2892" t="s">
        <v>1635</v>
      </c>
      <c r="U34" s="2422">
        <v>14000000</v>
      </c>
      <c r="V34" s="2421">
        <v>2618317</v>
      </c>
      <c r="W34" s="2421">
        <v>2618317</v>
      </c>
      <c r="X34" s="2060">
        <v>88</v>
      </c>
      <c r="Y34" s="2211" t="s">
        <v>411</v>
      </c>
      <c r="Z34" s="3250"/>
      <c r="AA34" s="3242"/>
      <c r="AB34" s="3242"/>
      <c r="AC34" s="3242"/>
      <c r="AD34" s="3242"/>
      <c r="AE34" s="3242"/>
      <c r="AF34" s="3242"/>
      <c r="AG34" s="3242"/>
      <c r="AH34" s="3242"/>
      <c r="AI34" s="3242"/>
      <c r="AJ34" s="3242"/>
      <c r="AK34" s="3242"/>
      <c r="AL34" s="3242"/>
      <c r="AM34" s="3242"/>
      <c r="AN34" s="3242"/>
      <c r="AO34" s="3242"/>
      <c r="AP34" s="3242"/>
      <c r="AQ34" s="3242"/>
      <c r="AR34" s="3242"/>
      <c r="AS34" s="3242"/>
      <c r="AT34" s="3242"/>
      <c r="AU34" s="3242"/>
      <c r="AV34" s="3242"/>
      <c r="AW34" s="3242"/>
      <c r="AX34" s="3242"/>
      <c r="AY34" s="3242"/>
      <c r="AZ34" s="3242"/>
      <c r="BA34" s="3242"/>
      <c r="BB34" s="3242"/>
      <c r="BC34" s="3242"/>
      <c r="BD34" s="3242"/>
      <c r="BE34" s="3242"/>
      <c r="BF34" s="3176"/>
      <c r="BG34" s="3259"/>
      <c r="BH34" s="3259"/>
      <c r="BI34" s="3182" t="e">
        <f t="shared" ref="BI34:BI77" si="4">BH34/BG34</f>
        <v>#DIV/0!</v>
      </c>
      <c r="BJ34" s="3198"/>
      <c r="BK34" s="3200"/>
      <c r="BL34" s="3172"/>
      <c r="BM34" s="3172"/>
      <c r="BN34" s="3172"/>
      <c r="BO34" s="3172"/>
      <c r="BP34" s="3176"/>
    </row>
    <row r="35" spans="1:68" s="1555" customFormat="1" ht="33" customHeight="1" x14ac:dyDescent="0.2">
      <c r="A35" s="2068"/>
      <c r="B35" s="2068"/>
      <c r="C35" s="2068"/>
      <c r="D35" s="1908"/>
      <c r="E35" s="2056"/>
      <c r="F35" s="1898"/>
      <c r="G35" s="3233"/>
      <c r="H35" s="3233"/>
      <c r="I35" s="3236"/>
      <c r="J35" s="3236"/>
      <c r="K35" s="2722"/>
      <c r="L35" s="2722"/>
      <c r="M35" s="3222"/>
      <c r="N35" s="3225"/>
      <c r="O35" s="2909"/>
      <c r="P35" s="3182"/>
      <c r="Q35" s="3230"/>
      <c r="R35" s="3236"/>
      <c r="S35" s="3245"/>
      <c r="T35" s="3248"/>
      <c r="U35" s="2422">
        <f>2700000+17000000</f>
        <v>19700000</v>
      </c>
      <c r="V35" s="2421">
        <f>2700000</f>
        <v>2700000</v>
      </c>
      <c r="W35" s="2421">
        <f>2700000</f>
        <v>2700000</v>
      </c>
      <c r="X35" s="2060">
        <v>20</v>
      </c>
      <c r="Y35" s="2211" t="s">
        <v>85</v>
      </c>
      <c r="Z35" s="3250"/>
      <c r="AA35" s="3242"/>
      <c r="AB35" s="3242"/>
      <c r="AC35" s="3242"/>
      <c r="AD35" s="3242"/>
      <c r="AE35" s="3242"/>
      <c r="AF35" s="3242"/>
      <c r="AG35" s="3242"/>
      <c r="AH35" s="3242"/>
      <c r="AI35" s="3242"/>
      <c r="AJ35" s="3242"/>
      <c r="AK35" s="3242"/>
      <c r="AL35" s="3242"/>
      <c r="AM35" s="3242"/>
      <c r="AN35" s="3242"/>
      <c r="AO35" s="3242"/>
      <c r="AP35" s="3242"/>
      <c r="AQ35" s="3242"/>
      <c r="AR35" s="3242"/>
      <c r="AS35" s="3242"/>
      <c r="AT35" s="3242"/>
      <c r="AU35" s="3242"/>
      <c r="AV35" s="3242"/>
      <c r="AW35" s="3242"/>
      <c r="AX35" s="3242"/>
      <c r="AY35" s="3242"/>
      <c r="AZ35" s="3242"/>
      <c r="BA35" s="3242"/>
      <c r="BB35" s="3242"/>
      <c r="BC35" s="3242"/>
      <c r="BD35" s="3242"/>
      <c r="BE35" s="3242"/>
      <c r="BF35" s="3176"/>
      <c r="BG35" s="3259"/>
      <c r="BH35" s="3259"/>
      <c r="BI35" s="3182" t="e">
        <f t="shared" si="4"/>
        <v>#DIV/0!</v>
      </c>
      <c r="BJ35" s="3198"/>
      <c r="BK35" s="3200"/>
      <c r="BL35" s="3172"/>
      <c r="BM35" s="3172"/>
      <c r="BN35" s="3172"/>
      <c r="BO35" s="3172"/>
      <c r="BP35" s="3176"/>
    </row>
    <row r="36" spans="1:68" s="1555" customFormat="1" ht="39.75" customHeight="1" x14ac:dyDescent="0.2">
      <c r="A36" s="2068"/>
      <c r="B36" s="2068"/>
      <c r="C36" s="2068"/>
      <c r="D36" s="1908"/>
      <c r="E36" s="2056"/>
      <c r="F36" s="1898"/>
      <c r="G36" s="3233"/>
      <c r="H36" s="3233"/>
      <c r="I36" s="3236"/>
      <c r="J36" s="3236"/>
      <c r="K36" s="2722"/>
      <c r="L36" s="2722"/>
      <c r="M36" s="3222"/>
      <c r="N36" s="3225"/>
      <c r="O36" s="2909"/>
      <c r="P36" s="3182"/>
      <c r="Q36" s="3230"/>
      <c r="R36" s="3236"/>
      <c r="S36" s="3245"/>
      <c r="T36" s="2892" t="s">
        <v>1636</v>
      </c>
      <c r="U36" s="2422">
        <v>27000000</v>
      </c>
      <c r="V36" s="2421">
        <v>8821333</v>
      </c>
      <c r="W36" s="2421">
        <v>8821333</v>
      </c>
      <c r="X36" s="2060">
        <v>88</v>
      </c>
      <c r="Y36" s="2211" t="s">
        <v>411</v>
      </c>
      <c r="Z36" s="3250"/>
      <c r="AA36" s="3242"/>
      <c r="AB36" s="3242"/>
      <c r="AC36" s="3242"/>
      <c r="AD36" s="3242"/>
      <c r="AE36" s="3242"/>
      <c r="AF36" s="3242"/>
      <c r="AG36" s="3242"/>
      <c r="AH36" s="3242"/>
      <c r="AI36" s="3242"/>
      <c r="AJ36" s="3242"/>
      <c r="AK36" s="3242"/>
      <c r="AL36" s="3242"/>
      <c r="AM36" s="3242"/>
      <c r="AN36" s="3242"/>
      <c r="AO36" s="3242"/>
      <c r="AP36" s="3242"/>
      <c r="AQ36" s="3242"/>
      <c r="AR36" s="3242"/>
      <c r="AS36" s="3242"/>
      <c r="AT36" s="3242"/>
      <c r="AU36" s="3242"/>
      <c r="AV36" s="3242"/>
      <c r="AW36" s="3242"/>
      <c r="AX36" s="3242"/>
      <c r="AY36" s="3242"/>
      <c r="AZ36" s="3242"/>
      <c r="BA36" s="3242"/>
      <c r="BB36" s="3242"/>
      <c r="BC36" s="3242"/>
      <c r="BD36" s="3242"/>
      <c r="BE36" s="3242"/>
      <c r="BF36" s="3176"/>
      <c r="BG36" s="3259"/>
      <c r="BH36" s="3259"/>
      <c r="BI36" s="3182"/>
      <c r="BJ36" s="3198"/>
      <c r="BK36" s="3200"/>
      <c r="BL36" s="3172"/>
      <c r="BM36" s="3172"/>
      <c r="BN36" s="3172"/>
      <c r="BO36" s="3172"/>
      <c r="BP36" s="3176"/>
    </row>
    <row r="37" spans="1:68" s="1555" customFormat="1" ht="47.25" customHeight="1" x14ac:dyDescent="0.2">
      <c r="A37" s="2068"/>
      <c r="B37" s="2068"/>
      <c r="C37" s="2068"/>
      <c r="D37" s="1908"/>
      <c r="E37" s="2056"/>
      <c r="F37" s="1898"/>
      <c r="G37" s="3233"/>
      <c r="H37" s="3233"/>
      <c r="I37" s="3236"/>
      <c r="J37" s="3236"/>
      <c r="K37" s="2722"/>
      <c r="L37" s="2722"/>
      <c r="M37" s="3222"/>
      <c r="N37" s="3225"/>
      <c r="O37" s="2909"/>
      <c r="P37" s="3182"/>
      <c r="Q37" s="3230"/>
      <c r="R37" s="3236"/>
      <c r="S37" s="3245"/>
      <c r="T37" s="3248"/>
      <c r="U37" s="2422">
        <f>6350000+27000000</f>
        <v>33350000</v>
      </c>
      <c r="V37" s="2421">
        <v>7261000</v>
      </c>
      <c r="W37" s="2421">
        <v>7261000</v>
      </c>
      <c r="X37" s="2060">
        <v>20</v>
      </c>
      <c r="Y37" s="2211" t="s">
        <v>85</v>
      </c>
      <c r="Z37" s="3250"/>
      <c r="AA37" s="3242"/>
      <c r="AB37" s="3242"/>
      <c r="AC37" s="3242"/>
      <c r="AD37" s="3242"/>
      <c r="AE37" s="3242"/>
      <c r="AF37" s="3242"/>
      <c r="AG37" s="3242"/>
      <c r="AH37" s="3242"/>
      <c r="AI37" s="3242"/>
      <c r="AJ37" s="3242"/>
      <c r="AK37" s="3242"/>
      <c r="AL37" s="3242"/>
      <c r="AM37" s="3242"/>
      <c r="AN37" s="3242"/>
      <c r="AO37" s="3242"/>
      <c r="AP37" s="3242"/>
      <c r="AQ37" s="3242"/>
      <c r="AR37" s="3242"/>
      <c r="AS37" s="3242"/>
      <c r="AT37" s="3242"/>
      <c r="AU37" s="3242"/>
      <c r="AV37" s="3242"/>
      <c r="AW37" s="3242"/>
      <c r="AX37" s="3242"/>
      <c r="AY37" s="3242"/>
      <c r="AZ37" s="3242"/>
      <c r="BA37" s="3242"/>
      <c r="BB37" s="3242"/>
      <c r="BC37" s="3242"/>
      <c r="BD37" s="3242"/>
      <c r="BE37" s="3242"/>
      <c r="BF37" s="3176"/>
      <c r="BG37" s="3259"/>
      <c r="BH37" s="3259"/>
      <c r="BI37" s="3182" t="e">
        <f t="shared" si="4"/>
        <v>#DIV/0!</v>
      </c>
      <c r="BJ37" s="3198"/>
      <c r="BK37" s="3200"/>
      <c r="BL37" s="3172"/>
      <c r="BM37" s="3172"/>
      <c r="BN37" s="3172"/>
      <c r="BO37" s="3172"/>
      <c r="BP37" s="3176"/>
    </row>
    <row r="38" spans="1:68" s="1555" customFormat="1" ht="40.5" customHeight="1" x14ac:dyDescent="0.2">
      <c r="A38" s="2068"/>
      <c r="B38" s="2068"/>
      <c r="C38" s="2068"/>
      <c r="D38" s="1908"/>
      <c r="E38" s="2056"/>
      <c r="F38" s="1898"/>
      <c r="G38" s="3233"/>
      <c r="H38" s="3233"/>
      <c r="I38" s="3236"/>
      <c r="J38" s="3236"/>
      <c r="K38" s="2722"/>
      <c r="L38" s="2722"/>
      <c r="M38" s="3222"/>
      <c r="N38" s="3225"/>
      <c r="O38" s="2909"/>
      <c r="P38" s="3182"/>
      <c r="Q38" s="3230"/>
      <c r="R38" s="3236"/>
      <c r="S38" s="3245"/>
      <c r="T38" s="2892" t="s">
        <v>1637</v>
      </c>
      <c r="U38" s="2422">
        <v>12000000</v>
      </c>
      <c r="V38" s="2421">
        <v>11144044</v>
      </c>
      <c r="W38" s="2421">
        <v>11144044</v>
      </c>
      <c r="X38" s="2060">
        <v>88</v>
      </c>
      <c r="Y38" s="2211" t="s">
        <v>411</v>
      </c>
      <c r="Z38" s="3250"/>
      <c r="AA38" s="3242"/>
      <c r="AB38" s="3242"/>
      <c r="AC38" s="3242"/>
      <c r="AD38" s="3242"/>
      <c r="AE38" s="3242"/>
      <c r="AF38" s="3242"/>
      <c r="AG38" s="3242"/>
      <c r="AH38" s="3242"/>
      <c r="AI38" s="3242"/>
      <c r="AJ38" s="3242"/>
      <c r="AK38" s="3242"/>
      <c r="AL38" s="3242"/>
      <c r="AM38" s="3242"/>
      <c r="AN38" s="3242"/>
      <c r="AO38" s="3242"/>
      <c r="AP38" s="3242"/>
      <c r="AQ38" s="3242"/>
      <c r="AR38" s="3242"/>
      <c r="AS38" s="3242"/>
      <c r="AT38" s="3242"/>
      <c r="AU38" s="3242"/>
      <c r="AV38" s="3242"/>
      <c r="AW38" s="3242"/>
      <c r="AX38" s="3242"/>
      <c r="AY38" s="3242"/>
      <c r="AZ38" s="3242"/>
      <c r="BA38" s="3242"/>
      <c r="BB38" s="3242"/>
      <c r="BC38" s="3242"/>
      <c r="BD38" s="3242"/>
      <c r="BE38" s="3242"/>
      <c r="BF38" s="3176"/>
      <c r="BG38" s="3259"/>
      <c r="BH38" s="3259"/>
      <c r="BI38" s="3182" t="e">
        <f t="shared" si="4"/>
        <v>#DIV/0!</v>
      </c>
      <c r="BJ38" s="3198"/>
      <c r="BK38" s="3200"/>
      <c r="BL38" s="3172"/>
      <c r="BM38" s="3172"/>
      <c r="BN38" s="3172"/>
      <c r="BO38" s="3172"/>
      <c r="BP38" s="3176"/>
    </row>
    <row r="39" spans="1:68" s="1555" customFormat="1" ht="45.75" customHeight="1" x14ac:dyDescent="0.2">
      <c r="A39" s="2068"/>
      <c r="B39" s="2068"/>
      <c r="C39" s="2068"/>
      <c r="D39" s="1908"/>
      <c r="E39" s="2056"/>
      <c r="F39" s="1898"/>
      <c r="G39" s="3233"/>
      <c r="H39" s="3233"/>
      <c r="I39" s="3236"/>
      <c r="J39" s="3236"/>
      <c r="K39" s="2722"/>
      <c r="L39" s="2722"/>
      <c r="M39" s="3222"/>
      <c r="N39" s="3225"/>
      <c r="O39" s="2909"/>
      <c r="P39" s="3182"/>
      <c r="Q39" s="3230"/>
      <c r="R39" s="3236"/>
      <c r="S39" s="3245"/>
      <c r="T39" s="2893"/>
      <c r="U39" s="2422">
        <f>2800000+12000000</f>
        <v>14800000</v>
      </c>
      <c r="V39" s="2421">
        <v>7933333</v>
      </c>
      <c r="W39" s="2421">
        <v>7933333</v>
      </c>
      <c r="X39" s="2060">
        <v>20</v>
      </c>
      <c r="Y39" s="2211" t="s">
        <v>85</v>
      </c>
      <c r="Z39" s="3250"/>
      <c r="AA39" s="3242"/>
      <c r="AB39" s="3242"/>
      <c r="AC39" s="3242"/>
      <c r="AD39" s="3242"/>
      <c r="AE39" s="3242"/>
      <c r="AF39" s="3242"/>
      <c r="AG39" s="3242"/>
      <c r="AH39" s="3242"/>
      <c r="AI39" s="3242"/>
      <c r="AJ39" s="3242"/>
      <c r="AK39" s="3242"/>
      <c r="AL39" s="3242"/>
      <c r="AM39" s="3242"/>
      <c r="AN39" s="3242"/>
      <c r="AO39" s="3242"/>
      <c r="AP39" s="3242"/>
      <c r="AQ39" s="3242"/>
      <c r="AR39" s="3242"/>
      <c r="AS39" s="3242"/>
      <c r="AT39" s="3242"/>
      <c r="AU39" s="3242"/>
      <c r="AV39" s="3242"/>
      <c r="AW39" s="3242"/>
      <c r="AX39" s="3242"/>
      <c r="AY39" s="3242"/>
      <c r="AZ39" s="3242"/>
      <c r="BA39" s="3242"/>
      <c r="BB39" s="3242"/>
      <c r="BC39" s="3242"/>
      <c r="BD39" s="3242"/>
      <c r="BE39" s="3242"/>
      <c r="BF39" s="3176"/>
      <c r="BG39" s="3259"/>
      <c r="BH39" s="3259"/>
      <c r="BI39" s="3182"/>
      <c r="BJ39" s="3198"/>
      <c r="BK39" s="3200"/>
      <c r="BL39" s="3172"/>
      <c r="BM39" s="3172"/>
      <c r="BN39" s="3172"/>
      <c r="BO39" s="3172"/>
      <c r="BP39" s="3176"/>
    </row>
    <row r="40" spans="1:68" s="1555" customFormat="1" ht="50.25" customHeight="1" x14ac:dyDescent="0.2">
      <c r="A40" s="2068"/>
      <c r="B40" s="2068"/>
      <c r="C40" s="2068"/>
      <c r="D40" s="1908"/>
      <c r="E40" s="2056"/>
      <c r="F40" s="1898"/>
      <c r="G40" s="3233"/>
      <c r="H40" s="3233"/>
      <c r="I40" s="3236"/>
      <c r="J40" s="3236"/>
      <c r="K40" s="2722"/>
      <c r="L40" s="2722"/>
      <c r="M40" s="2722"/>
      <c r="N40" s="3225"/>
      <c r="O40" s="2909"/>
      <c r="P40" s="3182"/>
      <c r="Q40" s="3230"/>
      <c r="R40" s="3236"/>
      <c r="S40" s="3246"/>
      <c r="T40" s="3257" t="s">
        <v>1638</v>
      </c>
      <c r="U40" s="2422">
        <v>16200000</v>
      </c>
      <c r="V40" s="2421">
        <v>4033295</v>
      </c>
      <c r="W40" s="2421">
        <v>4033295</v>
      </c>
      <c r="X40" s="2060">
        <v>88</v>
      </c>
      <c r="Y40" s="2211" t="s">
        <v>411</v>
      </c>
      <c r="Z40" s="3250"/>
      <c r="AA40" s="3242"/>
      <c r="AB40" s="3242"/>
      <c r="AC40" s="3242"/>
      <c r="AD40" s="3242"/>
      <c r="AE40" s="3242"/>
      <c r="AF40" s="3242"/>
      <c r="AG40" s="3242"/>
      <c r="AH40" s="3242"/>
      <c r="AI40" s="3242"/>
      <c r="AJ40" s="3242"/>
      <c r="AK40" s="3242"/>
      <c r="AL40" s="3242"/>
      <c r="AM40" s="3242"/>
      <c r="AN40" s="3242"/>
      <c r="AO40" s="3242"/>
      <c r="AP40" s="3242"/>
      <c r="AQ40" s="3242"/>
      <c r="AR40" s="3242"/>
      <c r="AS40" s="3242"/>
      <c r="AT40" s="3242"/>
      <c r="AU40" s="3242"/>
      <c r="AV40" s="3242"/>
      <c r="AW40" s="3242"/>
      <c r="AX40" s="3242"/>
      <c r="AY40" s="3242"/>
      <c r="AZ40" s="3242"/>
      <c r="BA40" s="3242"/>
      <c r="BB40" s="3242"/>
      <c r="BC40" s="3242"/>
      <c r="BD40" s="3242"/>
      <c r="BE40" s="3242"/>
      <c r="BF40" s="3176"/>
      <c r="BG40" s="3259"/>
      <c r="BH40" s="3259"/>
      <c r="BI40" s="3182" t="e">
        <f t="shared" si="4"/>
        <v>#DIV/0!</v>
      </c>
      <c r="BJ40" s="3198"/>
      <c r="BK40" s="3200"/>
      <c r="BL40" s="3172"/>
      <c r="BM40" s="3172"/>
      <c r="BN40" s="3172"/>
      <c r="BO40" s="3172"/>
      <c r="BP40" s="3176"/>
    </row>
    <row r="41" spans="1:68" s="1555" customFormat="1" ht="34.5" customHeight="1" x14ac:dyDescent="0.2">
      <c r="A41" s="2068"/>
      <c r="B41" s="2068"/>
      <c r="C41" s="2068"/>
      <c r="D41" s="1908"/>
      <c r="E41" s="2056"/>
      <c r="F41" s="1898"/>
      <c r="G41" s="3233"/>
      <c r="H41" s="3233"/>
      <c r="I41" s="3236"/>
      <c r="J41" s="3236"/>
      <c r="K41" s="2722"/>
      <c r="L41" s="2722"/>
      <c r="M41" s="2722"/>
      <c r="N41" s="3225"/>
      <c r="O41" s="2909"/>
      <c r="P41" s="3182"/>
      <c r="Q41" s="3230"/>
      <c r="R41" s="3236"/>
      <c r="S41" s="3246"/>
      <c r="T41" s="3257"/>
      <c r="U41" s="2422">
        <v>31060761</v>
      </c>
      <c r="V41" s="2421">
        <v>1323667</v>
      </c>
      <c r="W41" s="2421">
        <v>1323667</v>
      </c>
      <c r="X41" s="2060">
        <v>20</v>
      </c>
      <c r="Y41" s="2211" t="s">
        <v>85</v>
      </c>
      <c r="Z41" s="3250"/>
      <c r="AA41" s="3242"/>
      <c r="AB41" s="3242"/>
      <c r="AC41" s="3242"/>
      <c r="AD41" s="3242"/>
      <c r="AE41" s="3242"/>
      <c r="AF41" s="3242"/>
      <c r="AG41" s="3242"/>
      <c r="AH41" s="3242"/>
      <c r="AI41" s="3242"/>
      <c r="AJ41" s="3242"/>
      <c r="AK41" s="3242"/>
      <c r="AL41" s="3242"/>
      <c r="AM41" s="3242"/>
      <c r="AN41" s="3242"/>
      <c r="AO41" s="3242"/>
      <c r="AP41" s="3242"/>
      <c r="AQ41" s="3242"/>
      <c r="AR41" s="3242"/>
      <c r="AS41" s="3242"/>
      <c r="AT41" s="3242"/>
      <c r="AU41" s="3242"/>
      <c r="AV41" s="3242"/>
      <c r="AW41" s="3242"/>
      <c r="AX41" s="3242"/>
      <c r="AY41" s="3242"/>
      <c r="AZ41" s="3242"/>
      <c r="BA41" s="3242"/>
      <c r="BB41" s="3242"/>
      <c r="BC41" s="3242"/>
      <c r="BD41" s="3242"/>
      <c r="BE41" s="3242"/>
      <c r="BF41" s="3176"/>
      <c r="BG41" s="3259"/>
      <c r="BH41" s="3259"/>
      <c r="BI41" s="3182" t="e">
        <f t="shared" si="4"/>
        <v>#DIV/0!</v>
      </c>
      <c r="BJ41" s="3198"/>
      <c r="BK41" s="3200"/>
      <c r="BL41" s="3172"/>
      <c r="BM41" s="3172"/>
      <c r="BN41" s="3172"/>
      <c r="BO41" s="3172"/>
      <c r="BP41" s="3176"/>
    </row>
    <row r="42" spans="1:68" s="1555" customFormat="1" ht="42.75" customHeight="1" x14ac:dyDescent="0.2">
      <c r="A42" s="2068"/>
      <c r="B42" s="2068"/>
      <c r="C42" s="2068"/>
      <c r="D42" s="1908"/>
      <c r="E42" s="2056"/>
      <c r="F42" s="1898"/>
      <c r="G42" s="3233"/>
      <c r="H42" s="3233"/>
      <c r="I42" s="3236"/>
      <c r="J42" s="3236"/>
      <c r="K42" s="2722"/>
      <c r="L42" s="2722"/>
      <c r="M42" s="2722"/>
      <c r="N42" s="3225"/>
      <c r="O42" s="2909"/>
      <c r="P42" s="3182"/>
      <c r="Q42" s="3230"/>
      <c r="R42" s="3236"/>
      <c r="S42" s="3246"/>
      <c r="T42" s="3257" t="s">
        <v>1639</v>
      </c>
      <c r="U42" s="2422">
        <v>2500000</v>
      </c>
      <c r="V42" s="2421">
        <v>2500000</v>
      </c>
      <c r="W42" s="2421">
        <v>2500000</v>
      </c>
      <c r="X42" s="2060">
        <v>88</v>
      </c>
      <c r="Y42" s="2211" t="s">
        <v>411</v>
      </c>
      <c r="Z42" s="3250"/>
      <c r="AA42" s="3242"/>
      <c r="AB42" s="3242"/>
      <c r="AC42" s="3242"/>
      <c r="AD42" s="3242"/>
      <c r="AE42" s="3242"/>
      <c r="AF42" s="3242"/>
      <c r="AG42" s="3242"/>
      <c r="AH42" s="3242"/>
      <c r="AI42" s="3242"/>
      <c r="AJ42" s="3242"/>
      <c r="AK42" s="3242"/>
      <c r="AL42" s="3242"/>
      <c r="AM42" s="3242"/>
      <c r="AN42" s="3242"/>
      <c r="AO42" s="3242"/>
      <c r="AP42" s="3242"/>
      <c r="AQ42" s="3242"/>
      <c r="AR42" s="3242"/>
      <c r="AS42" s="3242"/>
      <c r="AT42" s="3242"/>
      <c r="AU42" s="3242"/>
      <c r="AV42" s="3242"/>
      <c r="AW42" s="3242"/>
      <c r="AX42" s="3242"/>
      <c r="AY42" s="3242"/>
      <c r="AZ42" s="3242"/>
      <c r="BA42" s="3242"/>
      <c r="BB42" s="3242"/>
      <c r="BC42" s="3242"/>
      <c r="BD42" s="3242"/>
      <c r="BE42" s="3242"/>
      <c r="BF42" s="3176"/>
      <c r="BG42" s="3259"/>
      <c r="BH42" s="3259"/>
      <c r="BI42" s="3182"/>
      <c r="BJ42" s="3198"/>
      <c r="BK42" s="3200"/>
      <c r="BL42" s="3172"/>
      <c r="BM42" s="3172"/>
      <c r="BN42" s="3172"/>
      <c r="BO42" s="3172"/>
      <c r="BP42" s="3176"/>
    </row>
    <row r="43" spans="1:68" s="1555" customFormat="1" ht="50.25" customHeight="1" x14ac:dyDescent="0.2">
      <c r="A43" s="2068"/>
      <c r="B43" s="2068"/>
      <c r="C43" s="2068"/>
      <c r="D43" s="1908"/>
      <c r="E43" s="2056"/>
      <c r="F43" s="1898"/>
      <c r="G43" s="3233"/>
      <c r="H43" s="3233"/>
      <c r="I43" s="3236"/>
      <c r="J43" s="3236"/>
      <c r="K43" s="2722"/>
      <c r="L43" s="2722"/>
      <c r="M43" s="2722"/>
      <c r="N43" s="3225"/>
      <c r="O43" s="2909"/>
      <c r="P43" s="3182"/>
      <c r="Q43" s="3230"/>
      <c r="R43" s="3236"/>
      <c r="S43" s="3246"/>
      <c r="T43" s="3257"/>
      <c r="U43" s="2422">
        <v>5000000</v>
      </c>
      <c r="V43" s="2421">
        <v>5000000</v>
      </c>
      <c r="W43" s="2421">
        <v>5000000</v>
      </c>
      <c r="X43" s="2060">
        <v>20</v>
      </c>
      <c r="Y43" s="2211" t="s">
        <v>85</v>
      </c>
      <c r="Z43" s="3250"/>
      <c r="AA43" s="3242"/>
      <c r="AB43" s="3242"/>
      <c r="AC43" s="3242"/>
      <c r="AD43" s="3242"/>
      <c r="AE43" s="3242"/>
      <c r="AF43" s="3242"/>
      <c r="AG43" s="3242"/>
      <c r="AH43" s="3242"/>
      <c r="AI43" s="3242"/>
      <c r="AJ43" s="3242"/>
      <c r="AK43" s="3242"/>
      <c r="AL43" s="3242"/>
      <c r="AM43" s="3242"/>
      <c r="AN43" s="3242"/>
      <c r="AO43" s="3242"/>
      <c r="AP43" s="3242"/>
      <c r="AQ43" s="3242"/>
      <c r="AR43" s="3242"/>
      <c r="AS43" s="3242"/>
      <c r="AT43" s="3242"/>
      <c r="AU43" s="3242"/>
      <c r="AV43" s="3242"/>
      <c r="AW43" s="3242"/>
      <c r="AX43" s="3242"/>
      <c r="AY43" s="3242"/>
      <c r="AZ43" s="3242"/>
      <c r="BA43" s="3242"/>
      <c r="BB43" s="3242"/>
      <c r="BC43" s="3242"/>
      <c r="BD43" s="3242"/>
      <c r="BE43" s="3242"/>
      <c r="BF43" s="3176"/>
      <c r="BG43" s="3259"/>
      <c r="BH43" s="3259"/>
      <c r="BI43" s="3182" t="e">
        <f t="shared" si="4"/>
        <v>#DIV/0!</v>
      </c>
      <c r="BJ43" s="3198"/>
      <c r="BK43" s="3200"/>
      <c r="BL43" s="3172"/>
      <c r="BM43" s="3172"/>
      <c r="BN43" s="3172"/>
      <c r="BO43" s="3172"/>
      <c r="BP43" s="3176"/>
    </row>
    <row r="44" spans="1:68" s="1555" customFormat="1" ht="36.75" customHeight="1" x14ac:dyDescent="0.2">
      <c r="A44" s="2068"/>
      <c r="B44" s="2068"/>
      <c r="C44" s="2068"/>
      <c r="D44" s="1908"/>
      <c r="E44" s="2056"/>
      <c r="F44" s="1898"/>
      <c r="G44" s="3233"/>
      <c r="H44" s="3233"/>
      <c r="I44" s="3236"/>
      <c r="J44" s="3236"/>
      <c r="K44" s="2722"/>
      <c r="L44" s="2722"/>
      <c r="M44" s="2722"/>
      <c r="N44" s="3225"/>
      <c r="O44" s="2909"/>
      <c r="P44" s="3182"/>
      <c r="Q44" s="3230"/>
      <c r="R44" s="3236"/>
      <c r="S44" s="3246"/>
      <c r="T44" s="3257" t="s">
        <v>1640</v>
      </c>
      <c r="U44" s="2422">
        <v>17000000</v>
      </c>
      <c r="V44" s="2421">
        <v>2714819</v>
      </c>
      <c r="W44" s="2421">
        <v>2714819</v>
      </c>
      <c r="X44" s="2060">
        <v>88</v>
      </c>
      <c r="Y44" s="2211" t="s">
        <v>411</v>
      </c>
      <c r="Z44" s="3250"/>
      <c r="AA44" s="3242"/>
      <c r="AB44" s="3242"/>
      <c r="AC44" s="3242"/>
      <c r="AD44" s="3242"/>
      <c r="AE44" s="3242"/>
      <c r="AF44" s="3242"/>
      <c r="AG44" s="3242"/>
      <c r="AH44" s="3242"/>
      <c r="AI44" s="3242"/>
      <c r="AJ44" s="3242"/>
      <c r="AK44" s="3242"/>
      <c r="AL44" s="3242"/>
      <c r="AM44" s="3242"/>
      <c r="AN44" s="3242"/>
      <c r="AO44" s="3242"/>
      <c r="AP44" s="3242"/>
      <c r="AQ44" s="3242"/>
      <c r="AR44" s="3242"/>
      <c r="AS44" s="3242"/>
      <c r="AT44" s="3242"/>
      <c r="AU44" s="3242"/>
      <c r="AV44" s="3242"/>
      <c r="AW44" s="3242"/>
      <c r="AX44" s="3242"/>
      <c r="AY44" s="3242"/>
      <c r="AZ44" s="3242"/>
      <c r="BA44" s="3242"/>
      <c r="BB44" s="3242"/>
      <c r="BC44" s="3242"/>
      <c r="BD44" s="3242"/>
      <c r="BE44" s="3242"/>
      <c r="BF44" s="3176"/>
      <c r="BG44" s="3259"/>
      <c r="BH44" s="3259"/>
      <c r="BI44" s="3182" t="e">
        <f t="shared" si="4"/>
        <v>#DIV/0!</v>
      </c>
      <c r="BJ44" s="3198"/>
      <c r="BK44" s="3200"/>
      <c r="BL44" s="3172"/>
      <c r="BM44" s="3172"/>
      <c r="BN44" s="3172"/>
      <c r="BO44" s="3172"/>
      <c r="BP44" s="3176"/>
    </row>
    <row r="45" spans="1:68" s="1555" customFormat="1" ht="31.5" customHeight="1" x14ac:dyDescent="0.2">
      <c r="A45" s="2068"/>
      <c r="B45" s="2068"/>
      <c r="C45" s="2068"/>
      <c r="D45" s="1908"/>
      <c r="E45" s="2056"/>
      <c r="F45" s="1898"/>
      <c r="G45" s="3233"/>
      <c r="H45" s="3233"/>
      <c r="I45" s="3236"/>
      <c r="J45" s="3236"/>
      <c r="K45" s="2722"/>
      <c r="L45" s="2722"/>
      <c r="M45" s="2722"/>
      <c r="N45" s="3225"/>
      <c r="O45" s="2909"/>
      <c r="P45" s="3182"/>
      <c r="Q45" s="3230"/>
      <c r="R45" s="3236"/>
      <c r="S45" s="3246"/>
      <c r="T45" s="3257"/>
      <c r="U45" s="2422">
        <v>12000000</v>
      </c>
      <c r="V45" s="2421">
        <v>2800000</v>
      </c>
      <c r="W45" s="2421">
        <v>2800000</v>
      </c>
      <c r="X45" s="2060">
        <v>20</v>
      </c>
      <c r="Y45" s="2211" t="s">
        <v>411</v>
      </c>
      <c r="Z45" s="3250"/>
      <c r="AA45" s="3242"/>
      <c r="AB45" s="3242"/>
      <c r="AC45" s="3242"/>
      <c r="AD45" s="3242"/>
      <c r="AE45" s="3242"/>
      <c r="AF45" s="3242"/>
      <c r="AG45" s="3242"/>
      <c r="AH45" s="3242"/>
      <c r="AI45" s="3242"/>
      <c r="AJ45" s="3242"/>
      <c r="AK45" s="3242"/>
      <c r="AL45" s="3242"/>
      <c r="AM45" s="3242"/>
      <c r="AN45" s="3242"/>
      <c r="AO45" s="3242"/>
      <c r="AP45" s="3242"/>
      <c r="AQ45" s="3242"/>
      <c r="AR45" s="3242"/>
      <c r="AS45" s="3242"/>
      <c r="AT45" s="3242"/>
      <c r="AU45" s="3242"/>
      <c r="AV45" s="3242"/>
      <c r="AW45" s="3242"/>
      <c r="AX45" s="3242"/>
      <c r="AY45" s="3242"/>
      <c r="AZ45" s="3242"/>
      <c r="BA45" s="3242"/>
      <c r="BB45" s="3242"/>
      <c r="BC45" s="3242"/>
      <c r="BD45" s="3242"/>
      <c r="BE45" s="3242"/>
      <c r="BF45" s="3176"/>
      <c r="BG45" s="3259"/>
      <c r="BH45" s="3259"/>
      <c r="BI45" s="3182"/>
      <c r="BJ45" s="3198"/>
      <c r="BK45" s="3200"/>
      <c r="BL45" s="3172"/>
      <c r="BM45" s="3172"/>
      <c r="BN45" s="3172"/>
      <c r="BO45" s="3172"/>
      <c r="BP45" s="3176"/>
    </row>
    <row r="46" spans="1:68" s="1555" customFormat="1" ht="34.5" customHeight="1" x14ac:dyDescent="0.2">
      <c r="A46" s="2068"/>
      <c r="B46" s="2068"/>
      <c r="C46" s="2068"/>
      <c r="D46" s="1908"/>
      <c r="E46" s="2056"/>
      <c r="F46" s="1898"/>
      <c r="G46" s="3233"/>
      <c r="H46" s="3233"/>
      <c r="I46" s="3236"/>
      <c r="J46" s="3236"/>
      <c r="K46" s="2722"/>
      <c r="L46" s="2722"/>
      <c r="M46" s="2722"/>
      <c r="N46" s="3225"/>
      <c r="O46" s="2909"/>
      <c r="P46" s="3182"/>
      <c r="Q46" s="3230"/>
      <c r="R46" s="3236"/>
      <c r="S46" s="3245"/>
      <c r="T46" s="2893" t="s">
        <v>1641</v>
      </c>
      <c r="U46" s="2422">
        <v>12000000</v>
      </c>
      <c r="V46" s="2421">
        <v>7387999</v>
      </c>
      <c r="W46" s="2421">
        <v>7387999</v>
      </c>
      <c r="X46" s="2060">
        <v>88</v>
      </c>
      <c r="Y46" s="2211" t="s">
        <v>411</v>
      </c>
      <c r="Z46" s="3250"/>
      <c r="AA46" s="3242"/>
      <c r="AB46" s="3242"/>
      <c r="AC46" s="3242"/>
      <c r="AD46" s="3242"/>
      <c r="AE46" s="3242"/>
      <c r="AF46" s="3242"/>
      <c r="AG46" s="3242"/>
      <c r="AH46" s="3242"/>
      <c r="AI46" s="3242"/>
      <c r="AJ46" s="3242"/>
      <c r="AK46" s="3242"/>
      <c r="AL46" s="3242"/>
      <c r="AM46" s="3242"/>
      <c r="AN46" s="3242"/>
      <c r="AO46" s="3242"/>
      <c r="AP46" s="3242"/>
      <c r="AQ46" s="3242"/>
      <c r="AR46" s="3242"/>
      <c r="AS46" s="3242"/>
      <c r="AT46" s="3242"/>
      <c r="AU46" s="3242"/>
      <c r="AV46" s="3242"/>
      <c r="AW46" s="3242"/>
      <c r="AX46" s="3242"/>
      <c r="AY46" s="3242"/>
      <c r="AZ46" s="3242"/>
      <c r="BA46" s="3242"/>
      <c r="BB46" s="3242"/>
      <c r="BC46" s="3242"/>
      <c r="BD46" s="3242"/>
      <c r="BE46" s="3242"/>
      <c r="BF46" s="3176"/>
      <c r="BG46" s="3259"/>
      <c r="BH46" s="3259"/>
      <c r="BI46" s="3182" t="e">
        <f t="shared" si="4"/>
        <v>#DIV/0!</v>
      </c>
      <c r="BJ46" s="3198"/>
      <c r="BK46" s="3200"/>
      <c r="BL46" s="3172"/>
      <c r="BM46" s="3172"/>
      <c r="BN46" s="3172"/>
      <c r="BO46" s="3172"/>
      <c r="BP46" s="3176"/>
    </row>
    <row r="47" spans="1:68" s="1555" customFormat="1" ht="44.25" customHeight="1" x14ac:dyDescent="0.2">
      <c r="A47" s="2068"/>
      <c r="B47" s="2068"/>
      <c r="C47" s="2068"/>
      <c r="D47" s="1908"/>
      <c r="E47" s="2056"/>
      <c r="F47" s="1898"/>
      <c r="G47" s="3233"/>
      <c r="H47" s="3233"/>
      <c r="I47" s="3236"/>
      <c r="J47" s="3236"/>
      <c r="K47" s="2722"/>
      <c r="L47" s="2722"/>
      <c r="M47" s="2722"/>
      <c r="N47" s="3225"/>
      <c r="O47" s="2909"/>
      <c r="P47" s="3182"/>
      <c r="Q47" s="3230"/>
      <c r="R47" s="3236"/>
      <c r="S47" s="3245"/>
      <c r="T47" s="3248"/>
      <c r="U47" s="2422">
        <v>18000000</v>
      </c>
      <c r="V47" s="2421">
        <v>5133333</v>
      </c>
      <c r="W47" s="2421">
        <v>5133333</v>
      </c>
      <c r="X47" s="2060">
        <v>20</v>
      </c>
      <c r="Y47" s="2211" t="s">
        <v>411</v>
      </c>
      <c r="Z47" s="3250"/>
      <c r="AA47" s="3242"/>
      <c r="AB47" s="3242"/>
      <c r="AC47" s="3242"/>
      <c r="AD47" s="3242"/>
      <c r="AE47" s="3242"/>
      <c r="AF47" s="3242"/>
      <c r="AG47" s="3242"/>
      <c r="AH47" s="3242"/>
      <c r="AI47" s="3242"/>
      <c r="AJ47" s="3242"/>
      <c r="AK47" s="3242"/>
      <c r="AL47" s="3242"/>
      <c r="AM47" s="3242"/>
      <c r="AN47" s="3242"/>
      <c r="AO47" s="3242"/>
      <c r="AP47" s="3242"/>
      <c r="AQ47" s="3242"/>
      <c r="AR47" s="3242"/>
      <c r="AS47" s="3242"/>
      <c r="AT47" s="3242"/>
      <c r="AU47" s="3242"/>
      <c r="AV47" s="3242"/>
      <c r="AW47" s="3242"/>
      <c r="AX47" s="3242"/>
      <c r="AY47" s="3242"/>
      <c r="AZ47" s="3242"/>
      <c r="BA47" s="3242"/>
      <c r="BB47" s="3242"/>
      <c r="BC47" s="3242"/>
      <c r="BD47" s="3242"/>
      <c r="BE47" s="3242"/>
      <c r="BF47" s="3176"/>
      <c r="BG47" s="3259"/>
      <c r="BH47" s="3259"/>
      <c r="BI47" s="3182" t="e">
        <f t="shared" si="4"/>
        <v>#DIV/0!</v>
      </c>
      <c r="BJ47" s="3198"/>
      <c r="BK47" s="3200"/>
      <c r="BL47" s="3172"/>
      <c r="BM47" s="3172"/>
      <c r="BN47" s="3172"/>
      <c r="BO47" s="3172"/>
      <c r="BP47" s="3176"/>
    </row>
    <row r="48" spans="1:68" s="1555" customFormat="1" ht="44.25" customHeight="1" x14ac:dyDescent="0.2">
      <c r="A48" s="2068"/>
      <c r="B48" s="2068"/>
      <c r="C48" s="2068"/>
      <c r="D48" s="1908"/>
      <c r="E48" s="2056"/>
      <c r="F48" s="1898"/>
      <c r="G48" s="3233"/>
      <c r="H48" s="3233"/>
      <c r="I48" s="3236"/>
      <c r="J48" s="3236"/>
      <c r="K48" s="2722"/>
      <c r="L48" s="2722"/>
      <c r="M48" s="2722"/>
      <c r="N48" s="3225"/>
      <c r="O48" s="2909"/>
      <c r="P48" s="3182"/>
      <c r="Q48" s="3230"/>
      <c r="R48" s="3236"/>
      <c r="S48" s="3245"/>
      <c r="T48" s="2892" t="s">
        <v>1642</v>
      </c>
      <c r="U48" s="2422">
        <v>15000000</v>
      </c>
      <c r="V48" s="2421">
        <v>5599962</v>
      </c>
      <c r="W48" s="2421">
        <v>5599962</v>
      </c>
      <c r="X48" s="2060">
        <v>88</v>
      </c>
      <c r="Y48" s="2211" t="s">
        <v>411</v>
      </c>
      <c r="Z48" s="3250"/>
      <c r="AA48" s="3242"/>
      <c r="AB48" s="3242"/>
      <c r="AC48" s="3242"/>
      <c r="AD48" s="3242"/>
      <c r="AE48" s="3242"/>
      <c r="AF48" s="3242"/>
      <c r="AG48" s="3242"/>
      <c r="AH48" s="3242"/>
      <c r="AI48" s="3242"/>
      <c r="AJ48" s="3242"/>
      <c r="AK48" s="3242"/>
      <c r="AL48" s="3242"/>
      <c r="AM48" s="3242"/>
      <c r="AN48" s="3242"/>
      <c r="AO48" s="3242"/>
      <c r="AP48" s="3242"/>
      <c r="AQ48" s="3242"/>
      <c r="AR48" s="3242"/>
      <c r="AS48" s="3242"/>
      <c r="AT48" s="3242"/>
      <c r="AU48" s="3242"/>
      <c r="AV48" s="3242"/>
      <c r="AW48" s="3242"/>
      <c r="AX48" s="3242"/>
      <c r="AY48" s="3242"/>
      <c r="AZ48" s="3242"/>
      <c r="BA48" s="3242"/>
      <c r="BB48" s="3242"/>
      <c r="BC48" s="3242"/>
      <c r="BD48" s="3242"/>
      <c r="BE48" s="3242"/>
      <c r="BF48" s="3176"/>
      <c r="BG48" s="3259"/>
      <c r="BH48" s="3259"/>
      <c r="BI48" s="3182"/>
      <c r="BJ48" s="3198"/>
      <c r="BK48" s="3200"/>
      <c r="BL48" s="3172"/>
      <c r="BM48" s="3172"/>
      <c r="BN48" s="3172"/>
      <c r="BO48" s="3172"/>
      <c r="BP48" s="3176"/>
    </row>
    <row r="49" spans="1:68" s="1555" customFormat="1" ht="45" customHeight="1" x14ac:dyDescent="0.2">
      <c r="A49" s="2068"/>
      <c r="B49" s="2068"/>
      <c r="C49" s="2068"/>
      <c r="D49" s="1908"/>
      <c r="E49" s="2056"/>
      <c r="F49" s="1898"/>
      <c r="G49" s="3233"/>
      <c r="H49" s="3233"/>
      <c r="I49" s="3236"/>
      <c r="J49" s="2742"/>
      <c r="K49" s="2584"/>
      <c r="L49" s="2584"/>
      <c r="M49" s="3222"/>
      <c r="N49" s="3225"/>
      <c r="O49" s="2909"/>
      <c r="P49" s="3227"/>
      <c r="Q49" s="3230"/>
      <c r="R49" s="2742"/>
      <c r="S49" s="3244"/>
      <c r="T49" s="3248"/>
      <c r="U49" s="2422">
        <v>7000000</v>
      </c>
      <c r="V49" s="2421"/>
      <c r="W49" s="2421"/>
      <c r="X49" s="2060">
        <v>20</v>
      </c>
      <c r="Y49" s="2211" t="s">
        <v>85</v>
      </c>
      <c r="Z49" s="3250"/>
      <c r="AA49" s="3242"/>
      <c r="AB49" s="3242"/>
      <c r="AC49" s="3242"/>
      <c r="AD49" s="3242"/>
      <c r="AE49" s="3242"/>
      <c r="AF49" s="3242"/>
      <c r="AG49" s="3242"/>
      <c r="AH49" s="3242"/>
      <c r="AI49" s="3242"/>
      <c r="AJ49" s="3242"/>
      <c r="AK49" s="3242"/>
      <c r="AL49" s="3242"/>
      <c r="AM49" s="3242"/>
      <c r="AN49" s="3242"/>
      <c r="AO49" s="3242"/>
      <c r="AP49" s="3242"/>
      <c r="AQ49" s="3242"/>
      <c r="AR49" s="3242"/>
      <c r="AS49" s="3242"/>
      <c r="AT49" s="3242"/>
      <c r="AU49" s="3242"/>
      <c r="AV49" s="3242"/>
      <c r="AW49" s="3242"/>
      <c r="AX49" s="3242"/>
      <c r="AY49" s="3242"/>
      <c r="AZ49" s="3242"/>
      <c r="BA49" s="3242"/>
      <c r="BB49" s="3242"/>
      <c r="BC49" s="3242"/>
      <c r="BD49" s="3242"/>
      <c r="BE49" s="3242"/>
      <c r="BF49" s="3176"/>
      <c r="BG49" s="3259"/>
      <c r="BH49" s="3259"/>
      <c r="BI49" s="3182" t="e">
        <f t="shared" si="4"/>
        <v>#DIV/0!</v>
      </c>
      <c r="BJ49" s="3198"/>
      <c r="BK49" s="3200"/>
      <c r="BL49" s="3172"/>
      <c r="BM49" s="3172"/>
      <c r="BN49" s="3172"/>
      <c r="BO49" s="3172"/>
      <c r="BP49" s="3176"/>
    </row>
    <row r="50" spans="1:68" s="1555" customFormat="1" ht="51" customHeight="1" x14ac:dyDescent="0.2">
      <c r="A50" s="2068"/>
      <c r="B50" s="2068"/>
      <c r="C50" s="2068"/>
      <c r="D50" s="1908"/>
      <c r="E50" s="2056"/>
      <c r="F50" s="1898"/>
      <c r="G50" s="3233"/>
      <c r="H50" s="3233"/>
      <c r="I50" s="3236"/>
      <c r="J50" s="2742"/>
      <c r="K50" s="2584"/>
      <c r="L50" s="2584"/>
      <c r="M50" s="3223"/>
      <c r="N50" s="3225"/>
      <c r="O50" s="2909"/>
      <c r="P50" s="3227"/>
      <c r="Q50" s="3230"/>
      <c r="R50" s="2742"/>
      <c r="S50" s="3244"/>
      <c r="T50" s="1900" t="s">
        <v>1643</v>
      </c>
      <c r="U50" s="2422">
        <v>1120000</v>
      </c>
      <c r="V50" s="2421">
        <f>1120000</f>
        <v>1120000</v>
      </c>
      <c r="W50" s="2421">
        <f>1120000</f>
        <v>1120000</v>
      </c>
      <c r="X50" s="2060">
        <v>20</v>
      </c>
      <c r="Y50" s="2211" t="s">
        <v>85</v>
      </c>
      <c r="Z50" s="3250"/>
      <c r="AA50" s="3242"/>
      <c r="AB50" s="3242"/>
      <c r="AC50" s="3242"/>
      <c r="AD50" s="3242"/>
      <c r="AE50" s="3242"/>
      <c r="AF50" s="3242"/>
      <c r="AG50" s="3242"/>
      <c r="AH50" s="3242"/>
      <c r="AI50" s="3242"/>
      <c r="AJ50" s="3242"/>
      <c r="AK50" s="3242"/>
      <c r="AL50" s="3242"/>
      <c r="AM50" s="3242"/>
      <c r="AN50" s="3242"/>
      <c r="AO50" s="3242"/>
      <c r="AP50" s="3242"/>
      <c r="AQ50" s="3242"/>
      <c r="AR50" s="3242"/>
      <c r="AS50" s="3242"/>
      <c r="AT50" s="3242"/>
      <c r="AU50" s="3242"/>
      <c r="AV50" s="3242"/>
      <c r="AW50" s="3242"/>
      <c r="AX50" s="3242"/>
      <c r="AY50" s="3242"/>
      <c r="AZ50" s="3242"/>
      <c r="BA50" s="3242"/>
      <c r="BB50" s="3242"/>
      <c r="BC50" s="3242"/>
      <c r="BD50" s="3242"/>
      <c r="BE50" s="3242"/>
      <c r="BF50" s="3176"/>
      <c r="BG50" s="3259"/>
      <c r="BH50" s="3259"/>
      <c r="BI50" s="3182" t="e">
        <f t="shared" si="4"/>
        <v>#DIV/0!</v>
      </c>
      <c r="BJ50" s="3198"/>
      <c r="BK50" s="3200"/>
      <c r="BL50" s="3172"/>
      <c r="BM50" s="3172"/>
      <c r="BN50" s="3172"/>
      <c r="BO50" s="3172"/>
      <c r="BP50" s="3176"/>
    </row>
    <row r="51" spans="1:68" s="1555" customFormat="1" ht="32.25" customHeight="1" x14ac:dyDescent="0.2">
      <c r="A51" s="2068"/>
      <c r="B51" s="2068"/>
      <c r="C51" s="2068"/>
      <c r="D51" s="1908"/>
      <c r="E51" s="2056"/>
      <c r="F51" s="1898"/>
      <c r="G51" s="3233"/>
      <c r="H51" s="3233"/>
      <c r="I51" s="3236"/>
      <c r="J51" s="2742"/>
      <c r="K51" s="2584"/>
      <c r="L51" s="2584"/>
      <c r="M51" s="3223"/>
      <c r="N51" s="3225"/>
      <c r="O51" s="2909"/>
      <c r="P51" s="3227"/>
      <c r="Q51" s="3230"/>
      <c r="R51" s="2742"/>
      <c r="S51" s="3244"/>
      <c r="T51" s="3251" t="s">
        <v>1644</v>
      </c>
      <c r="U51" s="2422">
        <v>12000000</v>
      </c>
      <c r="V51" s="2421"/>
      <c r="W51" s="2421"/>
      <c r="X51" s="2060">
        <v>20</v>
      </c>
      <c r="Y51" s="2211" t="s">
        <v>85</v>
      </c>
      <c r="Z51" s="3250"/>
      <c r="AA51" s="3242"/>
      <c r="AB51" s="3242"/>
      <c r="AC51" s="3242"/>
      <c r="AD51" s="3242"/>
      <c r="AE51" s="3242"/>
      <c r="AF51" s="3242"/>
      <c r="AG51" s="3242"/>
      <c r="AH51" s="3242"/>
      <c r="AI51" s="3242"/>
      <c r="AJ51" s="3242"/>
      <c r="AK51" s="3242"/>
      <c r="AL51" s="3242"/>
      <c r="AM51" s="3242"/>
      <c r="AN51" s="3242"/>
      <c r="AO51" s="3242"/>
      <c r="AP51" s="3242"/>
      <c r="AQ51" s="3242"/>
      <c r="AR51" s="3242"/>
      <c r="AS51" s="3242"/>
      <c r="AT51" s="3242"/>
      <c r="AU51" s="3242"/>
      <c r="AV51" s="3242"/>
      <c r="AW51" s="3242"/>
      <c r="AX51" s="3242"/>
      <c r="AY51" s="3242"/>
      <c r="AZ51" s="3242"/>
      <c r="BA51" s="3242"/>
      <c r="BB51" s="3242"/>
      <c r="BC51" s="3242"/>
      <c r="BD51" s="3242"/>
      <c r="BE51" s="3242"/>
      <c r="BF51" s="3176"/>
      <c r="BG51" s="3259"/>
      <c r="BH51" s="3259"/>
      <c r="BI51" s="3182"/>
      <c r="BJ51" s="3198"/>
      <c r="BK51" s="3200"/>
      <c r="BL51" s="3172"/>
      <c r="BM51" s="3172"/>
      <c r="BN51" s="3172"/>
      <c r="BO51" s="3172"/>
      <c r="BP51" s="3176"/>
    </row>
    <row r="52" spans="1:68" s="1555" customFormat="1" ht="39.75" customHeight="1" x14ac:dyDescent="0.2">
      <c r="A52" s="2068"/>
      <c r="B52" s="2068"/>
      <c r="C52" s="2068"/>
      <c r="D52" s="1908"/>
      <c r="E52" s="2056"/>
      <c r="F52" s="1898"/>
      <c r="G52" s="3234"/>
      <c r="H52" s="3234"/>
      <c r="I52" s="3237"/>
      <c r="J52" s="2743"/>
      <c r="K52" s="2720"/>
      <c r="L52" s="2720"/>
      <c r="M52" s="3223"/>
      <c r="N52" s="3225"/>
      <c r="O52" s="2909"/>
      <c r="P52" s="3228"/>
      <c r="Q52" s="3230"/>
      <c r="R52" s="2742"/>
      <c r="S52" s="3244"/>
      <c r="T52" s="3252"/>
      <c r="U52" s="2422">
        <v>17000000</v>
      </c>
      <c r="V52" s="2421">
        <v>9917354</v>
      </c>
      <c r="W52" s="2421">
        <v>9917354</v>
      </c>
      <c r="X52" s="2060">
        <v>88</v>
      </c>
      <c r="Y52" s="2211" t="s">
        <v>411</v>
      </c>
      <c r="Z52" s="3250"/>
      <c r="AA52" s="3242"/>
      <c r="AB52" s="3242"/>
      <c r="AC52" s="3242"/>
      <c r="AD52" s="3242"/>
      <c r="AE52" s="3242"/>
      <c r="AF52" s="3242"/>
      <c r="AG52" s="3242"/>
      <c r="AH52" s="3242"/>
      <c r="AI52" s="3242"/>
      <c r="AJ52" s="3242"/>
      <c r="AK52" s="3242"/>
      <c r="AL52" s="3242"/>
      <c r="AM52" s="3242"/>
      <c r="AN52" s="3242"/>
      <c r="AO52" s="3242"/>
      <c r="AP52" s="3242"/>
      <c r="AQ52" s="3242"/>
      <c r="AR52" s="3242"/>
      <c r="AS52" s="3242"/>
      <c r="AT52" s="3242"/>
      <c r="AU52" s="3242"/>
      <c r="AV52" s="3242"/>
      <c r="AW52" s="3242"/>
      <c r="AX52" s="3242"/>
      <c r="AY52" s="3242"/>
      <c r="AZ52" s="3242"/>
      <c r="BA52" s="3242"/>
      <c r="BB52" s="3242"/>
      <c r="BC52" s="3242"/>
      <c r="BD52" s="3242"/>
      <c r="BE52" s="3242"/>
      <c r="BF52" s="3176"/>
      <c r="BG52" s="3259"/>
      <c r="BH52" s="3259"/>
      <c r="BI52" s="3182" t="e">
        <f t="shared" si="4"/>
        <v>#DIV/0!</v>
      </c>
      <c r="BJ52" s="3198"/>
      <c r="BK52" s="3200"/>
      <c r="BL52" s="3172"/>
      <c r="BM52" s="3172"/>
      <c r="BN52" s="3172"/>
      <c r="BO52" s="3172"/>
      <c r="BP52" s="3176"/>
    </row>
    <row r="53" spans="1:68" s="366" customFormat="1" ht="69.75" customHeight="1" x14ac:dyDescent="0.2">
      <c r="A53" s="2086"/>
      <c r="D53" s="3261"/>
      <c r="E53" s="3262"/>
      <c r="F53" s="3263"/>
      <c r="G53" s="3232">
        <v>4101025</v>
      </c>
      <c r="H53" s="3232" t="s">
        <v>1645</v>
      </c>
      <c r="I53" s="3235" t="s">
        <v>1646</v>
      </c>
      <c r="J53" s="2741" t="s">
        <v>1647</v>
      </c>
      <c r="K53" s="2583">
        <v>250</v>
      </c>
      <c r="L53" s="2583">
        <v>125</v>
      </c>
      <c r="M53" s="2584"/>
      <c r="N53" s="3225"/>
      <c r="O53" s="2909"/>
      <c r="P53" s="3226">
        <f>SUM(U53:U57)/Q32</f>
        <v>9.5651535609552543E-2</v>
      </c>
      <c r="Q53" s="3230"/>
      <c r="R53" s="2742"/>
      <c r="S53" s="3244"/>
      <c r="T53" s="2087" t="s">
        <v>1648</v>
      </c>
      <c r="U53" s="2422">
        <v>23500000</v>
      </c>
      <c r="V53" s="2421">
        <f>13421785+4063232</f>
        <v>17485017</v>
      </c>
      <c r="W53" s="2421">
        <f>13421785+4063232</f>
        <v>17485017</v>
      </c>
      <c r="X53" s="2060">
        <v>88</v>
      </c>
      <c r="Y53" s="2211" t="s">
        <v>411</v>
      </c>
      <c r="Z53" s="3250"/>
      <c r="AA53" s="3242"/>
      <c r="AB53" s="3242"/>
      <c r="AC53" s="3242"/>
      <c r="AD53" s="3242"/>
      <c r="AE53" s="3242"/>
      <c r="AF53" s="3242"/>
      <c r="AG53" s="3242"/>
      <c r="AH53" s="3242"/>
      <c r="AI53" s="3242"/>
      <c r="AJ53" s="3242"/>
      <c r="AK53" s="3242"/>
      <c r="AL53" s="3242"/>
      <c r="AM53" s="3242"/>
      <c r="AN53" s="3242"/>
      <c r="AO53" s="3242"/>
      <c r="AP53" s="3242"/>
      <c r="AQ53" s="3242"/>
      <c r="AR53" s="3242"/>
      <c r="AS53" s="3242"/>
      <c r="AT53" s="3242"/>
      <c r="AU53" s="3242"/>
      <c r="AV53" s="3242"/>
      <c r="AW53" s="3242"/>
      <c r="AX53" s="3242"/>
      <c r="AY53" s="3242"/>
      <c r="AZ53" s="3242"/>
      <c r="BA53" s="3242"/>
      <c r="BB53" s="3242"/>
      <c r="BC53" s="3242"/>
      <c r="BD53" s="3242"/>
      <c r="BE53" s="3242"/>
      <c r="BF53" s="3176"/>
      <c r="BG53" s="3259"/>
      <c r="BH53" s="3259"/>
      <c r="BI53" s="3182" t="e">
        <f t="shared" si="4"/>
        <v>#DIV/0!</v>
      </c>
      <c r="BJ53" s="3198"/>
      <c r="BK53" s="3200"/>
      <c r="BL53" s="3172"/>
      <c r="BM53" s="3172"/>
      <c r="BN53" s="3172"/>
      <c r="BO53" s="3172"/>
      <c r="BP53" s="3176"/>
    </row>
    <row r="54" spans="1:68" s="366" customFormat="1" ht="44.25" customHeight="1" x14ac:dyDescent="0.2">
      <c r="A54" s="2086"/>
      <c r="D54" s="2088"/>
      <c r="E54" s="1558"/>
      <c r="F54" s="2089"/>
      <c r="G54" s="3233"/>
      <c r="H54" s="3233"/>
      <c r="I54" s="3236"/>
      <c r="J54" s="2742"/>
      <c r="K54" s="2584"/>
      <c r="L54" s="2584"/>
      <c r="M54" s="2584"/>
      <c r="N54" s="3225"/>
      <c r="O54" s="2909"/>
      <c r="P54" s="3227"/>
      <c r="Q54" s="3230"/>
      <c r="R54" s="2742"/>
      <c r="S54" s="3244"/>
      <c r="T54" s="3253" t="s">
        <v>1649</v>
      </c>
      <c r="U54" s="2422">
        <f>4000000</f>
        <v>4000000</v>
      </c>
      <c r="V54" s="2421">
        <v>4000000</v>
      </c>
      <c r="W54" s="2421">
        <v>4000000</v>
      </c>
      <c r="X54" s="2060">
        <v>20</v>
      </c>
      <c r="Y54" s="2211" t="s">
        <v>85</v>
      </c>
      <c r="Z54" s="3250"/>
      <c r="AA54" s="3242"/>
      <c r="AB54" s="3242"/>
      <c r="AC54" s="3242"/>
      <c r="AD54" s="3242"/>
      <c r="AE54" s="3242"/>
      <c r="AF54" s="3242"/>
      <c r="AG54" s="3242"/>
      <c r="AH54" s="3242"/>
      <c r="AI54" s="3242"/>
      <c r="AJ54" s="3242"/>
      <c r="AK54" s="3242"/>
      <c r="AL54" s="3242"/>
      <c r="AM54" s="3242"/>
      <c r="AN54" s="3242"/>
      <c r="AO54" s="3242"/>
      <c r="AP54" s="3242"/>
      <c r="AQ54" s="3242"/>
      <c r="AR54" s="3242"/>
      <c r="AS54" s="3242"/>
      <c r="AT54" s="3242"/>
      <c r="AU54" s="3242"/>
      <c r="AV54" s="3242"/>
      <c r="AW54" s="3242"/>
      <c r="AX54" s="3242"/>
      <c r="AY54" s="3242"/>
      <c r="AZ54" s="3242"/>
      <c r="BA54" s="3242"/>
      <c r="BB54" s="3242"/>
      <c r="BC54" s="3242"/>
      <c r="BD54" s="3242"/>
      <c r="BE54" s="3242"/>
      <c r="BF54" s="3176"/>
      <c r="BG54" s="3259"/>
      <c r="BH54" s="3259"/>
      <c r="BI54" s="3182"/>
      <c r="BJ54" s="3198"/>
      <c r="BK54" s="3200"/>
      <c r="BL54" s="3172"/>
      <c r="BM54" s="3172"/>
      <c r="BN54" s="3172"/>
      <c r="BO54" s="3172"/>
      <c r="BP54" s="3176"/>
    </row>
    <row r="55" spans="1:68" s="366" customFormat="1" ht="36" customHeight="1" x14ac:dyDescent="0.2">
      <c r="A55" s="2086"/>
      <c r="D55" s="2088"/>
      <c r="E55" s="1558"/>
      <c r="F55" s="2089"/>
      <c r="G55" s="3233"/>
      <c r="H55" s="3233"/>
      <c r="I55" s="3236"/>
      <c r="J55" s="2742"/>
      <c r="K55" s="2584"/>
      <c r="L55" s="2584"/>
      <c r="M55" s="2584"/>
      <c r="N55" s="3225"/>
      <c r="O55" s="2909"/>
      <c r="P55" s="3227"/>
      <c r="Q55" s="3230"/>
      <c r="R55" s="2742"/>
      <c r="S55" s="3244"/>
      <c r="T55" s="3254"/>
      <c r="U55" s="2422">
        <v>14000000</v>
      </c>
      <c r="V55" s="2421">
        <v>14000000</v>
      </c>
      <c r="W55" s="2421">
        <v>14000000</v>
      </c>
      <c r="X55" s="2060">
        <v>88</v>
      </c>
      <c r="Y55" s="2211" t="s">
        <v>411</v>
      </c>
      <c r="Z55" s="3250"/>
      <c r="AA55" s="3242"/>
      <c r="AB55" s="3242"/>
      <c r="AC55" s="3242"/>
      <c r="AD55" s="3242"/>
      <c r="AE55" s="3242"/>
      <c r="AF55" s="3242"/>
      <c r="AG55" s="3242"/>
      <c r="AH55" s="3242"/>
      <c r="AI55" s="3242"/>
      <c r="AJ55" s="3242"/>
      <c r="AK55" s="3242"/>
      <c r="AL55" s="3242"/>
      <c r="AM55" s="3242"/>
      <c r="AN55" s="3242"/>
      <c r="AO55" s="3242"/>
      <c r="AP55" s="3242"/>
      <c r="AQ55" s="3242"/>
      <c r="AR55" s="3242"/>
      <c r="AS55" s="3242"/>
      <c r="AT55" s="3242"/>
      <c r="AU55" s="3242"/>
      <c r="AV55" s="3242"/>
      <c r="AW55" s="3242"/>
      <c r="AX55" s="3242"/>
      <c r="AY55" s="3242"/>
      <c r="AZ55" s="3242"/>
      <c r="BA55" s="3242"/>
      <c r="BB55" s="3242"/>
      <c r="BC55" s="3242"/>
      <c r="BD55" s="3242"/>
      <c r="BE55" s="3242"/>
      <c r="BF55" s="3176"/>
      <c r="BG55" s="3259"/>
      <c r="BH55" s="3259"/>
      <c r="BI55" s="3182" t="e">
        <f t="shared" si="4"/>
        <v>#DIV/0!</v>
      </c>
      <c r="BJ55" s="3198"/>
      <c r="BK55" s="3200"/>
      <c r="BL55" s="3172"/>
      <c r="BM55" s="3172"/>
      <c r="BN55" s="3172"/>
      <c r="BO55" s="3172"/>
      <c r="BP55" s="3176"/>
    </row>
    <row r="56" spans="1:68" s="366" customFormat="1" ht="41.25" customHeight="1" x14ac:dyDescent="0.2">
      <c r="A56" s="2086"/>
      <c r="D56" s="2088"/>
      <c r="E56" s="1558"/>
      <c r="F56" s="2089"/>
      <c r="G56" s="3233"/>
      <c r="H56" s="3233"/>
      <c r="I56" s="3236"/>
      <c r="J56" s="2742"/>
      <c r="K56" s="2584"/>
      <c r="L56" s="2584"/>
      <c r="M56" s="2584"/>
      <c r="N56" s="3225"/>
      <c r="O56" s="2909"/>
      <c r="P56" s="3227"/>
      <c r="Q56" s="3230"/>
      <c r="R56" s="2742"/>
      <c r="S56" s="3244"/>
      <c r="T56" s="2087" t="s">
        <v>1650</v>
      </c>
      <c r="U56" s="2422">
        <v>1000000</v>
      </c>
      <c r="V56" s="2421"/>
      <c r="W56" s="2421"/>
      <c r="X56" s="2060">
        <v>88</v>
      </c>
      <c r="Y56" s="2211" t="s">
        <v>411</v>
      </c>
      <c r="Z56" s="3250"/>
      <c r="AA56" s="3242"/>
      <c r="AB56" s="3242"/>
      <c r="AC56" s="3242"/>
      <c r="AD56" s="3242"/>
      <c r="AE56" s="3242"/>
      <c r="AF56" s="3242"/>
      <c r="AG56" s="3242"/>
      <c r="AH56" s="3242"/>
      <c r="AI56" s="3242"/>
      <c r="AJ56" s="3242"/>
      <c r="AK56" s="3242"/>
      <c r="AL56" s="3242"/>
      <c r="AM56" s="3242"/>
      <c r="AN56" s="3242"/>
      <c r="AO56" s="3242"/>
      <c r="AP56" s="3242"/>
      <c r="AQ56" s="3242"/>
      <c r="AR56" s="3242"/>
      <c r="AS56" s="3242"/>
      <c r="AT56" s="3242"/>
      <c r="AU56" s="3242"/>
      <c r="AV56" s="3242"/>
      <c r="AW56" s="3242"/>
      <c r="AX56" s="3242"/>
      <c r="AY56" s="3242"/>
      <c r="AZ56" s="3242"/>
      <c r="BA56" s="3242"/>
      <c r="BB56" s="3242"/>
      <c r="BC56" s="3242"/>
      <c r="BD56" s="3242"/>
      <c r="BE56" s="3242"/>
      <c r="BF56" s="3176"/>
      <c r="BG56" s="3259"/>
      <c r="BH56" s="3259"/>
      <c r="BI56" s="3182" t="e">
        <f t="shared" si="4"/>
        <v>#DIV/0!</v>
      </c>
      <c r="BJ56" s="3198"/>
      <c r="BK56" s="3200"/>
      <c r="BL56" s="3172"/>
      <c r="BM56" s="3172"/>
      <c r="BN56" s="3172"/>
      <c r="BO56" s="3172"/>
      <c r="BP56" s="3176"/>
    </row>
    <row r="57" spans="1:68" s="366" customFormat="1" ht="57" customHeight="1" x14ac:dyDescent="0.2">
      <c r="A57" s="2086"/>
      <c r="D57" s="2088"/>
      <c r="E57" s="1558"/>
      <c r="F57" s="2089"/>
      <c r="G57" s="3234"/>
      <c r="H57" s="3234"/>
      <c r="I57" s="3237"/>
      <c r="J57" s="2743"/>
      <c r="K57" s="2720"/>
      <c r="L57" s="2720"/>
      <c r="M57" s="2584"/>
      <c r="N57" s="3225"/>
      <c r="O57" s="2909"/>
      <c r="P57" s="3228"/>
      <c r="Q57" s="3230"/>
      <c r="R57" s="2742"/>
      <c r="S57" s="3244"/>
      <c r="T57" s="2087" t="s">
        <v>1651</v>
      </c>
      <c r="U57" s="2422">
        <v>7500000</v>
      </c>
      <c r="V57" s="2421">
        <v>2000000</v>
      </c>
      <c r="W57" s="2421">
        <v>2000000</v>
      </c>
      <c r="X57" s="2060">
        <v>88</v>
      </c>
      <c r="Y57" s="2211" t="s">
        <v>411</v>
      </c>
      <c r="Z57" s="3250"/>
      <c r="AA57" s="3242"/>
      <c r="AB57" s="3242"/>
      <c r="AC57" s="3242"/>
      <c r="AD57" s="3242"/>
      <c r="AE57" s="3242"/>
      <c r="AF57" s="3242"/>
      <c r="AG57" s="3242"/>
      <c r="AH57" s="3242"/>
      <c r="AI57" s="3242"/>
      <c r="AJ57" s="3242"/>
      <c r="AK57" s="3242"/>
      <c r="AL57" s="3242"/>
      <c r="AM57" s="3242"/>
      <c r="AN57" s="3242"/>
      <c r="AO57" s="3242"/>
      <c r="AP57" s="3242"/>
      <c r="AQ57" s="3242"/>
      <c r="AR57" s="3242"/>
      <c r="AS57" s="3242"/>
      <c r="AT57" s="3242"/>
      <c r="AU57" s="3242"/>
      <c r="AV57" s="3242"/>
      <c r="AW57" s="3242"/>
      <c r="AX57" s="3242"/>
      <c r="AY57" s="3242"/>
      <c r="AZ57" s="3242"/>
      <c r="BA57" s="3242"/>
      <c r="BB57" s="3242"/>
      <c r="BC57" s="3242"/>
      <c r="BD57" s="3242"/>
      <c r="BE57" s="3242"/>
      <c r="BF57" s="3176"/>
      <c r="BG57" s="3259"/>
      <c r="BH57" s="3259"/>
      <c r="BI57" s="3182"/>
      <c r="BJ57" s="3198"/>
      <c r="BK57" s="3200"/>
      <c r="BL57" s="3172"/>
      <c r="BM57" s="3172"/>
      <c r="BN57" s="3172"/>
      <c r="BO57" s="3172"/>
      <c r="BP57" s="3176"/>
    </row>
    <row r="58" spans="1:68" s="366" customFormat="1" ht="41.25" customHeight="1" x14ac:dyDescent="0.2">
      <c r="A58" s="2086"/>
      <c r="D58" s="2090"/>
      <c r="F58" s="2091"/>
      <c r="G58" s="3232">
        <v>4101038</v>
      </c>
      <c r="H58" s="3232" t="s">
        <v>1652</v>
      </c>
      <c r="I58" s="3235" t="s">
        <v>1653</v>
      </c>
      <c r="J58" s="2741" t="s">
        <v>1654</v>
      </c>
      <c r="K58" s="2583">
        <v>12</v>
      </c>
      <c r="L58" s="2583">
        <v>12</v>
      </c>
      <c r="M58" s="2584"/>
      <c r="N58" s="3225"/>
      <c r="O58" s="2909"/>
      <c r="P58" s="3226">
        <f>SUM(U58:U65)/Q32</f>
        <v>8.0347289912024139E-2</v>
      </c>
      <c r="Q58" s="3230"/>
      <c r="R58" s="2742"/>
      <c r="S58" s="3244"/>
      <c r="T58" s="1899" t="s">
        <v>1655</v>
      </c>
      <c r="U58" s="2422">
        <v>4000000</v>
      </c>
      <c r="V58" s="2421">
        <v>2296574</v>
      </c>
      <c r="W58" s="2421">
        <v>2296574</v>
      </c>
      <c r="X58" s="2060">
        <v>88</v>
      </c>
      <c r="Y58" s="2211" t="s">
        <v>411</v>
      </c>
      <c r="Z58" s="3250"/>
      <c r="AA58" s="3242"/>
      <c r="AB58" s="3242"/>
      <c r="AC58" s="3242"/>
      <c r="AD58" s="3242"/>
      <c r="AE58" s="3242"/>
      <c r="AF58" s="3242"/>
      <c r="AG58" s="3242"/>
      <c r="AH58" s="3242"/>
      <c r="AI58" s="3242"/>
      <c r="AJ58" s="3242"/>
      <c r="AK58" s="3242"/>
      <c r="AL58" s="3242"/>
      <c r="AM58" s="3242"/>
      <c r="AN58" s="3242"/>
      <c r="AO58" s="3242"/>
      <c r="AP58" s="3242"/>
      <c r="AQ58" s="3242"/>
      <c r="AR58" s="3242"/>
      <c r="AS58" s="3242"/>
      <c r="AT58" s="3242"/>
      <c r="AU58" s="3242"/>
      <c r="AV58" s="3242"/>
      <c r="AW58" s="3242"/>
      <c r="AX58" s="3242"/>
      <c r="AY58" s="3242"/>
      <c r="AZ58" s="3242"/>
      <c r="BA58" s="3242"/>
      <c r="BB58" s="3242"/>
      <c r="BC58" s="3242"/>
      <c r="BD58" s="3242"/>
      <c r="BE58" s="3242"/>
      <c r="BF58" s="3176"/>
      <c r="BG58" s="3259"/>
      <c r="BH58" s="3259"/>
      <c r="BI58" s="3182" t="e">
        <f t="shared" si="4"/>
        <v>#DIV/0!</v>
      </c>
      <c r="BJ58" s="3198"/>
      <c r="BK58" s="3200"/>
      <c r="BL58" s="3172"/>
      <c r="BM58" s="3172"/>
      <c r="BN58" s="3172"/>
      <c r="BO58" s="3172"/>
      <c r="BP58" s="3176"/>
    </row>
    <row r="59" spans="1:68" s="366" customFormat="1" ht="41.25" customHeight="1" x14ac:dyDescent="0.2">
      <c r="A59" s="2086"/>
      <c r="D59" s="2090"/>
      <c r="F59" s="2091"/>
      <c r="G59" s="3233"/>
      <c r="H59" s="3233"/>
      <c r="I59" s="3236"/>
      <c r="J59" s="2742"/>
      <c r="K59" s="2584"/>
      <c r="L59" s="2584"/>
      <c r="M59" s="2584"/>
      <c r="N59" s="3225"/>
      <c r="O59" s="2909"/>
      <c r="P59" s="3227"/>
      <c r="Q59" s="3230"/>
      <c r="R59" s="2742"/>
      <c r="S59" s="3244"/>
      <c r="T59" s="3255" t="s">
        <v>1656</v>
      </c>
      <c r="U59" s="2422">
        <v>4663390</v>
      </c>
      <c r="V59" s="2421">
        <v>4663390</v>
      </c>
      <c r="W59" s="2421">
        <v>4663390</v>
      </c>
      <c r="X59" s="2060">
        <v>20</v>
      </c>
      <c r="Y59" s="2211" t="s">
        <v>411</v>
      </c>
      <c r="Z59" s="3250"/>
      <c r="AA59" s="3242"/>
      <c r="AB59" s="3242"/>
      <c r="AC59" s="3242"/>
      <c r="AD59" s="3242"/>
      <c r="AE59" s="3242"/>
      <c r="AF59" s="3242"/>
      <c r="AG59" s="3242"/>
      <c r="AH59" s="3242"/>
      <c r="AI59" s="3242"/>
      <c r="AJ59" s="3242"/>
      <c r="AK59" s="3242"/>
      <c r="AL59" s="3242"/>
      <c r="AM59" s="3242"/>
      <c r="AN59" s="3242"/>
      <c r="AO59" s="3242"/>
      <c r="AP59" s="3242"/>
      <c r="AQ59" s="3242"/>
      <c r="AR59" s="3242"/>
      <c r="AS59" s="3242"/>
      <c r="AT59" s="3242"/>
      <c r="AU59" s="3242"/>
      <c r="AV59" s="3242"/>
      <c r="AW59" s="3242"/>
      <c r="AX59" s="3242"/>
      <c r="AY59" s="3242"/>
      <c r="AZ59" s="3242"/>
      <c r="BA59" s="3242"/>
      <c r="BB59" s="3242"/>
      <c r="BC59" s="3242"/>
      <c r="BD59" s="3242"/>
      <c r="BE59" s="3242"/>
      <c r="BF59" s="3176"/>
      <c r="BG59" s="3259"/>
      <c r="BH59" s="3259"/>
      <c r="BI59" s="3182" t="e">
        <f t="shared" si="4"/>
        <v>#DIV/0!</v>
      </c>
      <c r="BJ59" s="3198"/>
      <c r="BK59" s="3200"/>
      <c r="BL59" s="3172"/>
      <c r="BM59" s="3172"/>
      <c r="BN59" s="3172"/>
      <c r="BO59" s="3172"/>
      <c r="BP59" s="3176"/>
    </row>
    <row r="60" spans="1:68" s="366" customFormat="1" ht="41.25" customHeight="1" x14ac:dyDescent="0.2">
      <c r="A60" s="2086"/>
      <c r="D60" s="2090"/>
      <c r="F60" s="2091"/>
      <c r="G60" s="3233"/>
      <c r="H60" s="3233"/>
      <c r="I60" s="3236"/>
      <c r="J60" s="2742"/>
      <c r="K60" s="2584"/>
      <c r="L60" s="2584"/>
      <c r="M60" s="2584"/>
      <c r="N60" s="3225"/>
      <c r="O60" s="2909"/>
      <c r="P60" s="3227"/>
      <c r="Q60" s="3230"/>
      <c r="R60" s="2742"/>
      <c r="S60" s="3244"/>
      <c r="T60" s="3256"/>
      <c r="U60" s="2422">
        <v>18000000</v>
      </c>
      <c r="V60" s="2421">
        <v>18000000</v>
      </c>
      <c r="W60" s="2421">
        <v>18000000</v>
      </c>
      <c r="X60" s="2060">
        <v>88</v>
      </c>
      <c r="Y60" s="2211" t="s">
        <v>411</v>
      </c>
      <c r="Z60" s="3250"/>
      <c r="AA60" s="3242"/>
      <c r="AB60" s="3242"/>
      <c r="AC60" s="3242"/>
      <c r="AD60" s="3242"/>
      <c r="AE60" s="3242"/>
      <c r="AF60" s="3242"/>
      <c r="AG60" s="3242"/>
      <c r="AH60" s="3242"/>
      <c r="AI60" s="3242"/>
      <c r="AJ60" s="3242"/>
      <c r="AK60" s="3242"/>
      <c r="AL60" s="3242"/>
      <c r="AM60" s="3242"/>
      <c r="AN60" s="3242"/>
      <c r="AO60" s="3242"/>
      <c r="AP60" s="3242"/>
      <c r="AQ60" s="3242"/>
      <c r="AR60" s="3242"/>
      <c r="AS60" s="3242"/>
      <c r="AT60" s="3242"/>
      <c r="AU60" s="3242"/>
      <c r="AV60" s="3242"/>
      <c r="AW60" s="3242"/>
      <c r="AX60" s="3242"/>
      <c r="AY60" s="3242"/>
      <c r="AZ60" s="3242"/>
      <c r="BA60" s="3242"/>
      <c r="BB60" s="3242"/>
      <c r="BC60" s="3242"/>
      <c r="BD60" s="3242"/>
      <c r="BE60" s="3242"/>
      <c r="BF60" s="3176"/>
      <c r="BG60" s="3259"/>
      <c r="BH60" s="3259"/>
      <c r="BI60" s="3182"/>
      <c r="BJ60" s="3198"/>
      <c r="BK60" s="3200"/>
      <c r="BL60" s="3172"/>
      <c r="BM60" s="3172"/>
      <c r="BN60" s="3172"/>
      <c r="BO60" s="3172"/>
      <c r="BP60" s="3176"/>
    </row>
    <row r="61" spans="1:68" s="366" customFormat="1" ht="31.5" customHeight="1" x14ac:dyDescent="0.2">
      <c r="A61" s="2086"/>
      <c r="D61" s="2090"/>
      <c r="F61" s="2091"/>
      <c r="G61" s="3233"/>
      <c r="H61" s="3233"/>
      <c r="I61" s="3236"/>
      <c r="J61" s="2742"/>
      <c r="K61" s="2584"/>
      <c r="L61" s="2584"/>
      <c r="M61" s="2584"/>
      <c r="N61" s="3225"/>
      <c r="O61" s="2909"/>
      <c r="P61" s="3227"/>
      <c r="Q61" s="3230"/>
      <c r="R61" s="2742"/>
      <c r="S61" s="3244"/>
      <c r="T61" s="2892" t="s">
        <v>1657</v>
      </c>
      <c r="U61" s="2422">
        <v>4000000</v>
      </c>
      <c r="V61" s="2421"/>
      <c r="W61" s="2421"/>
      <c r="X61" s="2060">
        <v>88</v>
      </c>
      <c r="Y61" s="2211" t="s">
        <v>411</v>
      </c>
      <c r="Z61" s="3250"/>
      <c r="AA61" s="3242"/>
      <c r="AB61" s="3242"/>
      <c r="AC61" s="3242"/>
      <c r="AD61" s="3242"/>
      <c r="AE61" s="3242"/>
      <c r="AF61" s="3242"/>
      <c r="AG61" s="3242"/>
      <c r="AH61" s="3242"/>
      <c r="AI61" s="3242"/>
      <c r="AJ61" s="3242"/>
      <c r="AK61" s="3242"/>
      <c r="AL61" s="3242"/>
      <c r="AM61" s="3242"/>
      <c r="AN61" s="3242"/>
      <c r="AO61" s="3242"/>
      <c r="AP61" s="3242"/>
      <c r="AQ61" s="3242"/>
      <c r="AR61" s="3242"/>
      <c r="AS61" s="3242"/>
      <c r="AT61" s="3242"/>
      <c r="AU61" s="3242"/>
      <c r="AV61" s="3242"/>
      <c r="AW61" s="3242"/>
      <c r="AX61" s="3242"/>
      <c r="AY61" s="3242"/>
      <c r="AZ61" s="3242"/>
      <c r="BA61" s="3242"/>
      <c r="BB61" s="3242"/>
      <c r="BC61" s="3242"/>
      <c r="BD61" s="3242"/>
      <c r="BE61" s="3242"/>
      <c r="BF61" s="3176"/>
      <c r="BG61" s="3259"/>
      <c r="BH61" s="3259"/>
      <c r="BI61" s="3182" t="e">
        <f t="shared" si="4"/>
        <v>#DIV/0!</v>
      </c>
      <c r="BJ61" s="3198"/>
      <c r="BK61" s="3200"/>
      <c r="BL61" s="3172"/>
      <c r="BM61" s="3172"/>
      <c r="BN61" s="3172"/>
      <c r="BO61" s="3172"/>
      <c r="BP61" s="3176"/>
    </row>
    <row r="62" spans="1:68" s="366" customFormat="1" ht="30.75" customHeight="1" x14ac:dyDescent="0.2">
      <c r="A62" s="2086"/>
      <c r="D62" s="2090"/>
      <c r="F62" s="2091"/>
      <c r="G62" s="3233"/>
      <c r="H62" s="3233"/>
      <c r="I62" s="3236"/>
      <c r="J62" s="2742"/>
      <c r="K62" s="2584"/>
      <c r="L62" s="2584"/>
      <c r="M62" s="2584"/>
      <c r="N62" s="3225"/>
      <c r="O62" s="2909"/>
      <c r="P62" s="3227"/>
      <c r="Q62" s="3230"/>
      <c r="R62" s="2742"/>
      <c r="S62" s="3244"/>
      <c r="T62" s="3248"/>
      <c r="U62" s="2422">
        <v>2711399</v>
      </c>
      <c r="V62" s="2421"/>
      <c r="W62" s="2421"/>
      <c r="X62" s="2060">
        <v>20</v>
      </c>
      <c r="Y62" s="2211" t="s">
        <v>411</v>
      </c>
      <c r="Z62" s="3250"/>
      <c r="AA62" s="3242"/>
      <c r="AB62" s="3242"/>
      <c r="AC62" s="3242"/>
      <c r="AD62" s="3242"/>
      <c r="AE62" s="3242"/>
      <c r="AF62" s="3242"/>
      <c r="AG62" s="3242"/>
      <c r="AH62" s="3242"/>
      <c r="AI62" s="3242"/>
      <c r="AJ62" s="3242"/>
      <c r="AK62" s="3242"/>
      <c r="AL62" s="3242"/>
      <c r="AM62" s="3242"/>
      <c r="AN62" s="3242"/>
      <c r="AO62" s="3242"/>
      <c r="AP62" s="3242"/>
      <c r="AQ62" s="3242"/>
      <c r="AR62" s="3242"/>
      <c r="AS62" s="3242"/>
      <c r="AT62" s="3242"/>
      <c r="AU62" s="3242"/>
      <c r="AV62" s="3242"/>
      <c r="AW62" s="3242"/>
      <c r="AX62" s="3242"/>
      <c r="AY62" s="3242"/>
      <c r="AZ62" s="3242"/>
      <c r="BA62" s="3242"/>
      <c r="BB62" s="3242"/>
      <c r="BC62" s="3242"/>
      <c r="BD62" s="3242"/>
      <c r="BE62" s="3242"/>
      <c r="BF62" s="3176"/>
      <c r="BG62" s="3259"/>
      <c r="BH62" s="3259"/>
      <c r="BI62" s="3182" t="e">
        <f t="shared" si="4"/>
        <v>#DIV/0!</v>
      </c>
      <c r="BJ62" s="3198"/>
      <c r="BK62" s="3200"/>
      <c r="BL62" s="3172"/>
      <c r="BM62" s="3172"/>
      <c r="BN62" s="3172"/>
      <c r="BO62" s="3172"/>
      <c r="BP62" s="3176"/>
    </row>
    <row r="63" spans="1:68" s="366" customFormat="1" ht="31.5" customHeight="1" x14ac:dyDescent="0.2">
      <c r="A63" s="2086"/>
      <c r="D63" s="2090"/>
      <c r="F63" s="2091"/>
      <c r="G63" s="3233"/>
      <c r="H63" s="3233"/>
      <c r="I63" s="3236"/>
      <c r="J63" s="2742"/>
      <c r="K63" s="2584"/>
      <c r="L63" s="2584"/>
      <c r="M63" s="2584"/>
      <c r="N63" s="3225"/>
      <c r="O63" s="2909"/>
      <c r="P63" s="3227"/>
      <c r="Q63" s="3230"/>
      <c r="R63" s="2742"/>
      <c r="S63" s="3244"/>
      <c r="T63" s="1899" t="s">
        <v>1650</v>
      </c>
      <c r="U63" s="2422">
        <v>1500000</v>
      </c>
      <c r="V63" s="2421"/>
      <c r="W63" s="2421"/>
      <c r="X63" s="2060">
        <v>88</v>
      </c>
      <c r="Y63" s="2211" t="s">
        <v>85</v>
      </c>
      <c r="Z63" s="3250"/>
      <c r="AA63" s="3242"/>
      <c r="AB63" s="3242"/>
      <c r="AC63" s="3242"/>
      <c r="AD63" s="3242"/>
      <c r="AE63" s="3242"/>
      <c r="AF63" s="3242"/>
      <c r="AG63" s="3242"/>
      <c r="AH63" s="3242"/>
      <c r="AI63" s="3242"/>
      <c r="AJ63" s="3242"/>
      <c r="AK63" s="3242"/>
      <c r="AL63" s="3242"/>
      <c r="AM63" s="3242"/>
      <c r="AN63" s="3242"/>
      <c r="AO63" s="3242"/>
      <c r="AP63" s="3242"/>
      <c r="AQ63" s="3242"/>
      <c r="AR63" s="3242"/>
      <c r="AS63" s="3242"/>
      <c r="AT63" s="3242"/>
      <c r="AU63" s="3242"/>
      <c r="AV63" s="3242"/>
      <c r="AW63" s="3242"/>
      <c r="AX63" s="3242"/>
      <c r="AY63" s="3242"/>
      <c r="AZ63" s="3242"/>
      <c r="BA63" s="3242"/>
      <c r="BB63" s="3242"/>
      <c r="BC63" s="3242"/>
      <c r="BD63" s="3242"/>
      <c r="BE63" s="3242"/>
      <c r="BF63" s="3176"/>
      <c r="BG63" s="3259"/>
      <c r="BH63" s="3259"/>
      <c r="BI63" s="3182"/>
      <c r="BJ63" s="3198"/>
      <c r="BK63" s="3200"/>
      <c r="BL63" s="3172"/>
      <c r="BM63" s="3172"/>
      <c r="BN63" s="3172"/>
      <c r="BO63" s="3172"/>
      <c r="BP63" s="3176"/>
    </row>
    <row r="64" spans="1:68" s="366" customFormat="1" ht="47.25" customHeight="1" x14ac:dyDescent="0.2">
      <c r="A64" s="2086"/>
      <c r="D64" s="2090"/>
      <c r="F64" s="2091"/>
      <c r="G64" s="3233"/>
      <c r="H64" s="3233"/>
      <c r="I64" s="3236"/>
      <c r="J64" s="2742"/>
      <c r="K64" s="2584"/>
      <c r="L64" s="2584"/>
      <c r="M64" s="2584"/>
      <c r="N64" s="3225"/>
      <c r="O64" s="2909"/>
      <c r="P64" s="3227"/>
      <c r="Q64" s="3230"/>
      <c r="R64" s="2742"/>
      <c r="S64" s="3244"/>
      <c r="T64" s="2092" t="s">
        <v>1658</v>
      </c>
      <c r="U64" s="2422">
        <v>5125211</v>
      </c>
      <c r="V64" s="2421">
        <v>5125211</v>
      </c>
      <c r="W64" s="2421">
        <v>5125211</v>
      </c>
      <c r="X64" s="2060">
        <v>88</v>
      </c>
      <c r="Y64" s="2211" t="s">
        <v>411</v>
      </c>
      <c r="Z64" s="3250"/>
      <c r="AA64" s="3242"/>
      <c r="AB64" s="3242"/>
      <c r="AC64" s="3242"/>
      <c r="AD64" s="3242"/>
      <c r="AE64" s="3242"/>
      <c r="AF64" s="3242"/>
      <c r="AG64" s="3242"/>
      <c r="AH64" s="3242"/>
      <c r="AI64" s="3242"/>
      <c r="AJ64" s="3242"/>
      <c r="AK64" s="3242"/>
      <c r="AL64" s="3242"/>
      <c r="AM64" s="3242"/>
      <c r="AN64" s="3242"/>
      <c r="AO64" s="3242"/>
      <c r="AP64" s="3242"/>
      <c r="AQ64" s="3242"/>
      <c r="AR64" s="3242"/>
      <c r="AS64" s="3242"/>
      <c r="AT64" s="3242"/>
      <c r="AU64" s="3242"/>
      <c r="AV64" s="3242"/>
      <c r="AW64" s="3242"/>
      <c r="AX64" s="3242"/>
      <c r="AY64" s="3242"/>
      <c r="AZ64" s="3242"/>
      <c r="BA64" s="3242"/>
      <c r="BB64" s="3242"/>
      <c r="BC64" s="3242"/>
      <c r="BD64" s="3242"/>
      <c r="BE64" s="3242"/>
      <c r="BF64" s="3176"/>
      <c r="BG64" s="3259"/>
      <c r="BH64" s="3259"/>
      <c r="BI64" s="3182" t="e">
        <f t="shared" si="4"/>
        <v>#DIV/0!</v>
      </c>
      <c r="BJ64" s="3198"/>
      <c r="BK64" s="3200"/>
      <c r="BL64" s="3172"/>
      <c r="BM64" s="3172"/>
      <c r="BN64" s="3172"/>
      <c r="BO64" s="3172"/>
      <c r="BP64" s="3176"/>
    </row>
    <row r="65" spans="1:68" s="366" customFormat="1" ht="96" customHeight="1" x14ac:dyDescent="0.2">
      <c r="A65" s="2086"/>
      <c r="D65" s="2090"/>
      <c r="F65" s="2091"/>
      <c r="G65" s="3234"/>
      <c r="H65" s="3234"/>
      <c r="I65" s="3237"/>
      <c r="J65" s="2743"/>
      <c r="K65" s="2720"/>
      <c r="L65" s="2720"/>
      <c r="M65" s="2584"/>
      <c r="N65" s="3225"/>
      <c r="O65" s="2909"/>
      <c r="P65" s="3228"/>
      <c r="Q65" s="3230"/>
      <c r="R65" s="2742"/>
      <c r="S65" s="3244"/>
      <c r="T65" s="1901" t="s">
        <v>1659</v>
      </c>
      <c r="U65" s="2420">
        <v>2000000</v>
      </c>
      <c r="V65" s="2421">
        <f>1759179+240821</f>
        <v>2000000</v>
      </c>
      <c r="W65" s="2421">
        <f>1759179+240821</f>
        <v>2000000</v>
      </c>
      <c r="X65" s="2060">
        <v>88</v>
      </c>
      <c r="Y65" s="2211" t="s">
        <v>411</v>
      </c>
      <c r="Z65" s="3250"/>
      <c r="AA65" s="3242"/>
      <c r="AB65" s="3242"/>
      <c r="AC65" s="3242"/>
      <c r="AD65" s="3242"/>
      <c r="AE65" s="3242"/>
      <c r="AF65" s="3242"/>
      <c r="AG65" s="3242"/>
      <c r="AH65" s="3242"/>
      <c r="AI65" s="3242"/>
      <c r="AJ65" s="3242"/>
      <c r="AK65" s="3242"/>
      <c r="AL65" s="3242"/>
      <c r="AM65" s="3242"/>
      <c r="AN65" s="3242"/>
      <c r="AO65" s="3242"/>
      <c r="AP65" s="3242"/>
      <c r="AQ65" s="3242"/>
      <c r="AR65" s="3242"/>
      <c r="AS65" s="3242"/>
      <c r="AT65" s="3242"/>
      <c r="AU65" s="3242"/>
      <c r="AV65" s="3242"/>
      <c r="AW65" s="3242"/>
      <c r="AX65" s="3242"/>
      <c r="AY65" s="3242"/>
      <c r="AZ65" s="3242"/>
      <c r="BA65" s="3242"/>
      <c r="BB65" s="3242"/>
      <c r="BC65" s="3242"/>
      <c r="BD65" s="3242"/>
      <c r="BE65" s="3242"/>
      <c r="BF65" s="3176"/>
      <c r="BG65" s="3259"/>
      <c r="BH65" s="3259"/>
      <c r="BI65" s="3182" t="e">
        <f t="shared" si="4"/>
        <v>#DIV/0!</v>
      </c>
      <c r="BJ65" s="3198"/>
      <c r="BK65" s="3200"/>
      <c r="BL65" s="3172"/>
      <c r="BM65" s="3172"/>
      <c r="BN65" s="3172"/>
      <c r="BO65" s="3172"/>
      <c r="BP65" s="3176"/>
    </row>
    <row r="66" spans="1:68" s="366" customFormat="1" ht="70.5" customHeight="1" x14ac:dyDescent="0.2">
      <c r="A66" s="2086"/>
      <c r="D66" s="2090"/>
      <c r="F66" s="2091"/>
      <c r="G66" s="3232">
        <v>4101073</v>
      </c>
      <c r="H66" s="3232" t="s">
        <v>1660</v>
      </c>
      <c r="I66" s="3235" t="s">
        <v>1661</v>
      </c>
      <c r="J66" s="2741" t="s">
        <v>1662</v>
      </c>
      <c r="K66" s="2583">
        <v>20</v>
      </c>
      <c r="L66" s="2583">
        <v>0</v>
      </c>
      <c r="M66" s="2584"/>
      <c r="N66" s="3225"/>
      <c r="O66" s="2909"/>
      <c r="P66" s="3226">
        <f>(U66+U67+U68)/Q32</f>
        <v>0.12434699629241831</v>
      </c>
      <c r="Q66" s="3230"/>
      <c r="R66" s="2742"/>
      <c r="S66" s="3244"/>
      <c r="T66" s="1901" t="s">
        <v>1658</v>
      </c>
      <c r="U66" s="2420">
        <v>9400000</v>
      </c>
      <c r="V66" s="2421">
        <v>9400000</v>
      </c>
      <c r="W66" s="2421">
        <v>9400000</v>
      </c>
      <c r="X66" s="2060">
        <v>20</v>
      </c>
      <c r="Y66" s="2211" t="s">
        <v>411</v>
      </c>
      <c r="Z66" s="3250"/>
      <c r="AA66" s="3242"/>
      <c r="AB66" s="3242"/>
      <c r="AC66" s="3242"/>
      <c r="AD66" s="3242"/>
      <c r="AE66" s="3242"/>
      <c r="AF66" s="3242"/>
      <c r="AG66" s="3242"/>
      <c r="AH66" s="3242"/>
      <c r="AI66" s="3242"/>
      <c r="AJ66" s="3242"/>
      <c r="AK66" s="3242"/>
      <c r="AL66" s="3242"/>
      <c r="AM66" s="3242"/>
      <c r="AN66" s="3242"/>
      <c r="AO66" s="3242"/>
      <c r="AP66" s="3242"/>
      <c r="AQ66" s="3242"/>
      <c r="AR66" s="3242"/>
      <c r="AS66" s="3242"/>
      <c r="AT66" s="3242"/>
      <c r="AU66" s="3242"/>
      <c r="AV66" s="3242"/>
      <c r="AW66" s="3242"/>
      <c r="AX66" s="3242"/>
      <c r="AY66" s="3242"/>
      <c r="AZ66" s="3242"/>
      <c r="BA66" s="3242"/>
      <c r="BB66" s="3242"/>
      <c r="BC66" s="3242"/>
      <c r="BD66" s="3242"/>
      <c r="BE66" s="3242"/>
      <c r="BF66" s="3176"/>
      <c r="BG66" s="3259"/>
      <c r="BH66" s="3259"/>
      <c r="BI66" s="3182"/>
      <c r="BJ66" s="3198"/>
      <c r="BK66" s="3200"/>
      <c r="BL66" s="3172"/>
      <c r="BM66" s="3172"/>
      <c r="BN66" s="3172"/>
      <c r="BO66" s="3172"/>
      <c r="BP66" s="3176"/>
    </row>
    <row r="67" spans="1:68" s="366" customFormat="1" ht="46.5" customHeight="1" x14ac:dyDescent="0.2">
      <c r="A67" s="2086"/>
      <c r="D67" s="2090"/>
      <c r="F67" s="2091"/>
      <c r="G67" s="3233"/>
      <c r="H67" s="3233"/>
      <c r="I67" s="3236"/>
      <c r="J67" s="2742"/>
      <c r="K67" s="2584"/>
      <c r="L67" s="2584"/>
      <c r="M67" s="2584"/>
      <c r="N67" s="3225"/>
      <c r="O67" s="2909"/>
      <c r="P67" s="3227"/>
      <c r="Q67" s="3230"/>
      <c r="R67" s="2742"/>
      <c r="S67" s="3244"/>
      <c r="T67" s="3260" t="s">
        <v>1643</v>
      </c>
      <c r="U67" s="2420">
        <v>22225000</v>
      </c>
      <c r="V67" s="2421"/>
      <c r="W67" s="2421"/>
      <c r="X67" s="2060">
        <v>88</v>
      </c>
      <c r="Y67" s="2211" t="s">
        <v>411</v>
      </c>
      <c r="Z67" s="3250"/>
      <c r="AA67" s="3242"/>
      <c r="AB67" s="3242"/>
      <c r="AC67" s="3242"/>
      <c r="AD67" s="3242"/>
      <c r="AE67" s="3242"/>
      <c r="AF67" s="3242"/>
      <c r="AG67" s="3242"/>
      <c r="AH67" s="3242"/>
      <c r="AI67" s="3242"/>
      <c r="AJ67" s="3242"/>
      <c r="AK67" s="3242"/>
      <c r="AL67" s="3242"/>
      <c r="AM67" s="3242"/>
      <c r="AN67" s="3242"/>
      <c r="AO67" s="3242"/>
      <c r="AP67" s="3242"/>
      <c r="AQ67" s="3242"/>
      <c r="AR67" s="3242"/>
      <c r="AS67" s="3242"/>
      <c r="AT67" s="3242"/>
      <c r="AU67" s="3242"/>
      <c r="AV67" s="3242"/>
      <c r="AW67" s="3242"/>
      <c r="AX67" s="3242"/>
      <c r="AY67" s="3242"/>
      <c r="AZ67" s="3242"/>
      <c r="BA67" s="3242"/>
      <c r="BB67" s="3242"/>
      <c r="BC67" s="3242"/>
      <c r="BD67" s="3242"/>
      <c r="BE67" s="3242"/>
      <c r="BF67" s="3176"/>
      <c r="BG67" s="3259"/>
      <c r="BH67" s="3259"/>
      <c r="BI67" s="3182" t="e">
        <f t="shared" si="4"/>
        <v>#DIV/0!</v>
      </c>
      <c r="BJ67" s="3198"/>
      <c r="BK67" s="3200"/>
      <c r="BL67" s="3172"/>
      <c r="BM67" s="3172"/>
      <c r="BN67" s="3172"/>
      <c r="BO67" s="3172"/>
      <c r="BP67" s="3176"/>
    </row>
    <row r="68" spans="1:68" s="366" customFormat="1" ht="55.5" customHeight="1" x14ac:dyDescent="0.2">
      <c r="A68" s="2086"/>
      <c r="D68" s="2090"/>
      <c r="F68" s="2091"/>
      <c r="G68" s="3234"/>
      <c r="H68" s="3234"/>
      <c r="I68" s="3237"/>
      <c r="J68" s="2743"/>
      <c r="K68" s="2720"/>
      <c r="L68" s="2720"/>
      <c r="M68" s="2584"/>
      <c r="N68" s="3225"/>
      <c r="O68" s="2909"/>
      <c r="P68" s="3228"/>
      <c r="Q68" s="3230"/>
      <c r="R68" s="2742"/>
      <c r="S68" s="3244"/>
      <c r="T68" s="3260"/>
      <c r="U68" s="2420">
        <v>33375000</v>
      </c>
      <c r="V68" s="2421"/>
      <c r="W68" s="2421"/>
      <c r="X68" s="2060">
        <v>20</v>
      </c>
      <c r="Y68" s="2211" t="s">
        <v>85</v>
      </c>
      <c r="Z68" s="3250"/>
      <c r="AA68" s="3242"/>
      <c r="AB68" s="3242"/>
      <c r="AC68" s="3242"/>
      <c r="AD68" s="3242"/>
      <c r="AE68" s="3242"/>
      <c r="AF68" s="3242"/>
      <c r="AG68" s="3242"/>
      <c r="AH68" s="3242"/>
      <c r="AI68" s="3242"/>
      <c r="AJ68" s="3242"/>
      <c r="AK68" s="3242"/>
      <c r="AL68" s="3242"/>
      <c r="AM68" s="3242"/>
      <c r="AN68" s="3242"/>
      <c r="AO68" s="3242"/>
      <c r="AP68" s="3242"/>
      <c r="AQ68" s="3242"/>
      <c r="AR68" s="3242"/>
      <c r="AS68" s="3242"/>
      <c r="AT68" s="3242"/>
      <c r="AU68" s="3242"/>
      <c r="AV68" s="3242"/>
      <c r="AW68" s="3242"/>
      <c r="AX68" s="3242"/>
      <c r="AY68" s="3242"/>
      <c r="AZ68" s="3242"/>
      <c r="BA68" s="3242"/>
      <c r="BB68" s="3242"/>
      <c r="BC68" s="3242"/>
      <c r="BD68" s="3242"/>
      <c r="BE68" s="3242"/>
      <c r="BF68" s="3176"/>
      <c r="BG68" s="3259"/>
      <c r="BH68" s="3259"/>
      <c r="BI68" s="3182" t="e">
        <f t="shared" si="4"/>
        <v>#DIV/0!</v>
      </c>
      <c r="BJ68" s="3198"/>
      <c r="BK68" s="3200"/>
      <c r="BL68" s="3172"/>
      <c r="BM68" s="3172"/>
      <c r="BN68" s="3172"/>
      <c r="BO68" s="3172"/>
      <c r="BP68" s="3176"/>
    </row>
    <row r="69" spans="1:68" s="366" customFormat="1" ht="45.75" customHeight="1" x14ac:dyDescent="0.2">
      <c r="A69" s="2086"/>
      <c r="D69" s="2090"/>
      <c r="F69" s="2091"/>
      <c r="G69" s="3232">
        <v>4101011</v>
      </c>
      <c r="H69" s="3232" t="s">
        <v>1663</v>
      </c>
      <c r="I69" s="3235" t="s">
        <v>1664</v>
      </c>
      <c r="J69" s="2741" t="s">
        <v>1665</v>
      </c>
      <c r="K69" s="2583">
        <v>2</v>
      </c>
      <c r="L69" s="2583">
        <v>1</v>
      </c>
      <c r="M69" s="2584"/>
      <c r="N69" s="3225"/>
      <c r="O69" s="2909"/>
      <c r="P69" s="3226">
        <f>SUM(U69:U77)/Q32</f>
        <v>0.1052166891705078</v>
      </c>
      <c r="Q69" s="3230"/>
      <c r="R69" s="2742"/>
      <c r="S69" s="3244"/>
      <c r="T69" s="2892" t="s">
        <v>1666</v>
      </c>
      <c r="U69" s="2422">
        <v>15000000</v>
      </c>
      <c r="V69" s="2421">
        <v>5393333</v>
      </c>
      <c r="W69" s="2421">
        <v>5393333</v>
      </c>
      <c r="X69" s="2060">
        <v>88</v>
      </c>
      <c r="Y69" s="2211" t="s">
        <v>411</v>
      </c>
      <c r="Z69" s="3250"/>
      <c r="AA69" s="3242"/>
      <c r="AB69" s="3242"/>
      <c r="AC69" s="3242"/>
      <c r="AD69" s="3242"/>
      <c r="AE69" s="3242"/>
      <c r="AF69" s="3242"/>
      <c r="AG69" s="3242"/>
      <c r="AH69" s="3242"/>
      <c r="AI69" s="3242"/>
      <c r="AJ69" s="3242"/>
      <c r="AK69" s="3242"/>
      <c r="AL69" s="3242"/>
      <c r="AM69" s="3242"/>
      <c r="AN69" s="3242"/>
      <c r="AO69" s="3242"/>
      <c r="AP69" s="3242"/>
      <c r="AQ69" s="3242"/>
      <c r="AR69" s="3242"/>
      <c r="AS69" s="3242"/>
      <c r="AT69" s="3242"/>
      <c r="AU69" s="3242"/>
      <c r="AV69" s="3242"/>
      <c r="AW69" s="3242"/>
      <c r="AX69" s="3242"/>
      <c r="AY69" s="3242"/>
      <c r="AZ69" s="3242"/>
      <c r="BA69" s="3242"/>
      <c r="BB69" s="3242"/>
      <c r="BC69" s="3242"/>
      <c r="BD69" s="3242"/>
      <c r="BE69" s="3242"/>
      <c r="BF69" s="3176"/>
      <c r="BG69" s="3259"/>
      <c r="BH69" s="3259"/>
      <c r="BI69" s="3182"/>
      <c r="BJ69" s="3198"/>
      <c r="BK69" s="3200"/>
      <c r="BL69" s="3172"/>
      <c r="BM69" s="3172"/>
      <c r="BN69" s="3172"/>
      <c r="BO69" s="3172"/>
      <c r="BP69" s="3176"/>
    </row>
    <row r="70" spans="1:68" s="366" customFormat="1" ht="44.25" customHeight="1" x14ac:dyDescent="0.2">
      <c r="A70" s="2086"/>
      <c r="D70" s="2090"/>
      <c r="F70" s="2091"/>
      <c r="G70" s="3233"/>
      <c r="H70" s="3233"/>
      <c r="I70" s="3236"/>
      <c r="J70" s="2742"/>
      <c r="K70" s="2584"/>
      <c r="L70" s="2584"/>
      <c r="M70" s="2584"/>
      <c r="N70" s="3225"/>
      <c r="O70" s="2909"/>
      <c r="P70" s="3227"/>
      <c r="Q70" s="3230"/>
      <c r="R70" s="2742"/>
      <c r="S70" s="3244"/>
      <c r="T70" s="3248"/>
      <c r="U70" s="2422">
        <v>15000000</v>
      </c>
      <c r="V70" s="2421"/>
      <c r="W70" s="2421"/>
      <c r="X70" s="2060">
        <v>20</v>
      </c>
      <c r="Y70" s="2211" t="s">
        <v>85</v>
      </c>
      <c r="Z70" s="3250"/>
      <c r="AA70" s="3242"/>
      <c r="AB70" s="3242"/>
      <c r="AC70" s="3242"/>
      <c r="AD70" s="3242"/>
      <c r="AE70" s="3242"/>
      <c r="AF70" s="3242"/>
      <c r="AG70" s="3242"/>
      <c r="AH70" s="3242"/>
      <c r="AI70" s="3242"/>
      <c r="AJ70" s="3242"/>
      <c r="AK70" s="3242"/>
      <c r="AL70" s="3242"/>
      <c r="AM70" s="3242"/>
      <c r="AN70" s="3242"/>
      <c r="AO70" s="3242"/>
      <c r="AP70" s="3242"/>
      <c r="AQ70" s="3242"/>
      <c r="AR70" s="3242"/>
      <c r="AS70" s="3242"/>
      <c r="AT70" s="3242"/>
      <c r="AU70" s="3242"/>
      <c r="AV70" s="3242"/>
      <c r="AW70" s="3242"/>
      <c r="AX70" s="3242"/>
      <c r="AY70" s="3242"/>
      <c r="AZ70" s="3242"/>
      <c r="BA70" s="3242"/>
      <c r="BB70" s="3242"/>
      <c r="BC70" s="3242"/>
      <c r="BD70" s="3242"/>
      <c r="BE70" s="3242"/>
      <c r="BF70" s="3176"/>
      <c r="BG70" s="3259"/>
      <c r="BH70" s="3259"/>
      <c r="BI70" s="3182" t="e">
        <f t="shared" si="4"/>
        <v>#DIV/0!</v>
      </c>
      <c r="BJ70" s="3198"/>
      <c r="BK70" s="3200"/>
      <c r="BL70" s="3172"/>
      <c r="BM70" s="3172"/>
      <c r="BN70" s="3172"/>
      <c r="BO70" s="3172"/>
      <c r="BP70" s="3176"/>
    </row>
    <row r="71" spans="1:68" s="366" customFormat="1" ht="66.75" customHeight="1" x14ac:dyDescent="0.2">
      <c r="A71" s="2086"/>
      <c r="D71" s="2090"/>
      <c r="F71" s="2091"/>
      <c r="G71" s="3233"/>
      <c r="H71" s="3233"/>
      <c r="I71" s="3236"/>
      <c r="J71" s="2742"/>
      <c r="K71" s="2584"/>
      <c r="L71" s="2584"/>
      <c r="M71" s="2584"/>
      <c r="N71" s="3225"/>
      <c r="O71" s="2909"/>
      <c r="P71" s="3227"/>
      <c r="Q71" s="3230"/>
      <c r="R71" s="2742"/>
      <c r="S71" s="3244"/>
      <c r="T71" s="1906" t="s">
        <v>1651</v>
      </c>
      <c r="U71" s="2422">
        <v>425000</v>
      </c>
      <c r="V71" s="2421">
        <v>425000</v>
      </c>
      <c r="W71" s="2421">
        <v>425000</v>
      </c>
      <c r="X71" s="2060">
        <v>20</v>
      </c>
      <c r="Y71" s="2213" t="s">
        <v>85</v>
      </c>
      <c r="Z71" s="3250"/>
      <c r="AA71" s="3242"/>
      <c r="AB71" s="3242"/>
      <c r="AC71" s="3242"/>
      <c r="AD71" s="3242"/>
      <c r="AE71" s="3242"/>
      <c r="AF71" s="3242"/>
      <c r="AG71" s="3242"/>
      <c r="AH71" s="3242"/>
      <c r="AI71" s="3242"/>
      <c r="AJ71" s="3242"/>
      <c r="AK71" s="3242"/>
      <c r="AL71" s="3242"/>
      <c r="AM71" s="3242"/>
      <c r="AN71" s="3242"/>
      <c r="AO71" s="3242"/>
      <c r="AP71" s="3242"/>
      <c r="AQ71" s="3242"/>
      <c r="AR71" s="3242"/>
      <c r="AS71" s="3242"/>
      <c r="AT71" s="3242"/>
      <c r="AU71" s="3242"/>
      <c r="AV71" s="3242"/>
      <c r="AW71" s="3242"/>
      <c r="AX71" s="3242"/>
      <c r="AY71" s="3242"/>
      <c r="AZ71" s="3242"/>
      <c r="BA71" s="3242"/>
      <c r="BB71" s="3242"/>
      <c r="BC71" s="3242"/>
      <c r="BD71" s="3242"/>
      <c r="BE71" s="3242"/>
      <c r="BF71" s="3176"/>
      <c r="BG71" s="3259"/>
      <c r="BH71" s="3259"/>
      <c r="BI71" s="3182" t="e">
        <f t="shared" si="4"/>
        <v>#DIV/0!</v>
      </c>
      <c r="BJ71" s="3198"/>
      <c r="BK71" s="3200"/>
      <c r="BL71" s="3172"/>
      <c r="BM71" s="3172"/>
      <c r="BN71" s="3172"/>
      <c r="BO71" s="3172"/>
      <c r="BP71" s="3176"/>
    </row>
    <row r="72" spans="1:68" s="366" customFormat="1" ht="66.75" customHeight="1" x14ac:dyDescent="0.2">
      <c r="A72" s="2086"/>
      <c r="D72" s="2090"/>
      <c r="F72" s="2091"/>
      <c r="G72" s="3233"/>
      <c r="H72" s="3233"/>
      <c r="I72" s="3236"/>
      <c r="J72" s="2742"/>
      <c r="K72" s="2584"/>
      <c r="L72" s="2584"/>
      <c r="M72" s="2584"/>
      <c r="N72" s="3225"/>
      <c r="O72" s="2909"/>
      <c r="P72" s="3227"/>
      <c r="Q72" s="3230"/>
      <c r="R72" s="2742"/>
      <c r="S72" s="3244"/>
      <c r="T72" s="1900" t="s">
        <v>1644</v>
      </c>
      <c r="U72" s="2422">
        <v>5000000</v>
      </c>
      <c r="V72" s="2421">
        <v>5000000</v>
      </c>
      <c r="W72" s="2421">
        <v>5000000</v>
      </c>
      <c r="X72" s="2060">
        <v>20</v>
      </c>
      <c r="Y72" s="2213" t="s">
        <v>85</v>
      </c>
      <c r="Z72" s="3250"/>
      <c r="AA72" s="3242"/>
      <c r="AB72" s="3242"/>
      <c r="AC72" s="3242"/>
      <c r="AD72" s="3242"/>
      <c r="AE72" s="3242"/>
      <c r="AF72" s="3242"/>
      <c r="AG72" s="3242"/>
      <c r="AH72" s="3242"/>
      <c r="AI72" s="3242"/>
      <c r="AJ72" s="3242"/>
      <c r="AK72" s="3242"/>
      <c r="AL72" s="3242"/>
      <c r="AM72" s="3242"/>
      <c r="AN72" s="3242"/>
      <c r="AO72" s="3242"/>
      <c r="AP72" s="3242"/>
      <c r="AQ72" s="3242"/>
      <c r="AR72" s="3242"/>
      <c r="AS72" s="3242"/>
      <c r="AT72" s="3242"/>
      <c r="AU72" s="3242"/>
      <c r="AV72" s="3242"/>
      <c r="AW72" s="3242"/>
      <c r="AX72" s="3242"/>
      <c r="AY72" s="3242"/>
      <c r="AZ72" s="3242"/>
      <c r="BA72" s="3242"/>
      <c r="BB72" s="3242"/>
      <c r="BC72" s="3242"/>
      <c r="BD72" s="3242"/>
      <c r="BE72" s="3242"/>
      <c r="BF72" s="3176"/>
      <c r="BG72" s="3259"/>
      <c r="BH72" s="3259"/>
      <c r="BI72" s="3182"/>
      <c r="BJ72" s="3198"/>
      <c r="BK72" s="3200"/>
      <c r="BL72" s="3172"/>
      <c r="BM72" s="3172"/>
      <c r="BN72" s="3172"/>
      <c r="BO72" s="3172"/>
      <c r="BP72" s="3176"/>
    </row>
    <row r="73" spans="1:68" s="366" customFormat="1" ht="43.5" customHeight="1" x14ac:dyDescent="0.2">
      <c r="A73" s="2086"/>
      <c r="D73" s="2090"/>
      <c r="F73" s="2091"/>
      <c r="G73" s="3233"/>
      <c r="H73" s="3233"/>
      <c r="I73" s="3236"/>
      <c r="J73" s="2742"/>
      <c r="K73" s="2584"/>
      <c r="L73" s="2584"/>
      <c r="M73" s="2584"/>
      <c r="N73" s="3225"/>
      <c r="O73" s="2909"/>
      <c r="P73" s="3227"/>
      <c r="Q73" s="3230"/>
      <c r="R73" s="2742"/>
      <c r="S73" s="3247"/>
      <c r="T73" s="3260" t="s">
        <v>1667</v>
      </c>
      <c r="U73" s="2420"/>
      <c r="V73" s="2421"/>
      <c r="W73" s="2421"/>
      <c r="X73" s="2060">
        <v>20</v>
      </c>
      <c r="Y73" s="2213" t="s">
        <v>85</v>
      </c>
      <c r="Z73" s="3250"/>
      <c r="AA73" s="3242"/>
      <c r="AB73" s="3242"/>
      <c r="AC73" s="3242"/>
      <c r="AD73" s="3242"/>
      <c r="AE73" s="3242"/>
      <c r="AF73" s="3242"/>
      <c r="AG73" s="3242"/>
      <c r="AH73" s="3242"/>
      <c r="AI73" s="3242"/>
      <c r="AJ73" s="3242"/>
      <c r="AK73" s="3242"/>
      <c r="AL73" s="3242"/>
      <c r="AM73" s="3242"/>
      <c r="AN73" s="3242"/>
      <c r="AO73" s="3242"/>
      <c r="AP73" s="3242"/>
      <c r="AQ73" s="3242"/>
      <c r="AR73" s="3242"/>
      <c r="AS73" s="3242"/>
      <c r="AT73" s="3242"/>
      <c r="AU73" s="3242"/>
      <c r="AV73" s="3242"/>
      <c r="AW73" s="3242"/>
      <c r="AX73" s="3242"/>
      <c r="AY73" s="3242"/>
      <c r="AZ73" s="3242"/>
      <c r="BA73" s="3242"/>
      <c r="BB73" s="3242"/>
      <c r="BC73" s="3242"/>
      <c r="BD73" s="3242"/>
      <c r="BE73" s="3242"/>
      <c r="BF73" s="3176"/>
      <c r="BG73" s="3259"/>
      <c r="BH73" s="3259"/>
      <c r="BI73" s="3182" t="e">
        <f t="shared" si="4"/>
        <v>#DIV/0!</v>
      </c>
      <c r="BJ73" s="3198"/>
      <c r="BK73" s="3200"/>
      <c r="BL73" s="3172"/>
      <c r="BM73" s="3172"/>
      <c r="BN73" s="3172"/>
      <c r="BO73" s="3172"/>
      <c r="BP73" s="3176"/>
    </row>
    <row r="74" spans="1:68" s="366" customFormat="1" ht="51" customHeight="1" x14ac:dyDescent="0.2">
      <c r="A74" s="2086"/>
      <c r="D74" s="2090"/>
      <c r="F74" s="2091"/>
      <c r="G74" s="3233"/>
      <c r="H74" s="3233"/>
      <c r="I74" s="3236"/>
      <c r="J74" s="2742"/>
      <c r="K74" s="2584"/>
      <c r="L74" s="2584"/>
      <c r="M74" s="2584"/>
      <c r="N74" s="3225"/>
      <c r="O74" s="2909"/>
      <c r="P74" s="3227"/>
      <c r="Q74" s="3230"/>
      <c r="R74" s="2742"/>
      <c r="S74" s="3247"/>
      <c r="T74" s="3260"/>
      <c r="U74" s="2420">
        <v>5575000</v>
      </c>
      <c r="V74" s="2421">
        <v>2000000</v>
      </c>
      <c r="W74" s="2421">
        <v>2000000</v>
      </c>
      <c r="X74" s="2060">
        <v>88</v>
      </c>
      <c r="Y74" s="2213" t="s">
        <v>411</v>
      </c>
      <c r="Z74" s="3250"/>
      <c r="AA74" s="3242"/>
      <c r="AB74" s="3242"/>
      <c r="AC74" s="3242"/>
      <c r="AD74" s="3242"/>
      <c r="AE74" s="3242"/>
      <c r="AF74" s="3242"/>
      <c r="AG74" s="3242"/>
      <c r="AH74" s="3242"/>
      <c r="AI74" s="3242"/>
      <c r="AJ74" s="3242"/>
      <c r="AK74" s="3242"/>
      <c r="AL74" s="3242"/>
      <c r="AM74" s="3242"/>
      <c r="AN74" s="3242"/>
      <c r="AO74" s="3242"/>
      <c r="AP74" s="3242"/>
      <c r="AQ74" s="3242"/>
      <c r="AR74" s="3242"/>
      <c r="AS74" s="3242"/>
      <c r="AT74" s="3242"/>
      <c r="AU74" s="3242"/>
      <c r="AV74" s="3242"/>
      <c r="AW74" s="3242"/>
      <c r="AX74" s="3242"/>
      <c r="AY74" s="3242"/>
      <c r="AZ74" s="3242"/>
      <c r="BA74" s="3242"/>
      <c r="BB74" s="3242"/>
      <c r="BC74" s="3242"/>
      <c r="BD74" s="3242"/>
      <c r="BE74" s="3242"/>
      <c r="BF74" s="3176"/>
      <c r="BG74" s="3259"/>
      <c r="BH74" s="3259"/>
      <c r="BI74" s="3182"/>
      <c r="BJ74" s="3198"/>
      <c r="BK74" s="3200"/>
      <c r="BL74" s="3172"/>
      <c r="BM74" s="3172"/>
      <c r="BN74" s="3172"/>
      <c r="BO74" s="3172"/>
      <c r="BP74" s="3176"/>
    </row>
    <row r="75" spans="1:68" s="366" customFormat="1" ht="46.5" customHeight="1" x14ac:dyDescent="0.2">
      <c r="A75" s="2086"/>
      <c r="D75" s="2090"/>
      <c r="F75" s="2091"/>
      <c r="G75" s="3233"/>
      <c r="H75" s="3233"/>
      <c r="I75" s="3236"/>
      <c r="J75" s="2742"/>
      <c r="K75" s="2584"/>
      <c r="L75" s="2584"/>
      <c r="M75" s="2584"/>
      <c r="N75" s="3225"/>
      <c r="O75" s="2909"/>
      <c r="P75" s="3227"/>
      <c r="Q75" s="3230"/>
      <c r="R75" s="2742"/>
      <c r="S75" s="3244"/>
      <c r="T75" s="1900" t="s">
        <v>1650</v>
      </c>
      <c r="U75" s="2422"/>
      <c r="V75" s="2421"/>
      <c r="W75" s="2421"/>
      <c r="X75" s="2060"/>
      <c r="Y75" s="2213"/>
      <c r="Z75" s="3250"/>
      <c r="AA75" s="3242"/>
      <c r="AB75" s="3242"/>
      <c r="AC75" s="3242"/>
      <c r="AD75" s="3242"/>
      <c r="AE75" s="3242"/>
      <c r="AF75" s="3242"/>
      <c r="AG75" s="3242"/>
      <c r="AH75" s="3242"/>
      <c r="AI75" s="3242"/>
      <c r="AJ75" s="3242"/>
      <c r="AK75" s="3242"/>
      <c r="AL75" s="3242"/>
      <c r="AM75" s="3242"/>
      <c r="AN75" s="3242"/>
      <c r="AO75" s="3242"/>
      <c r="AP75" s="3242"/>
      <c r="AQ75" s="3242"/>
      <c r="AR75" s="3242"/>
      <c r="AS75" s="3242"/>
      <c r="AT75" s="3242"/>
      <c r="AU75" s="3242"/>
      <c r="AV75" s="3242"/>
      <c r="AW75" s="3242"/>
      <c r="AX75" s="3242"/>
      <c r="AY75" s="3242"/>
      <c r="AZ75" s="3242"/>
      <c r="BA75" s="3242"/>
      <c r="BB75" s="3242"/>
      <c r="BC75" s="3242"/>
      <c r="BD75" s="3242"/>
      <c r="BE75" s="3242"/>
      <c r="BF75" s="3176"/>
      <c r="BG75" s="3259"/>
      <c r="BH75" s="3259"/>
      <c r="BI75" s="3182" t="e">
        <f t="shared" si="4"/>
        <v>#DIV/0!</v>
      </c>
      <c r="BJ75" s="3198"/>
      <c r="BK75" s="3200"/>
      <c r="BL75" s="3172"/>
      <c r="BM75" s="3172"/>
      <c r="BN75" s="3172"/>
      <c r="BO75" s="3172"/>
      <c r="BP75" s="3176"/>
    </row>
    <row r="76" spans="1:68" s="366" customFormat="1" ht="45" customHeight="1" x14ac:dyDescent="0.2">
      <c r="A76" s="2086"/>
      <c r="D76" s="2090"/>
      <c r="F76" s="2091"/>
      <c r="G76" s="3233"/>
      <c r="H76" s="3233"/>
      <c r="I76" s="3236"/>
      <c r="J76" s="2742"/>
      <c r="K76" s="2584"/>
      <c r="L76" s="2584"/>
      <c r="M76" s="2584"/>
      <c r="N76" s="3225"/>
      <c r="O76" s="2909"/>
      <c r="P76" s="3227"/>
      <c r="Q76" s="3230"/>
      <c r="R76" s="2742"/>
      <c r="S76" s="3247"/>
      <c r="T76" s="2779" t="s">
        <v>1668</v>
      </c>
      <c r="U76" s="2420">
        <v>7000000</v>
      </c>
      <c r="V76" s="2421"/>
      <c r="W76" s="2421"/>
      <c r="X76" s="2060">
        <v>20</v>
      </c>
      <c r="Y76" s="2213" t="s">
        <v>85</v>
      </c>
      <c r="Z76" s="3250"/>
      <c r="AA76" s="3242"/>
      <c r="AB76" s="3242"/>
      <c r="AC76" s="3242"/>
      <c r="AD76" s="3242"/>
      <c r="AE76" s="3242"/>
      <c r="AF76" s="3242"/>
      <c r="AG76" s="3242"/>
      <c r="AH76" s="3242"/>
      <c r="AI76" s="3242"/>
      <c r="AJ76" s="3242"/>
      <c r="AK76" s="3242"/>
      <c r="AL76" s="3242"/>
      <c r="AM76" s="3242"/>
      <c r="AN76" s="3242"/>
      <c r="AO76" s="3242"/>
      <c r="AP76" s="3242"/>
      <c r="AQ76" s="3242"/>
      <c r="AR76" s="3242"/>
      <c r="AS76" s="3242"/>
      <c r="AT76" s="3242"/>
      <c r="AU76" s="3242"/>
      <c r="AV76" s="3242"/>
      <c r="AW76" s="3242"/>
      <c r="AX76" s="3242"/>
      <c r="AY76" s="3242"/>
      <c r="AZ76" s="3242"/>
      <c r="BA76" s="3242"/>
      <c r="BB76" s="3242"/>
      <c r="BC76" s="3242"/>
      <c r="BD76" s="3242"/>
      <c r="BE76" s="3242"/>
      <c r="BF76" s="3176"/>
      <c r="BG76" s="3259"/>
      <c r="BH76" s="3259"/>
      <c r="BI76" s="3182"/>
      <c r="BJ76" s="3198"/>
      <c r="BK76" s="3200"/>
      <c r="BL76" s="3172"/>
      <c r="BM76" s="3172"/>
      <c r="BN76" s="3172"/>
      <c r="BO76" s="3172"/>
      <c r="BP76" s="3176"/>
    </row>
    <row r="77" spans="1:68" s="366" customFormat="1" ht="48.75" customHeight="1" x14ac:dyDescent="0.2">
      <c r="A77" s="2086"/>
      <c r="C77" s="2091"/>
      <c r="D77" s="2093"/>
      <c r="F77" s="2091"/>
      <c r="G77" s="3233"/>
      <c r="H77" s="3233"/>
      <c r="I77" s="3236"/>
      <c r="J77" s="2742"/>
      <c r="K77" s="2584"/>
      <c r="L77" s="2584"/>
      <c r="M77" s="2584"/>
      <c r="N77" s="3225"/>
      <c r="O77" s="2909"/>
      <c r="P77" s="3227"/>
      <c r="Q77" s="3231"/>
      <c r="R77" s="2742"/>
      <c r="S77" s="3247"/>
      <c r="T77" s="3273"/>
      <c r="U77" s="2432">
        <v>7000000</v>
      </c>
      <c r="V77" s="2427"/>
      <c r="W77" s="2427"/>
      <c r="X77" s="2078">
        <v>88</v>
      </c>
      <c r="Y77" s="2246" t="s">
        <v>411</v>
      </c>
      <c r="Z77" s="3250"/>
      <c r="AA77" s="3242"/>
      <c r="AB77" s="3242"/>
      <c r="AC77" s="3242"/>
      <c r="AD77" s="3242"/>
      <c r="AE77" s="3242"/>
      <c r="AF77" s="3242"/>
      <c r="AG77" s="3242"/>
      <c r="AH77" s="3242"/>
      <c r="AI77" s="3242"/>
      <c r="AJ77" s="3242"/>
      <c r="AK77" s="3242"/>
      <c r="AL77" s="3242"/>
      <c r="AM77" s="3242"/>
      <c r="AN77" s="3242"/>
      <c r="AO77" s="3242"/>
      <c r="AP77" s="3242"/>
      <c r="AQ77" s="3242"/>
      <c r="AR77" s="3242"/>
      <c r="AS77" s="3242"/>
      <c r="AT77" s="3242"/>
      <c r="AU77" s="3242"/>
      <c r="AV77" s="3242"/>
      <c r="AW77" s="3242"/>
      <c r="AX77" s="3242"/>
      <c r="AY77" s="3242"/>
      <c r="AZ77" s="3242"/>
      <c r="BA77" s="3242"/>
      <c r="BB77" s="3242"/>
      <c r="BC77" s="3242"/>
      <c r="BD77" s="3242"/>
      <c r="BE77" s="3242"/>
      <c r="BF77" s="3176"/>
      <c r="BG77" s="3259"/>
      <c r="BH77" s="3259"/>
      <c r="BI77" s="3182" t="e">
        <f t="shared" si="4"/>
        <v>#DIV/0!</v>
      </c>
      <c r="BJ77" s="3198"/>
      <c r="BK77" s="3200"/>
      <c r="BL77" s="3172"/>
      <c r="BM77" s="3172"/>
      <c r="BN77" s="3172"/>
      <c r="BO77" s="3172"/>
      <c r="BP77" s="3176"/>
    </row>
    <row r="78" spans="1:68" s="1555" customFormat="1" ht="27" customHeight="1" x14ac:dyDescent="0.2">
      <c r="A78" s="3274"/>
      <c r="B78" s="3274"/>
      <c r="C78" s="3275"/>
      <c r="D78" s="1049">
        <v>37</v>
      </c>
      <c r="E78" s="1892" t="s">
        <v>815</v>
      </c>
      <c r="F78" s="222"/>
      <c r="G78" s="221"/>
      <c r="H78" s="221"/>
      <c r="I78" s="222"/>
      <c r="J78" s="222"/>
      <c r="K78" s="223"/>
      <c r="L78" s="223"/>
      <c r="M78" s="1053"/>
      <c r="N78" s="223"/>
      <c r="O78" s="222"/>
      <c r="P78" s="767"/>
      <c r="Q78" s="2436"/>
      <c r="R78" s="222"/>
      <c r="S78" s="222"/>
      <c r="T78" s="2094"/>
      <c r="U78" s="2433"/>
      <c r="V78" s="2429"/>
      <c r="W78" s="2429"/>
      <c r="X78" s="2095"/>
      <c r="Y78" s="1742"/>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223"/>
      <c r="BA78" s="223"/>
      <c r="BB78" s="223"/>
      <c r="BC78" s="223"/>
      <c r="BD78" s="223"/>
      <c r="BE78" s="223"/>
      <c r="BF78" s="223"/>
      <c r="BG78" s="223"/>
      <c r="BH78" s="223"/>
      <c r="BI78" s="223"/>
      <c r="BJ78" s="223"/>
      <c r="BK78" s="223"/>
      <c r="BL78" s="2083"/>
      <c r="BM78" s="2083"/>
      <c r="BN78" s="2083"/>
      <c r="BO78" s="2083"/>
      <c r="BP78" s="2084"/>
    </row>
    <row r="79" spans="1:68" s="1555" customFormat="1" ht="96" customHeight="1" x14ac:dyDescent="0.2">
      <c r="A79" s="3274"/>
      <c r="B79" s="3274"/>
      <c r="C79" s="3275"/>
      <c r="D79" s="3149"/>
      <c r="E79" s="3153"/>
      <c r="F79" s="3216"/>
      <c r="G79" s="2617" t="s">
        <v>603</v>
      </c>
      <c r="H79" s="3168" t="s">
        <v>1669</v>
      </c>
      <c r="I79" s="2787" t="s">
        <v>1670</v>
      </c>
      <c r="J79" s="2787" t="s">
        <v>1671</v>
      </c>
      <c r="K79" s="3168">
        <v>50</v>
      </c>
      <c r="L79" s="3019">
        <v>50</v>
      </c>
      <c r="M79" s="3168" t="s">
        <v>1672</v>
      </c>
      <c r="N79" s="2963" t="s">
        <v>1673</v>
      </c>
      <c r="O79" s="2787" t="s">
        <v>1674</v>
      </c>
      <c r="P79" s="3265">
        <f>(U79+U80+U81)/(Q79+Q99)</f>
        <v>0.14341952048679432</v>
      </c>
      <c r="Q79" s="3268">
        <f>SUM(U79:U81)</f>
        <v>15738667</v>
      </c>
      <c r="R79" s="2787" t="s">
        <v>1675</v>
      </c>
      <c r="S79" s="3271" t="s">
        <v>1676</v>
      </c>
      <c r="T79" s="2096" t="s">
        <v>1677</v>
      </c>
      <c r="U79" s="2434">
        <v>3347000</v>
      </c>
      <c r="V79" s="2431">
        <f>1238667</f>
        <v>1238667</v>
      </c>
      <c r="W79" s="2431">
        <v>1238667</v>
      </c>
      <c r="X79" s="2097">
        <v>88</v>
      </c>
      <c r="Y79" s="2252" t="s">
        <v>411</v>
      </c>
      <c r="Z79" s="2861">
        <v>1018</v>
      </c>
      <c r="AA79" s="3277">
        <v>51</v>
      </c>
      <c r="AB79" s="3277">
        <v>982</v>
      </c>
      <c r="AC79" s="3277">
        <v>62</v>
      </c>
      <c r="AD79" s="3277">
        <v>466</v>
      </c>
      <c r="AE79" s="3277">
        <v>0</v>
      </c>
      <c r="AF79" s="3277">
        <v>152</v>
      </c>
      <c r="AG79" s="3277">
        <v>0</v>
      </c>
      <c r="AH79" s="3277">
        <v>1063</v>
      </c>
      <c r="AI79" s="3277">
        <v>113</v>
      </c>
      <c r="AJ79" s="3277">
        <v>319</v>
      </c>
      <c r="AK79" s="3277">
        <v>0</v>
      </c>
      <c r="AL79" s="3277">
        <v>0</v>
      </c>
      <c r="AM79" s="3277">
        <v>0</v>
      </c>
      <c r="AN79" s="3277">
        <v>0</v>
      </c>
      <c r="AO79" s="3277">
        <v>0</v>
      </c>
      <c r="AP79" s="3277">
        <v>0</v>
      </c>
      <c r="AQ79" s="3277">
        <v>0</v>
      </c>
      <c r="AR79" s="3277">
        <v>0</v>
      </c>
      <c r="AS79" s="3277">
        <v>0</v>
      </c>
      <c r="AT79" s="3277">
        <v>0</v>
      </c>
      <c r="AU79" s="3277">
        <v>0</v>
      </c>
      <c r="AV79" s="3277">
        <v>0</v>
      </c>
      <c r="AW79" s="3277">
        <v>0</v>
      </c>
      <c r="AX79" s="3277">
        <v>0</v>
      </c>
      <c r="AY79" s="3277">
        <v>0</v>
      </c>
      <c r="AZ79" s="3277">
        <v>0</v>
      </c>
      <c r="BA79" s="3277">
        <v>0</v>
      </c>
      <c r="BB79" s="3277">
        <v>0</v>
      </c>
      <c r="BC79" s="3277">
        <v>0</v>
      </c>
      <c r="BD79" s="3277">
        <f>+Z79+AB79</f>
        <v>2000</v>
      </c>
      <c r="BE79" s="3277">
        <f>AA79+AC79</f>
        <v>113</v>
      </c>
      <c r="BF79" s="3178">
        <v>1</v>
      </c>
      <c r="BG79" s="3259">
        <f>SUM(V79:V81)</f>
        <v>4990295</v>
      </c>
      <c r="BH79" s="3259">
        <f>SUM(W79:W81)</f>
        <v>4990295</v>
      </c>
      <c r="BI79" s="3182">
        <f t="shared" ref="BI79" si="5">BH79/BG79</f>
        <v>1</v>
      </c>
      <c r="BJ79" s="3198">
        <v>88</v>
      </c>
      <c r="BK79" s="2858" t="s">
        <v>1634</v>
      </c>
      <c r="BL79" s="3278">
        <v>44077</v>
      </c>
      <c r="BM79" s="3278">
        <v>44186</v>
      </c>
      <c r="BN79" s="3278">
        <v>44195</v>
      </c>
      <c r="BO79" s="3278">
        <v>44195</v>
      </c>
      <c r="BP79" s="3178" t="s">
        <v>1585</v>
      </c>
    </row>
    <row r="80" spans="1:68" s="1555" customFormat="1" ht="63" customHeight="1" x14ac:dyDescent="0.2">
      <c r="A80" s="3274"/>
      <c r="B80" s="3274"/>
      <c r="C80" s="3275"/>
      <c r="D80" s="3150"/>
      <c r="E80" s="3153"/>
      <c r="F80" s="3216"/>
      <c r="G80" s="2618"/>
      <c r="H80" s="2626"/>
      <c r="I80" s="2698"/>
      <c r="J80" s="2698"/>
      <c r="K80" s="2626"/>
      <c r="L80" s="3019"/>
      <c r="M80" s="2626"/>
      <c r="N80" s="3264"/>
      <c r="O80" s="2698"/>
      <c r="P80" s="3266"/>
      <c r="Q80" s="3269"/>
      <c r="R80" s="2698"/>
      <c r="S80" s="3184"/>
      <c r="T80" s="2098" t="s">
        <v>1678</v>
      </c>
      <c r="U80" s="2422">
        <v>8391667</v>
      </c>
      <c r="V80" s="2421"/>
      <c r="W80" s="2421"/>
      <c r="X80" s="2057">
        <v>88</v>
      </c>
      <c r="Y80" s="2213" t="s">
        <v>411</v>
      </c>
      <c r="Z80" s="2861"/>
      <c r="AA80" s="3277"/>
      <c r="AB80" s="3277"/>
      <c r="AC80" s="3277"/>
      <c r="AD80" s="3277"/>
      <c r="AE80" s="3277"/>
      <c r="AF80" s="3277"/>
      <c r="AG80" s="3277"/>
      <c r="AH80" s="3277"/>
      <c r="AI80" s="3277"/>
      <c r="AJ80" s="3277"/>
      <c r="AK80" s="3277"/>
      <c r="AL80" s="3277"/>
      <c r="AM80" s="3277"/>
      <c r="AN80" s="3277"/>
      <c r="AO80" s="3277"/>
      <c r="AP80" s="3277"/>
      <c r="AQ80" s="3277"/>
      <c r="AR80" s="3277"/>
      <c r="AS80" s="3277"/>
      <c r="AT80" s="3277"/>
      <c r="AU80" s="3277"/>
      <c r="AV80" s="3277"/>
      <c r="AW80" s="3277"/>
      <c r="AX80" s="3277"/>
      <c r="AY80" s="3277"/>
      <c r="AZ80" s="3277"/>
      <c r="BA80" s="3277"/>
      <c r="BB80" s="3277"/>
      <c r="BC80" s="3277"/>
      <c r="BD80" s="3277"/>
      <c r="BE80" s="3277"/>
      <c r="BF80" s="3178"/>
      <c r="BG80" s="3259"/>
      <c r="BH80" s="3259"/>
      <c r="BI80" s="3182"/>
      <c r="BJ80" s="3198"/>
      <c r="BK80" s="2858"/>
      <c r="BL80" s="3278"/>
      <c r="BM80" s="3278"/>
      <c r="BN80" s="3278"/>
      <c r="BO80" s="3278"/>
      <c r="BP80" s="3178"/>
    </row>
    <row r="81" spans="1:71" s="1555" customFormat="1" ht="70.5" customHeight="1" x14ac:dyDescent="0.2">
      <c r="A81" s="3274"/>
      <c r="B81" s="3274"/>
      <c r="C81" s="3275"/>
      <c r="D81" s="3151"/>
      <c r="E81" s="3153"/>
      <c r="F81" s="3216"/>
      <c r="G81" s="3276"/>
      <c r="H81" s="3167"/>
      <c r="I81" s="2788"/>
      <c r="J81" s="2788"/>
      <c r="K81" s="3167"/>
      <c r="L81" s="3019"/>
      <c r="M81" s="3167"/>
      <c r="N81" s="2962"/>
      <c r="O81" s="2788"/>
      <c r="P81" s="3267"/>
      <c r="Q81" s="3270"/>
      <c r="R81" s="2788"/>
      <c r="S81" s="3272"/>
      <c r="T81" s="2099" t="s">
        <v>1679</v>
      </c>
      <c r="U81" s="2435">
        <v>4000000</v>
      </c>
      <c r="V81" s="2427">
        <f>1751628+2000000</f>
        <v>3751628</v>
      </c>
      <c r="W81" s="2427">
        <v>3751628</v>
      </c>
      <c r="X81" s="2100">
        <v>88</v>
      </c>
      <c r="Y81" s="2246" t="s">
        <v>411</v>
      </c>
      <c r="Z81" s="2861"/>
      <c r="AA81" s="3277"/>
      <c r="AB81" s="3277"/>
      <c r="AC81" s="3277"/>
      <c r="AD81" s="3277"/>
      <c r="AE81" s="3277"/>
      <c r="AF81" s="3277"/>
      <c r="AG81" s="3277"/>
      <c r="AH81" s="3277"/>
      <c r="AI81" s="3277"/>
      <c r="AJ81" s="3277"/>
      <c r="AK81" s="3277"/>
      <c r="AL81" s="3277"/>
      <c r="AM81" s="3277"/>
      <c r="AN81" s="3277"/>
      <c r="AO81" s="3277"/>
      <c r="AP81" s="3277"/>
      <c r="AQ81" s="3277"/>
      <c r="AR81" s="3277"/>
      <c r="AS81" s="3277"/>
      <c r="AT81" s="3277"/>
      <c r="AU81" s="3277"/>
      <c r="AV81" s="3277"/>
      <c r="AW81" s="3277"/>
      <c r="AX81" s="3277"/>
      <c r="AY81" s="3277"/>
      <c r="AZ81" s="3277"/>
      <c r="BA81" s="3277"/>
      <c r="BB81" s="3277"/>
      <c r="BC81" s="3277"/>
      <c r="BD81" s="3277"/>
      <c r="BE81" s="3277"/>
      <c r="BF81" s="3178"/>
      <c r="BG81" s="3259"/>
      <c r="BH81" s="3259"/>
      <c r="BI81" s="3182" t="e">
        <f t="shared" ref="BI81" si="6">BH81/BG81</f>
        <v>#DIV/0!</v>
      </c>
      <c r="BJ81" s="3198"/>
      <c r="BK81" s="2858"/>
      <c r="BL81" s="3278"/>
      <c r="BM81" s="3278"/>
      <c r="BN81" s="3278"/>
      <c r="BO81" s="3278"/>
      <c r="BP81" s="3178"/>
    </row>
    <row r="82" spans="1:71" s="1555" customFormat="1" ht="27" customHeight="1" x14ac:dyDescent="0.2">
      <c r="A82" s="2068"/>
      <c r="B82" s="2068"/>
      <c r="C82" s="2069"/>
      <c r="D82" s="1134">
        <v>41</v>
      </c>
      <c r="E82" s="1889" t="s">
        <v>967</v>
      </c>
      <c r="F82" s="220"/>
      <c r="G82" s="221"/>
      <c r="H82" s="221"/>
      <c r="I82" s="222"/>
      <c r="J82" s="222"/>
      <c r="K82" s="223"/>
      <c r="L82" s="223"/>
      <c r="M82" s="1053"/>
      <c r="N82" s="223"/>
      <c r="O82" s="222"/>
      <c r="P82" s="767"/>
      <c r="Q82" s="2436"/>
      <c r="R82" s="222"/>
      <c r="S82" s="222"/>
      <c r="T82" s="2101"/>
      <c r="U82" s="2436"/>
      <c r="V82" s="2437"/>
      <c r="W82" s="2437"/>
      <c r="X82" s="2095"/>
      <c r="Y82" s="1053"/>
      <c r="Z82" s="223"/>
      <c r="AA82" s="223"/>
      <c r="AB82" s="223"/>
      <c r="AC82" s="223"/>
      <c r="AD82" s="223"/>
      <c r="AE82" s="223"/>
      <c r="AF82" s="223"/>
      <c r="AG82" s="223"/>
      <c r="AH82" s="223"/>
      <c r="AI82" s="223"/>
      <c r="AJ82" s="223"/>
      <c r="AK82" s="223"/>
      <c r="AL82" s="223"/>
      <c r="AM82" s="223"/>
      <c r="AN82" s="223"/>
      <c r="AO82" s="223"/>
      <c r="AP82" s="223"/>
      <c r="AQ82" s="223"/>
      <c r="AR82" s="223"/>
      <c r="AS82" s="223"/>
      <c r="AT82" s="223"/>
      <c r="AU82" s="223"/>
      <c r="AV82" s="223"/>
      <c r="AW82" s="223"/>
      <c r="AX82" s="223"/>
      <c r="AY82" s="223"/>
      <c r="AZ82" s="223"/>
      <c r="BA82" s="223"/>
      <c r="BB82" s="223"/>
      <c r="BC82" s="223"/>
      <c r="BD82" s="223"/>
      <c r="BE82" s="223"/>
      <c r="BF82" s="223"/>
      <c r="BG82" s="223"/>
      <c r="BH82" s="223"/>
      <c r="BI82" s="223"/>
      <c r="BJ82" s="223"/>
      <c r="BK82" s="223"/>
      <c r="BL82" s="2083"/>
      <c r="BM82" s="2083"/>
      <c r="BN82" s="2083"/>
      <c r="BO82" s="2083"/>
      <c r="BP82" s="2084"/>
    </row>
    <row r="83" spans="1:71" s="1555" customFormat="1" ht="60" customHeight="1" x14ac:dyDescent="0.2">
      <c r="A83" s="2102"/>
      <c r="B83" s="2068"/>
      <c r="C83" s="2068"/>
      <c r="D83" s="2061"/>
      <c r="E83" s="2062"/>
      <c r="F83" s="2063"/>
      <c r="G83" s="2617" t="s">
        <v>603</v>
      </c>
      <c r="H83" s="3168" t="s">
        <v>1680</v>
      </c>
      <c r="I83" s="2787" t="s">
        <v>1681</v>
      </c>
      <c r="J83" s="2787" t="s">
        <v>1682</v>
      </c>
      <c r="K83" s="3168">
        <v>5</v>
      </c>
      <c r="L83" s="3019">
        <v>5</v>
      </c>
      <c r="M83" s="3168" t="s">
        <v>1683</v>
      </c>
      <c r="N83" s="2963" t="s">
        <v>1596</v>
      </c>
      <c r="O83" s="2787" t="s">
        <v>1597</v>
      </c>
      <c r="P83" s="3265">
        <f>(U83+U84+U85+U86+U87+U88+U89+U90+U91+U92+U93+U94+U95+U96+U97+U98)/(Q83+Q20+Q23)</f>
        <v>0.986499096804488</v>
      </c>
      <c r="Q83" s="3279">
        <f>SUM(U83:U98)</f>
        <v>2192073558.0100002</v>
      </c>
      <c r="R83" s="2787" t="s">
        <v>1607</v>
      </c>
      <c r="S83" s="3271" t="s">
        <v>1599</v>
      </c>
      <c r="T83" s="1911" t="s">
        <v>1684</v>
      </c>
      <c r="U83" s="2434">
        <v>14000000</v>
      </c>
      <c r="V83" s="2431">
        <v>14000000</v>
      </c>
      <c r="W83" s="2431">
        <v>14000000</v>
      </c>
      <c r="X83" s="2085">
        <v>42</v>
      </c>
      <c r="Y83" s="2252" t="s">
        <v>1685</v>
      </c>
      <c r="Z83" s="3187">
        <v>295972</v>
      </c>
      <c r="AA83" s="3205">
        <v>5000</v>
      </c>
      <c r="AB83" s="3206">
        <v>285580</v>
      </c>
      <c r="AC83" s="3205">
        <v>4200</v>
      </c>
      <c r="AD83" s="3206">
        <v>135545</v>
      </c>
      <c r="AE83" s="3205"/>
      <c r="AF83" s="3206">
        <v>44254</v>
      </c>
      <c r="AG83" s="3205"/>
      <c r="AH83" s="3206">
        <v>309146</v>
      </c>
      <c r="AI83" s="3205">
        <v>9200</v>
      </c>
      <c r="AJ83" s="3206">
        <v>92607</v>
      </c>
      <c r="AK83" s="3205"/>
      <c r="AL83" s="3206">
        <v>2145</v>
      </c>
      <c r="AM83" s="3205"/>
      <c r="AN83" s="3206">
        <v>12718</v>
      </c>
      <c r="AO83" s="3205"/>
      <c r="AP83" s="3206">
        <v>26</v>
      </c>
      <c r="AQ83" s="3205"/>
      <c r="AR83" s="3206">
        <v>12</v>
      </c>
      <c r="AS83" s="3205"/>
      <c r="AT83" s="3206">
        <v>0</v>
      </c>
      <c r="AU83" s="3205"/>
      <c r="AV83" s="3206">
        <v>0</v>
      </c>
      <c r="AW83" s="3205"/>
      <c r="AX83" s="3206"/>
      <c r="AY83" s="3205"/>
      <c r="AZ83" s="3206"/>
      <c r="BA83" s="3205"/>
      <c r="BB83" s="3206"/>
      <c r="BC83" s="3205"/>
      <c r="BD83" s="3205">
        <f>Z83+AB83</f>
        <v>581552</v>
      </c>
      <c r="BE83" s="3206">
        <f>AA83+AC83</f>
        <v>9200</v>
      </c>
      <c r="BF83" s="3287">
        <v>3</v>
      </c>
      <c r="BG83" s="3180">
        <f>SUM(V83:V98)</f>
        <v>216525722</v>
      </c>
      <c r="BH83" s="3180">
        <f>SUM(W83:W98)</f>
        <v>216525722</v>
      </c>
      <c r="BI83" s="3182">
        <f t="shared" ref="BI83:BI96" si="7">BH83/BG83</f>
        <v>1</v>
      </c>
      <c r="BJ83" s="3198" t="s">
        <v>1686</v>
      </c>
      <c r="BK83" s="3291" t="s">
        <v>1687</v>
      </c>
      <c r="BL83" s="3278">
        <v>43899</v>
      </c>
      <c r="BM83" s="3278">
        <v>44186</v>
      </c>
      <c r="BN83" s="3282">
        <v>44195</v>
      </c>
      <c r="BO83" s="3282">
        <v>44195</v>
      </c>
      <c r="BP83" s="3178" t="s">
        <v>1585</v>
      </c>
      <c r="BQ83" s="2103"/>
      <c r="BR83" s="2103"/>
      <c r="BS83" s="2104"/>
    </row>
    <row r="84" spans="1:71" s="1555" customFormat="1" ht="63.75" customHeight="1" x14ac:dyDescent="0.2">
      <c r="A84" s="2102"/>
      <c r="B84" s="2068"/>
      <c r="C84" s="2068"/>
      <c r="D84" s="2067"/>
      <c r="E84" s="2068"/>
      <c r="F84" s="2069"/>
      <c r="G84" s="2618"/>
      <c r="H84" s="2626"/>
      <c r="I84" s="2698"/>
      <c r="J84" s="2698"/>
      <c r="K84" s="2626"/>
      <c r="L84" s="3019"/>
      <c r="M84" s="2626"/>
      <c r="N84" s="3264"/>
      <c r="O84" s="2698"/>
      <c r="P84" s="3266"/>
      <c r="Q84" s="3280"/>
      <c r="R84" s="2698"/>
      <c r="S84" s="3184"/>
      <c r="T84" s="3273" t="s">
        <v>1688</v>
      </c>
      <c r="U84" s="2422">
        <v>160000000</v>
      </c>
      <c r="V84" s="2421"/>
      <c r="W84" s="2421"/>
      <c r="X84" s="2060">
        <v>92</v>
      </c>
      <c r="Y84" s="2213" t="s">
        <v>1689</v>
      </c>
      <c r="Z84" s="3185"/>
      <c r="AA84" s="3205"/>
      <c r="AB84" s="3238"/>
      <c r="AC84" s="3205"/>
      <c r="AD84" s="3238"/>
      <c r="AE84" s="3205"/>
      <c r="AF84" s="3238"/>
      <c r="AG84" s="3205"/>
      <c r="AH84" s="3238"/>
      <c r="AI84" s="3205"/>
      <c r="AJ84" s="3238"/>
      <c r="AK84" s="3205"/>
      <c r="AL84" s="3238"/>
      <c r="AM84" s="3205"/>
      <c r="AN84" s="3238"/>
      <c r="AO84" s="3205"/>
      <c r="AP84" s="3238"/>
      <c r="AQ84" s="3205"/>
      <c r="AR84" s="3238"/>
      <c r="AS84" s="3205"/>
      <c r="AT84" s="3238"/>
      <c r="AU84" s="3205"/>
      <c r="AV84" s="3238"/>
      <c r="AW84" s="3205"/>
      <c r="AX84" s="3238"/>
      <c r="AY84" s="3205"/>
      <c r="AZ84" s="3238"/>
      <c r="BA84" s="3205"/>
      <c r="BB84" s="3238"/>
      <c r="BC84" s="3205"/>
      <c r="BD84" s="3205"/>
      <c r="BE84" s="3238"/>
      <c r="BF84" s="3287"/>
      <c r="BG84" s="3180"/>
      <c r="BH84" s="3180"/>
      <c r="BI84" s="3182"/>
      <c r="BJ84" s="3198"/>
      <c r="BK84" s="3292"/>
      <c r="BL84" s="3278"/>
      <c r="BM84" s="3278"/>
      <c r="BN84" s="3283"/>
      <c r="BO84" s="3283"/>
      <c r="BP84" s="3178"/>
      <c r="BQ84" s="2104"/>
      <c r="BR84" s="2104"/>
      <c r="BS84" s="2104"/>
    </row>
    <row r="85" spans="1:71" s="1555" customFormat="1" ht="63.75" customHeight="1" x14ac:dyDescent="0.2">
      <c r="A85" s="2102"/>
      <c r="B85" s="2068"/>
      <c r="C85" s="2068"/>
      <c r="D85" s="2067"/>
      <c r="E85" s="2068"/>
      <c r="F85" s="2069"/>
      <c r="G85" s="2618"/>
      <c r="H85" s="2626"/>
      <c r="I85" s="2698"/>
      <c r="J85" s="2698"/>
      <c r="K85" s="2626"/>
      <c r="L85" s="3019"/>
      <c r="M85" s="2626"/>
      <c r="N85" s="3264"/>
      <c r="O85" s="2698"/>
      <c r="P85" s="3266"/>
      <c r="Q85" s="3280"/>
      <c r="R85" s="2698"/>
      <c r="S85" s="3184"/>
      <c r="T85" s="2778"/>
      <c r="U85" s="2422">
        <v>940000000</v>
      </c>
      <c r="V85" s="2421">
        <v>2000000</v>
      </c>
      <c r="W85" s="2421">
        <v>2000000</v>
      </c>
      <c r="X85" s="2060">
        <v>42</v>
      </c>
      <c r="Y85" s="2213"/>
      <c r="Z85" s="3185"/>
      <c r="AA85" s="3205"/>
      <c r="AB85" s="3238"/>
      <c r="AC85" s="3205"/>
      <c r="AD85" s="3238"/>
      <c r="AE85" s="3205"/>
      <c r="AF85" s="3238"/>
      <c r="AG85" s="3205"/>
      <c r="AH85" s="3238"/>
      <c r="AI85" s="3205"/>
      <c r="AJ85" s="3238"/>
      <c r="AK85" s="3205"/>
      <c r="AL85" s="3238"/>
      <c r="AM85" s="3205"/>
      <c r="AN85" s="3238"/>
      <c r="AO85" s="3205"/>
      <c r="AP85" s="3238"/>
      <c r="AQ85" s="3205"/>
      <c r="AR85" s="3238"/>
      <c r="AS85" s="3205"/>
      <c r="AT85" s="3238"/>
      <c r="AU85" s="3205"/>
      <c r="AV85" s="3238"/>
      <c r="AW85" s="3205"/>
      <c r="AX85" s="3238"/>
      <c r="AY85" s="3205"/>
      <c r="AZ85" s="3238"/>
      <c r="BA85" s="3205"/>
      <c r="BB85" s="3238"/>
      <c r="BC85" s="3205"/>
      <c r="BD85" s="3205"/>
      <c r="BE85" s="3238"/>
      <c r="BF85" s="3287"/>
      <c r="BG85" s="3180"/>
      <c r="BH85" s="3180"/>
      <c r="BI85" s="3182"/>
      <c r="BJ85" s="3198"/>
      <c r="BK85" s="3292"/>
      <c r="BL85" s="3278"/>
      <c r="BM85" s="3278"/>
      <c r="BN85" s="3283"/>
      <c r="BO85" s="3283"/>
      <c r="BP85" s="3178"/>
      <c r="BQ85" s="2103"/>
      <c r="BR85" s="2103"/>
      <c r="BS85" s="2103"/>
    </row>
    <row r="86" spans="1:71" s="1555" customFormat="1" ht="51" customHeight="1" x14ac:dyDescent="0.2">
      <c r="A86" s="2102"/>
      <c r="B86" s="2068"/>
      <c r="C86" s="2068"/>
      <c r="D86" s="2067"/>
      <c r="E86" s="2068"/>
      <c r="F86" s="2069"/>
      <c r="G86" s="2618"/>
      <c r="H86" s="2626"/>
      <c r="I86" s="2698"/>
      <c r="J86" s="2698"/>
      <c r="K86" s="2626"/>
      <c r="L86" s="3019"/>
      <c r="M86" s="2626"/>
      <c r="N86" s="3264"/>
      <c r="O86" s="2698"/>
      <c r="P86" s="3266"/>
      <c r="Q86" s="3280"/>
      <c r="R86" s="2698"/>
      <c r="S86" s="3184"/>
      <c r="T86" s="1909" t="s">
        <v>1690</v>
      </c>
      <c r="U86" s="2422">
        <v>100000000</v>
      </c>
      <c r="V86" s="2421">
        <v>100000000</v>
      </c>
      <c r="W86" s="2421">
        <v>100000000</v>
      </c>
      <c r="X86" s="2060">
        <v>42</v>
      </c>
      <c r="Y86" s="2213" t="s">
        <v>1685</v>
      </c>
      <c r="Z86" s="3185"/>
      <c r="AA86" s="3205"/>
      <c r="AB86" s="3238"/>
      <c r="AC86" s="3205"/>
      <c r="AD86" s="3238"/>
      <c r="AE86" s="3205"/>
      <c r="AF86" s="3238"/>
      <c r="AG86" s="3205"/>
      <c r="AH86" s="3238"/>
      <c r="AI86" s="3205"/>
      <c r="AJ86" s="3238"/>
      <c r="AK86" s="3205"/>
      <c r="AL86" s="3238"/>
      <c r="AM86" s="3205"/>
      <c r="AN86" s="3238"/>
      <c r="AO86" s="3205"/>
      <c r="AP86" s="3238"/>
      <c r="AQ86" s="3205"/>
      <c r="AR86" s="3238"/>
      <c r="AS86" s="3205"/>
      <c r="AT86" s="3238"/>
      <c r="AU86" s="3205"/>
      <c r="AV86" s="3238"/>
      <c r="AW86" s="3205"/>
      <c r="AX86" s="3238"/>
      <c r="AY86" s="3205"/>
      <c r="AZ86" s="3238"/>
      <c r="BA86" s="3205"/>
      <c r="BB86" s="3238"/>
      <c r="BC86" s="3205"/>
      <c r="BD86" s="3205"/>
      <c r="BE86" s="3238"/>
      <c r="BF86" s="3287"/>
      <c r="BG86" s="3180"/>
      <c r="BH86" s="3180"/>
      <c r="BI86" s="3182" t="e">
        <f t="shared" ref="BI86:BI98" si="8">BH86/BG86</f>
        <v>#DIV/0!</v>
      </c>
      <c r="BJ86" s="3198"/>
      <c r="BK86" s="3292"/>
      <c r="BL86" s="3278"/>
      <c r="BM86" s="3278"/>
      <c r="BN86" s="3283"/>
      <c r="BO86" s="3283"/>
      <c r="BP86" s="3178"/>
      <c r="BQ86" s="2103"/>
      <c r="BR86" s="2103"/>
      <c r="BS86" s="2103"/>
    </row>
    <row r="87" spans="1:71" s="1555" customFormat="1" ht="80.25" customHeight="1" x14ac:dyDescent="0.2">
      <c r="A87" s="2102"/>
      <c r="B87" s="2068"/>
      <c r="C87" s="2068"/>
      <c r="D87" s="2067"/>
      <c r="E87" s="2068"/>
      <c r="F87" s="2069"/>
      <c r="G87" s="2618"/>
      <c r="H87" s="2626"/>
      <c r="I87" s="2698"/>
      <c r="J87" s="2698"/>
      <c r="K87" s="2626"/>
      <c r="L87" s="3019"/>
      <c r="M87" s="2626"/>
      <c r="N87" s="3264"/>
      <c r="O87" s="2698"/>
      <c r="P87" s="3266"/>
      <c r="Q87" s="3280"/>
      <c r="R87" s="2698"/>
      <c r="S87" s="3184"/>
      <c r="T87" s="1909" t="s">
        <v>1691</v>
      </c>
      <c r="U87" s="2422">
        <f>2000000+119840000</f>
        <v>121840000</v>
      </c>
      <c r="V87" s="2421">
        <f>76004837+3410000-29222800</f>
        <v>50192037</v>
      </c>
      <c r="W87" s="2421">
        <f>76004837+3410000-29222800</f>
        <v>50192037</v>
      </c>
      <c r="X87" s="2060">
        <v>42</v>
      </c>
      <c r="Y87" s="2213" t="s">
        <v>1685</v>
      </c>
      <c r="Z87" s="3185"/>
      <c r="AA87" s="3205"/>
      <c r="AB87" s="3238"/>
      <c r="AC87" s="3205"/>
      <c r="AD87" s="3238"/>
      <c r="AE87" s="3205"/>
      <c r="AF87" s="3238"/>
      <c r="AG87" s="3205"/>
      <c r="AH87" s="3238"/>
      <c r="AI87" s="3205"/>
      <c r="AJ87" s="3238"/>
      <c r="AK87" s="3205"/>
      <c r="AL87" s="3238"/>
      <c r="AM87" s="3205"/>
      <c r="AN87" s="3238"/>
      <c r="AO87" s="3205"/>
      <c r="AP87" s="3238"/>
      <c r="AQ87" s="3205"/>
      <c r="AR87" s="3238"/>
      <c r="AS87" s="3205"/>
      <c r="AT87" s="3238"/>
      <c r="AU87" s="3205"/>
      <c r="AV87" s="3238"/>
      <c r="AW87" s="3205"/>
      <c r="AX87" s="3238"/>
      <c r="AY87" s="3205"/>
      <c r="AZ87" s="3238"/>
      <c r="BA87" s="3205"/>
      <c r="BB87" s="3238"/>
      <c r="BC87" s="3205"/>
      <c r="BD87" s="3205"/>
      <c r="BE87" s="3238"/>
      <c r="BF87" s="3287"/>
      <c r="BG87" s="3180"/>
      <c r="BH87" s="3180"/>
      <c r="BI87" s="3182" t="e">
        <f t="shared" si="7"/>
        <v>#DIV/0!</v>
      </c>
      <c r="BJ87" s="3198"/>
      <c r="BK87" s="3292"/>
      <c r="BL87" s="3278"/>
      <c r="BM87" s="3278"/>
      <c r="BN87" s="3283"/>
      <c r="BO87" s="3283"/>
      <c r="BP87" s="3178"/>
      <c r="BQ87" s="2103"/>
      <c r="BR87" s="2103"/>
      <c r="BS87" s="2103"/>
    </row>
    <row r="88" spans="1:71" s="1555" customFormat="1" ht="80.25" customHeight="1" x14ac:dyDescent="0.2">
      <c r="A88" s="2102"/>
      <c r="B88" s="2068"/>
      <c r="C88" s="2068"/>
      <c r="D88" s="2067"/>
      <c r="E88" s="2068"/>
      <c r="F88" s="2069"/>
      <c r="G88" s="2618"/>
      <c r="H88" s="2626"/>
      <c r="I88" s="2698"/>
      <c r="J88" s="2698"/>
      <c r="K88" s="2626"/>
      <c r="L88" s="3019"/>
      <c r="M88" s="2626"/>
      <c r="N88" s="3264"/>
      <c r="O88" s="2698"/>
      <c r="P88" s="3266"/>
      <c r="Q88" s="3280"/>
      <c r="R88" s="2698"/>
      <c r="S88" s="3184"/>
      <c r="T88" s="1909" t="s">
        <v>1692</v>
      </c>
      <c r="U88" s="2422">
        <f>2600000+10000000</f>
        <v>12600000</v>
      </c>
      <c r="V88" s="2421">
        <v>2600000</v>
      </c>
      <c r="W88" s="2421">
        <v>2600000</v>
      </c>
      <c r="X88" s="2060">
        <v>42</v>
      </c>
      <c r="Y88" s="2213" t="s">
        <v>1685</v>
      </c>
      <c r="Z88" s="3185"/>
      <c r="AA88" s="3205"/>
      <c r="AB88" s="3238"/>
      <c r="AC88" s="3205"/>
      <c r="AD88" s="3238"/>
      <c r="AE88" s="3205"/>
      <c r="AF88" s="3238"/>
      <c r="AG88" s="3205"/>
      <c r="AH88" s="3238"/>
      <c r="AI88" s="3205"/>
      <c r="AJ88" s="3238"/>
      <c r="AK88" s="3205"/>
      <c r="AL88" s="3238"/>
      <c r="AM88" s="3205"/>
      <c r="AN88" s="3238"/>
      <c r="AO88" s="3205"/>
      <c r="AP88" s="3238"/>
      <c r="AQ88" s="3205"/>
      <c r="AR88" s="3238"/>
      <c r="AS88" s="3205"/>
      <c r="AT88" s="3238"/>
      <c r="AU88" s="3205"/>
      <c r="AV88" s="3238"/>
      <c r="AW88" s="3205"/>
      <c r="AX88" s="3238"/>
      <c r="AY88" s="3205"/>
      <c r="AZ88" s="3238"/>
      <c r="BA88" s="3205"/>
      <c r="BB88" s="3238"/>
      <c r="BC88" s="3205"/>
      <c r="BD88" s="3205"/>
      <c r="BE88" s="3238"/>
      <c r="BF88" s="3287"/>
      <c r="BG88" s="3180"/>
      <c r="BH88" s="3180"/>
      <c r="BI88" s="3182"/>
      <c r="BJ88" s="3198"/>
      <c r="BK88" s="3292"/>
      <c r="BL88" s="3278"/>
      <c r="BM88" s="3278"/>
      <c r="BN88" s="3283"/>
      <c r="BO88" s="3283"/>
      <c r="BP88" s="3178"/>
      <c r="BQ88" s="2103"/>
      <c r="BR88" s="2103"/>
      <c r="BS88" s="2103"/>
    </row>
    <row r="89" spans="1:71" s="1555" customFormat="1" ht="80.25" customHeight="1" x14ac:dyDescent="0.2">
      <c r="A89" s="2102"/>
      <c r="B89" s="2068"/>
      <c r="C89" s="2068"/>
      <c r="D89" s="2067"/>
      <c r="E89" s="2068"/>
      <c r="F89" s="2069"/>
      <c r="G89" s="2618"/>
      <c r="H89" s="2626"/>
      <c r="I89" s="2698"/>
      <c r="J89" s="2698"/>
      <c r="K89" s="2626"/>
      <c r="L89" s="3019"/>
      <c r="M89" s="2626"/>
      <c r="N89" s="3264"/>
      <c r="O89" s="2698"/>
      <c r="P89" s="3266"/>
      <c r="Q89" s="3280"/>
      <c r="R89" s="2698"/>
      <c r="S89" s="3184"/>
      <c r="T89" s="1909" t="s">
        <v>1693</v>
      </c>
      <c r="U89" s="2422">
        <v>50000000</v>
      </c>
      <c r="V89" s="2421">
        <v>39500000</v>
      </c>
      <c r="W89" s="2421">
        <v>39500000</v>
      </c>
      <c r="X89" s="2060">
        <v>42</v>
      </c>
      <c r="Y89" s="2213" t="s">
        <v>1685</v>
      </c>
      <c r="Z89" s="3185"/>
      <c r="AA89" s="3205"/>
      <c r="AB89" s="3238"/>
      <c r="AC89" s="3205"/>
      <c r="AD89" s="3238"/>
      <c r="AE89" s="3205"/>
      <c r="AF89" s="3238"/>
      <c r="AG89" s="3205"/>
      <c r="AH89" s="3238"/>
      <c r="AI89" s="3205"/>
      <c r="AJ89" s="3238"/>
      <c r="AK89" s="3205"/>
      <c r="AL89" s="3238"/>
      <c r="AM89" s="3205"/>
      <c r="AN89" s="3238"/>
      <c r="AO89" s="3205"/>
      <c r="AP89" s="3238"/>
      <c r="AQ89" s="3205"/>
      <c r="AR89" s="3238"/>
      <c r="AS89" s="3205"/>
      <c r="AT89" s="3238"/>
      <c r="AU89" s="3205"/>
      <c r="AV89" s="3238"/>
      <c r="AW89" s="3205"/>
      <c r="AX89" s="3238"/>
      <c r="AY89" s="3205"/>
      <c r="AZ89" s="3238"/>
      <c r="BA89" s="3205"/>
      <c r="BB89" s="3238"/>
      <c r="BC89" s="3205"/>
      <c r="BD89" s="3205"/>
      <c r="BE89" s="3238"/>
      <c r="BF89" s="3287"/>
      <c r="BG89" s="3180"/>
      <c r="BH89" s="3180"/>
      <c r="BI89" s="3182" t="e">
        <f t="shared" si="8"/>
        <v>#DIV/0!</v>
      </c>
      <c r="BJ89" s="3198"/>
      <c r="BK89" s="3292"/>
      <c r="BL89" s="3278"/>
      <c r="BM89" s="3278"/>
      <c r="BN89" s="3283"/>
      <c r="BO89" s="3283"/>
      <c r="BP89" s="3178"/>
      <c r="BQ89" s="2104"/>
      <c r="BR89" s="2104"/>
      <c r="BS89" s="2104"/>
    </row>
    <row r="90" spans="1:71" s="1555" customFormat="1" ht="51" customHeight="1" x14ac:dyDescent="0.2">
      <c r="A90" s="2102"/>
      <c r="B90" s="2068"/>
      <c r="C90" s="2068"/>
      <c r="D90" s="2067"/>
      <c r="E90" s="2068"/>
      <c r="F90" s="2069"/>
      <c r="G90" s="2618"/>
      <c r="H90" s="2626"/>
      <c r="I90" s="2698"/>
      <c r="J90" s="2698"/>
      <c r="K90" s="2626"/>
      <c r="L90" s="3019"/>
      <c r="M90" s="2626"/>
      <c r="N90" s="3264"/>
      <c r="O90" s="2698"/>
      <c r="P90" s="3266"/>
      <c r="Q90" s="3280"/>
      <c r="R90" s="2698"/>
      <c r="S90" s="3184"/>
      <c r="T90" s="1909" t="s">
        <v>1694</v>
      </c>
      <c r="U90" s="2422">
        <v>40000000</v>
      </c>
      <c r="V90" s="2421"/>
      <c r="W90" s="2421"/>
      <c r="X90" s="2060">
        <v>42</v>
      </c>
      <c r="Y90" s="2213" t="s">
        <v>1685</v>
      </c>
      <c r="Z90" s="3185"/>
      <c r="AA90" s="3205"/>
      <c r="AB90" s="3238"/>
      <c r="AC90" s="3205"/>
      <c r="AD90" s="3238"/>
      <c r="AE90" s="3205"/>
      <c r="AF90" s="3238"/>
      <c r="AG90" s="3205"/>
      <c r="AH90" s="3238"/>
      <c r="AI90" s="3205"/>
      <c r="AJ90" s="3238"/>
      <c r="AK90" s="3205"/>
      <c r="AL90" s="3238"/>
      <c r="AM90" s="3205"/>
      <c r="AN90" s="3238"/>
      <c r="AO90" s="3205"/>
      <c r="AP90" s="3238"/>
      <c r="AQ90" s="3205"/>
      <c r="AR90" s="3238"/>
      <c r="AS90" s="3205"/>
      <c r="AT90" s="3238"/>
      <c r="AU90" s="3205"/>
      <c r="AV90" s="3238"/>
      <c r="AW90" s="3205"/>
      <c r="AX90" s="3238"/>
      <c r="AY90" s="3205"/>
      <c r="AZ90" s="3238"/>
      <c r="BA90" s="3205"/>
      <c r="BB90" s="3238"/>
      <c r="BC90" s="3205"/>
      <c r="BD90" s="3205"/>
      <c r="BE90" s="3238"/>
      <c r="BF90" s="3287"/>
      <c r="BG90" s="3180"/>
      <c r="BH90" s="3180"/>
      <c r="BI90" s="3182" t="e">
        <f t="shared" si="7"/>
        <v>#DIV/0!</v>
      </c>
      <c r="BJ90" s="3198"/>
      <c r="BK90" s="3292"/>
      <c r="BL90" s="3278"/>
      <c r="BM90" s="3278"/>
      <c r="BN90" s="3283"/>
      <c r="BO90" s="3283"/>
      <c r="BP90" s="3178"/>
      <c r="BQ90" s="2104"/>
      <c r="BR90" s="2104"/>
      <c r="BS90" s="2104"/>
    </row>
    <row r="91" spans="1:71" s="1555" customFormat="1" ht="51" customHeight="1" x14ac:dyDescent="0.2">
      <c r="A91" s="2102"/>
      <c r="B91" s="2068"/>
      <c r="C91" s="2068"/>
      <c r="D91" s="2067"/>
      <c r="E91" s="2068"/>
      <c r="F91" s="2069"/>
      <c r="G91" s="2618"/>
      <c r="H91" s="2626"/>
      <c r="I91" s="2698"/>
      <c r="J91" s="2698"/>
      <c r="K91" s="2626"/>
      <c r="L91" s="3019"/>
      <c r="M91" s="2626"/>
      <c r="N91" s="3264"/>
      <c r="O91" s="2698"/>
      <c r="P91" s="3266"/>
      <c r="Q91" s="3280"/>
      <c r="R91" s="2698"/>
      <c r="S91" s="3184"/>
      <c r="T91" s="3257" t="s">
        <v>1695</v>
      </c>
      <c r="U91" s="2422">
        <v>328073558.00999999</v>
      </c>
      <c r="V91" s="2438">
        <v>8233685</v>
      </c>
      <c r="W91" s="2438">
        <v>8233685</v>
      </c>
      <c r="X91" s="2060">
        <v>92</v>
      </c>
      <c r="Y91" s="2213" t="s">
        <v>1689</v>
      </c>
      <c r="Z91" s="3185"/>
      <c r="AA91" s="3205"/>
      <c r="AB91" s="3238"/>
      <c r="AC91" s="3205"/>
      <c r="AD91" s="3238"/>
      <c r="AE91" s="3205"/>
      <c r="AF91" s="3238"/>
      <c r="AG91" s="3205"/>
      <c r="AH91" s="3238"/>
      <c r="AI91" s="3205"/>
      <c r="AJ91" s="3238"/>
      <c r="AK91" s="3205"/>
      <c r="AL91" s="3238"/>
      <c r="AM91" s="3205"/>
      <c r="AN91" s="3238"/>
      <c r="AO91" s="3205"/>
      <c r="AP91" s="3238"/>
      <c r="AQ91" s="3205"/>
      <c r="AR91" s="3238"/>
      <c r="AS91" s="3205"/>
      <c r="AT91" s="3238"/>
      <c r="AU91" s="3205"/>
      <c r="AV91" s="3238"/>
      <c r="AW91" s="3205"/>
      <c r="AX91" s="3238"/>
      <c r="AY91" s="3205"/>
      <c r="AZ91" s="3238"/>
      <c r="BA91" s="3205"/>
      <c r="BB91" s="3238"/>
      <c r="BC91" s="3205"/>
      <c r="BD91" s="3205"/>
      <c r="BE91" s="3238"/>
      <c r="BF91" s="3287"/>
      <c r="BG91" s="3180"/>
      <c r="BH91" s="3180"/>
      <c r="BI91" s="3182"/>
      <c r="BJ91" s="3198"/>
      <c r="BK91" s="3292"/>
      <c r="BL91" s="3278"/>
      <c r="BM91" s="3278"/>
      <c r="BN91" s="3283"/>
      <c r="BO91" s="3283"/>
      <c r="BP91" s="3178"/>
      <c r="BQ91" s="2104"/>
      <c r="BR91" s="2104"/>
      <c r="BS91" s="2104"/>
    </row>
    <row r="92" spans="1:71" s="1555" customFormat="1" ht="51" customHeight="1" x14ac:dyDescent="0.2">
      <c r="A92" s="2102"/>
      <c r="B92" s="2068"/>
      <c r="C92" s="2068"/>
      <c r="D92" s="2067"/>
      <c r="E92" s="2068"/>
      <c r="F92" s="2069"/>
      <c r="G92" s="2618"/>
      <c r="H92" s="2626"/>
      <c r="I92" s="2698"/>
      <c r="J92" s="2698"/>
      <c r="K92" s="2626"/>
      <c r="L92" s="3019"/>
      <c r="M92" s="2626"/>
      <c r="N92" s="3264"/>
      <c r="O92" s="2698"/>
      <c r="P92" s="3266"/>
      <c r="Q92" s="3280"/>
      <c r="R92" s="2698"/>
      <c r="S92" s="3184"/>
      <c r="T92" s="3257"/>
      <c r="U92" s="2422">
        <v>65160000</v>
      </c>
      <c r="V92" s="2421"/>
      <c r="W92" s="2421"/>
      <c r="X92" s="2060">
        <v>42</v>
      </c>
      <c r="Y92" s="2213" t="s">
        <v>1685</v>
      </c>
      <c r="Z92" s="3185"/>
      <c r="AA92" s="3205"/>
      <c r="AB92" s="3238"/>
      <c r="AC92" s="3205"/>
      <c r="AD92" s="3238"/>
      <c r="AE92" s="3205"/>
      <c r="AF92" s="3238"/>
      <c r="AG92" s="3205"/>
      <c r="AH92" s="3238"/>
      <c r="AI92" s="3205"/>
      <c r="AJ92" s="3238"/>
      <c r="AK92" s="3205"/>
      <c r="AL92" s="3238"/>
      <c r="AM92" s="3205"/>
      <c r="AN92" s="3238"/>
      <c r="AO92" s="3205"/>
      <c r="AP92" s="3238"/>
      <c r="AQ92" s="3205"/>
      <c r="AR92" s="3238"/>
      <c r="AS92" s="3205"/>
      <c r="AT92" s="3238"/>
      <c r="AU92" s="3205"/>
      <c r="AV92" s="3238"/>
      <c r="AW92" s="3205"/>
      <c r="AX92" s="3238"/>
      <c r="AY92" s="3205"/>
      <c r="AZ92" s="3238"/>
      <c r="BA92" s="3205"/>
      <c r="BB92" s="3238"/>
      <c r="BC92" s="3205"/>
      <c r="BD92" s="3205"/>
      <c r="BE92" s="3238"/>
      <c r="BF92" s="3287"/>
      <c r="BG92" s="3180"/>
      <c r="BH92" s="3180"/>
      <c r="BI92" s="3182" t="e">
        <f t="shared" si="8"/>
        <v>#DIV/0!</v>
      </c>
      <c r="BJ92" s="3198"/>
      <c r="BK92" s="3292"/>
      <c r="BL92" s="3278"/>
      <c r="BM92" s="3278"/>
      <c r="BN92" s="3283"/>
      <c r="BO92" s="3283"/>
      <c r="BP92" s="3178"/>
    </row>
    <row r="93" spans="1:71" s="1555" customFormat="1" ht="51" customHeight="1" x14ac:dyDescent="0.2">
      <c r="A93" s="2102"/>
      <c r="B93" s="2068"/>
      <c r="C93" s="2068"/>
      <c r="D93" s="2067"/>
      <c r="E93" s="2068"/>
      <c r="F93" s="2069"/>
      <c r="G93" s="2618"/>
      <c r="H93" s="2626"/>
      <c r="I93" s="2698"/>
      <c r="J93" s="2698"/>
      <c r="K93" s="2626"/>
      <c r="L93" s="3019"/>
      <c r="M93" s="2626"/>
      <c r="N93" s="3264"/>
      <c r="O93" s="2698"/>
      <c r="P93" s="3266"/>
      <c r="Q93" s="3280"/>
      <c r="R93" s="2698"/>
      <c r="S93" s="3184"/>
      <c r="T93" s="3257" t="s">
        <v>1696</v>
      </c>
      <c r="U93" s="2422">
        <v>95000000</v>
      </c>
      <c r="V93" s="2421"/>
      <c r="W93" s="2421"/>
      <c r="X93" s="2060">
        <v>42</v>
      </c>
      <c r="Y93" s="2213" t="s">
        <v>1685</v>
      </c>
      <c r="Z93" s="3185"/>
      <c r="AA93" s="3205"/>
      <c r="AB93" s="3238"/>
      <c r="AC93" s="3205"/>
      <c r="AD93" s="3238"/>
      <c r="AE93" s="3205"/>
      <c r="AF93" s="3238"/>
      <c r="AG93" s="3205"/>
      <c r="AH93" s="3238"/>
      <c r="AI93" s="3205"/>
      <c r="AJ93" s="3238"/>
      <c r="AK93" s="3205"/>
      <c r="AL93" s="3238"/>
      <c r="AM93" s="3205"/>
      <c r="AN93" s="3238"/>
      <c r="AO93" s="3205"/>
      <c r="AP93" s="3238"/>
      <c r="AQ93" s="3205"/>
      <c r="AR93" s="3238"/>
      <c r="AS93" s="3205"/>
      <c r="AT93" s="3238"/>
      <c r="AU93" s="3205"/>
      <c r="AV93" s="3238"/>
      <c r="AW93" s="3205"/>
      <c r="AX93" s="3238"/>
      <c r="AY93" s="3205"/>
      <c r="AZ93" s="3238"/>
      <c r="BA93" s="3205"/>
      <c r="BB93" s="3238"/>
      <c r="BC93" s="3205"/>
      <c r="BD93" s="3205"/>
      <c r="BE93" s="3238"/>
      <c r="BF93" s="3287"/>
      <c r="BG93" s="3180"/>
      <c r="BH93" s="3180"/>
      <c r="BI93" s="3182" t="e">
        <f t="shared" si="7"/>
        <v>#DIV/0!</v>
      </c>
      <c r="BJ93" s="3198"/>
      <c r="BK93" s="3292"/>
      <c r="BL93" s="3278"/>
      <c r="BM93" s="3278"/>
      <c r="BN93" s="3283"/>
      <c r="BO93" s="3283"/>
      <c r="BP93" s="3178"/>
    </row>
    <row r="94" spans="1:71" s="1555" customFormat="1" ht="51" customHeight="1" x14ac:dyDescent="0.2">
      <c r="A94" s="2102"/>
      <c r="B94" s="2068"/>
      <c r="C94" s="2068"/>
      <c r="D94" s="2067"/>
      <c r="E94" s="2068"/>
      <c r="F94" s="2069"/>
      <c r="G94" s="2618"/>
      <c r="H94" s="2626"/>
      <c r="I94" s="2698"/>
      <c r="J94" s="2698"/>
      <c r="K94" s="2626"/>
      <c r="L94" s="3019"/>
      <c r="M94" s="2626"/>
      <c r="N94" s="3264"/>
      <c r="O94" s="2698"/>
      <c r="P94" s="3266"/>
      <c r="Q94" s="3280"/>
      <c r="R94" s="2698"/>
      <c r="S94" s="3184"/>
      <c r="T94" s="3257"/>
      <c r="U94" s="2422">
        <v>80000000</v>
      </c>
      <c r="V94" s="2421"/>
      <c r="W94" s="2421"/>
      <c r="X94" s="2060">
        <v>92</v>
      </c>
      <c r="Y94" s="2213" t="s">
        <v>1689</v>
      </c>
      <c r="Z94" s="3185"/>
      <c r="AA94" s="3205"/>
      <c r="AB94" s="3238"/>
      <c r="AC94" s="3205"/>
      <c r="AD94" s="3238"/>
      <c r="AE94" s="3205"/>
      <c r="AF94" s="3238"/>
      <c r="AG94" s="3205"/>
      <c r="AH94" s="3238"/>
      <c r="AI94" s="3205"/>
      <c r="AJ94" s="3238"/>
      <c r="AK94" s="3205"/>
      <c r="AL94" s="3238"/>
      <c r="AM94" s="3205"/>
      <c r="AN94" s="3238"/>
      <c r="AO94" s="3205"/>
      <c r="AP94" s="3238"/>
      <c r="AQ94" s="3205"/>
      <c r="AR94" s="3238"/>
      <c r="AS94" s="3205"/>
      <c r="AT94" s="3238"/>
      <c r="AU94" s="3205"/>
      <c r="AV94" s="3238"/>
      <c r="AW94" s="3205"/>
      <c r="AX94" s="3238"/>
      <c r="AY94" s="3205"/>
      <c r="AZ94" s="3238"/>
      <c r="BA94" s="3205"/>
      <c r="BB94" s="3238"/>
      <c r="BC94" s="3205"/>
      <c r="BD94" s="3205"/>
      <c r="BE94" s="3238"/>
      <c r="BF94" s="3287"/>
      <c r="BG94" s="3180"/>
      <c r="BH94" s="3180"/>
      <c r="BI94" s="3182"/>
      <c r="BJ94" s="3198"/>
      <c r="BK94" s="3292"/>
      <c r="BL94" s="3278"/>
      <c r="BM94" s="3278"/>
      <c r="BN94" s="3283"/>
      <c r="BO94" s="3283"/>
      <c r="BP94" s="3178"/>
    </row>
    <row r="95" spans="1:71" s="1555" customFormat="1" ht="100.5" customHeight="1" x14ac:dyDescent="0.2">
      <c r="A95" s="2102"/>
      <c r="B95" s="2068"/>
      <c r="C95" s="2068"/>
      <c r="D95" s="2067"/>
      <c r="E95" s="2068"/>
      <c r="F95" s="2069"/>
      <c r="G95" s="2618"/>
      <c r="H95" s="2626"/>
      <c r="I95" s="2698"/>
      <c r="J95" s="2698"/>
      <c r="K95" s="2626"/>
      <c r="L95" s="3019"/>
      <c r="M95" s="2626"/>
      <c r="N95" s="3264"/>
      <c r="O95" s="2698"/>
      <c r="P95" s="3266"/>
      <c r="Q95" s="3280"/>
      <c r="R95" s="2698"/>
      <c r="S95" s="3184"/>
      <c r="T95" s="1909" t="s">
        <v>1697</v>
      </c>
      <c r="U95" s="2422">
        <v>5400000</v>
      </c>
      <c r="V95" s="2421"/>
      <c r="W95" s="2421"/>
      <c r="X95" s="2060">
        <v>42</v>
      </c>
      <c r="Y95" s="2213" t="s">
        <v>1685</v>
      </c>
      <c r="Z95" s="3185"/>
      <c r="AA95" s="3205"/>
      <c r="AB95" s="3238"/>
      <c r="AC95" s="3205"/>
      <c r="AD95" s="3238"/>
      <c r="AE95" s="3205"/>
      <c r="AF95" s="3238"/>
      <c r="AG95" s="3205"/>
      <c r="AH95" s="3238"/>
      <c r="AI95" s="3205"/>
      <c r="AJ95" s="3238"/>
      <c r="AK95" s="3205"/>
      <c r="AL95" s="3238"/>
      <c r="AM95" s="3205"/>
      <c r="AN95" s="3238"/>
      <c r="AO95" s="3205"/>
      <c r="AP95" s="3238"/>
      <c r="AQ95" s="3205"/>
      <c r="AR95" s="3238"/>
      <c r="AS95" s="3205"/>
      <c r="AT95" s="3238"/>
      <c r="AU95" s="3205"/>
      <c r="AV95" s="3238"/>
      <c r="AW95" s="3205"/>
      <c r="AX95" s="3238"/>
      <c r="AY95" s="3205"/>
      <c r="AZ95" s="3238"/>
      <c r="BA95" s="3205"/>
      <c r="BB95" s="3238"/>
      <c r="BC95" s="3205"/>
      <c r="BD95" s="3205"/>
      <c r="BE95" s="3238"/>
      <c r="BF95" s="3287"/>
      <c r="BG95" s="3180"/>
      <c r="BH95" s="3180"/>
      <c r="BI95" s="3182" t="e">
        <f t="shared" si="8"/>
        <v>#DIV/0!</v>
      </c>
      <c r="BJ95" s="3198"/>
      <c r="BK95" s="3292"/>
      <c r="BL95" s="3278"/>
      <c r="BM95" s="3278"/>
      <c r="BN95" s="3283"/>
      <c r="BO95" s="3283"/>
      <c r="BP95" s="3178"/>
    </row>
    <row r="96" spans="1:71" s="1555" customFormat="1" ht="104.25" customHeight="1" x14ac:dyDescent="0.2">
      <c r="A96" s="2102"/>
      <c r="B96" s="2068"/>
      <c r="C96" s="2068"/>
      <c r="D96" s="2067"/>
      <c r="E96" s="2068"/>
      <c r="F96" s="2069"/>
      <c r="G96" s="2618"/>
      <c r="H96" s="2626"/>
      <c r="I96" s="2698"/>
      <c r="J96" s="2698"/>
      <c r="K96" s="2626"/>
      <c r="L96" s="3019"/>
      <c r="M96" s="2626"/>
      <c r="N96" s="3264"/>
      <c r="O96" s="2698"/>
      <c r="P96" s="3266"/>
      <c r="Q96" s="3280"/>
      <c r="R96" s="2698"/>
      <c r="S96" s="3184"/>
      <c r="T96" s="1909" t="s">
        <v>1698</v>
      </c>
      <c r="U96" s="2422">
        <v>140000000</v>
      </c>
      <c r="V96" s="2421"/>
      <c r="W96" s="2421"/>
      <c r="X96" s="2060">
        <v>42</v>
      </c>
      <c r="Y96" s="2213" t="s">
        <v>1685</v>
      </c>
      <c r="Z96" s="3185"/>
      <c r="AA96" s="3205"/>
      <c r="AB96" s="3238"/>
      <c r="AC96" s="3205"/>
      <c r="AD96" s="3238"/>
      <c r="AE96" s="3205"/>
      <c r="AF96" s="3238"/>
      <c r="AG96" s="3205"/>
      <c r="AH96" s="3238"/>
      <c r="AI96" s="3205"/>
      <c r="AJ96" s="3238"/>
      <c r="AK96" s="3205"/>
      <c r="AL96" s="3238"/>
      <c r="AM96" s="3205"/>
      <c r="AN96" s="3238"/>
      <c r="AO96" s="3205"/>
      <c r="AP96" s="3238"/>
      <c r="AQ96" s="3205"/>
      <c r="AR96" s="3238"/>
      <c r="AS96" s="3205"/>
      <c r="AT96" s="3238"/>
      <c r="AU96" s="3205"/>
      <c r="AV96" s="3238"/>
      <c r="AW96" s="3205"/>
      <c r="AX96" s="3238"/>
      <c r="AY96" s="3205"/>
      <c r="AZ96" s="3238"/>
      <c r="BA96" s="3205"/>
      <c r="BB96" s="3238"/>
      <c r="BC96" s="3205"/>
      <c r="BD96" s="3205"/>
      <c r="BE96" s="3238"/>
      <c r="BF96" s="3287"/>
      <c r="BG96" s="3180"/>
      <c r="BH96" s="3180"/>
      <c r="BI96" s="3182" t="e">
        <f t="shared" si="7"/>
        <v>#DIV/0!</v>
      </c>
      <c r="BJ96" s="3198"/>
      <c r="BK96" s="3292"/>
      <c r="BL96" s="3278"/>
      <c r="BM96" s="3278"/>
      <c r="BN96" s="3283"/>
      <c r="BO96" s="3283"/>
      <c r="BP96" s="3178"/>
    </row>
    <row r="97" spans="1:68" s="1555" customFormat="1" ht="51" customHeight="1" x14ac:dyDescent="0.2">
      <c r="A97" s="2102"/>
      <c r="B97" s="2068"/>
      <c r="C97" s="2068"/>
      <c r="D97" s="2067"/>
      <c r="E97" s="2068"/>
      <c r="F97" s="2069"/>
      <c r="G97" s="2618"/>
      <c r="H97" s="2626"/>
      <c r="I97" s="2698"/>
      <c r="J97" s="2698"/>
      <c r="K97" s="2626"/>
      <c r="L97" s="3019"/>
      <c r="M97" s="2626"/>
      <c r="N97" s="3264"/>
      <c r="O97" s="2698"/>
      <c r="P97" s="3266"/>
      <c r="Q97" s="3280"/>
      <c r="R97" s="2698"/>
      <c r="S97" s="3184"/>
      <c r="T97" s="2882" t="s">
        <v>1684</v>
      </c>
      <c r="U97" s="2422">
        <v>40000000</v>
      </c>
      <c r="V97" s="2421"/>
      <c r="W97" s="2421"/>
      <c r="X97" s="2060">
        <v>92</v>
      </c>
      <c r="Y97" s="2213" t="s">
        <v>1689</v>
      </c>
      <c r="Z97" s="3185"/>
      <c r="AA97" s="3205"/>
      <c r="AB97" s="3238"/>
      <c r="AC97" s="3205"/>
      <c r="AD97" s="3238"/>
      <c r="AE97" s="3205"/>
      <c r="AF97" s="3238"/>
      <c r="AG97" s="3205"/>
      <c r="AH97" s="3238"/>
      <c r="AI97" s="3205"/>
      <c r="AJ97" s="3238"/>
      <c r="AK97" s="3205"/>
      <c r="AL97" s="3238"/>
      <c r="AM97" s="3205"/>
      <c r="AN97" s="3238"/>
      <c r="AO97" s="3205"/>
      <c r="AP97" s="3238"/>
      <c r="AQ97" s="3205"/>
      <c r="AR97" s="3238"/>
      <c r="AS97" s="3205"/>
      <c r="AT97" s="3238"/>
      <c r="AU97" s="3205"/>
      <c r="AV97" s="3238"/>
      <c r="AW97" s="3205"/>
      <c r="AX97" s="3238"/>
      <c r="AY97" s="3205"/>
      <c r="AZ97" s="3238"/>
      <c r="BA97" s="3205"/>
      <c r="BB97" s="3238"/>
      <c r="BC97" s="3205"/>
      <c r="BD97" s="3205"/>
      <c r="BE97" s="3238"/>
      <c r="BF97" s="3287"/>
      <c r="BG97" s="3180"/>
      <c r="BH97" s="3180"/>
      <c r="BI97" s="3182"/>
      <c r="BJ97" s="3198"/>
      <c r="BK97" s="3292"/>
      <c r="BL97" s="3278"/>
      <c r="BM97" s="3278"/>
      <c r="BN97" s="3283"/>
      <c r="BO97" s="3283"/>
      <c r="BP97" s="3178"/>
    </row>
    <row r="98" spans="1:68" s="1555" customFormat="1" ht="51" customHeight="1" x14ac:dyDescent="0.2">
      <c r="A98" s="2102"/>
      <c r="B98" s="2068"/>
      <c r="C98" s="2068"/>
      <c r="D98" s="2067"/>
      <c r="E98" s="2068"/>
      <c r="F98" s="2069"/>
      <c r="G98" s="3276"/>
      <c r="H98" s="3167"/>
      <c r="I98" s="2788"/>
      <c r="J98" s="2788"/>
      <c r="K98" s="3167"/>
      <c r="L98" s="3168"/>
      <c r="M98" s="3167"/>
      <c r="N98" s="2962"/>
      <c r="O98" s="2788"/>
      <c r="P98" s="3267"/>
      <c r="Q98" s="3281"/>
      <c r="R98" s="2788"/>
      <c r="S98" s="3272"/>
      <c r="T98" s="3286"/>
      <c r="U98" s="2435">
        <v>0</v>
      </c>
      <c r="V98" s="2427"/>
      <c r="W98" s="2427"/>
      <c r="X98" s="2078">
        <v>42</v>
      </c>
      <c r="Y98" s="2246" t="s">
        <v>1685</v>
      </c>
      <c r="Z98" s="3186"/>
      <c r="AA98" s="3206"/>
      <c r="AB98" s="3204"/>
      <c r="AC98" s="3206"/>
      <c r="AD98" s="3204"/>
      <c r="AE98" s="3206"/>
      <c r="AF98" s="3204"/>
      <c r="AG98" s="3206"/>
      <c r="AH98" s="3204"/>
      <c r="AI98" s="3206"/>
      <c r="AJ98" s="3204"/>
      <c r="AK98" s="3206"/>
      <c r="AL98" s="3204"/>
      <c r="AM98" s="3206"/>
      <c r="AN98" s="3204"/>
      <c r="AO98" s="3206"/>
      <c r="AP98" s="3204"/>
      <c r="AQ98" s="3206"/>
      <c r="AR98" s="3204"/>
      <c r="AS98" s="3206"/>
      <c r="AT98" s="3204"/>
      <c r="AU98" s="3206"/>
      <c r="AV98" s="3204"/>
      <c r="AW98" s="3206"/>
      <c r="AX98" s="3204"/>
      <c r="AY98" s="3206"/>
      <c r="AZ98" s="3204"/>
      <c r="BA98" s="3206"/>
      <c r="BB98" s="3204"/>
      <c r="BC98" s="3206"/>
      <c r="BD98" s="3206"/>
      <c r="BE98" s="3204"/>
      <c r="BF98" s="3287"/>
      <c r="BG98" s="3288"/>
      <c r="BH98" s="3288"/>
      <c r="BI98" s="3289" t="e">
        <f t="shared" si="8"/>
        <v>#DIV/0!</v>
      </c>
      <c r="BJ98" s="3290"/>
      <c r="BK98" s="3293"/>
      <c r="BL98" s="3282"/>
      <c r="BM98" s="3282"/>
      <c r="BN98" s="3284"/>
      <c r="BO98" s="3284"/>
      <c r="BP98" s="3285"/>
    </row>
    <row r="99" spans="1:68" s="366" customFormat="1" ht="36" customHeight="1" x14ac:dyDescent="0.2">
      <c r="A99" s="2102"/>
      <c r="B99" s="2068"/>
      <c r="C99" s="2068"/>
      <c r="D99" s="2067"/>
      <c r="E99" s="2068"/>
      <c r="F99" s="2069"/>
      <c r="G99" s="2618">
        <v>4501024</v>
      </c>
      <c r="H99" s="2626" t="s">
        <v>1699</v>
      </c>
      <c r="I99" s="2698" t="s">
        <v>968</v>
      </c>
      <c r="J99" s="2698" t="s">
        <v>1700</v>
      </c>
      <c r="K99" s="2626">
        <v>10</v>
      </c>
      <c r="L99" s="3167">
        <v>10</v>
      </c>
      <c r="M99" s="3264" t="s">
        <v>1701</v>
      </c>
      <c r="N99" s="3264" t="s">
        <v>1673</v>
      </c>
      <c r="O99" s="2698" t="s">
        <v>1674</v>
      </c>
      <c r="P99" s="3266">
        <f>(U99+U100+U101+U102+U103+U104+U105+U106+U107+U108+U109+U110)/(Q79+Q99)</f>
        <v>0.85658047951320571</v>
      </c>
      <c r="Q99" s="3269">
        <f>SUM(U99:U110)</f>
        <v>94000000</v>
      </c>
      <c r="R99" s="2698" t="s">
        <v>1675</v>
      </c>
      <c r="S99" s="2698" t="s">
        <v>1676</v>
      </c>
      <c r="T99" s="2106" t="s">
        <v>1702</v>
      </c>
      <c r="U99" s="2439">
        <v>1000000</v>
      </c>
      <c r="V99" s="2421"/>
      <c r="W99" s="2421"/>
      <c r="X99" s="1877">
        <v>88</v>
      </c>
      <c r="Y99" s="2227" t="s">
        <v>411</v>
      </c>
      <c r="Z99" s="3294">
        <v>1018</v>
      </c>
      <c r="AA99" s="3295">
        <v>1018</v>
      </c>
      <c r="AB99" s="3294">
        <v>982</v>
      </c>
      <c r="AC99" s="3295">
        <v>982</v>
      </c>
      <c r="AD99" s="3294">
        <v>466</v>
      </c>
      <c r="AE99" s="3295">
        <v>0</v>
      </c>
      <c r="AF99" s="3294">
        <v>152</v>
      </c>
      <c r="AG99" s="3295">
        <v>0</v>
      </c>
      <c r="AH99" s="3294">
        <v>1063</v>
      </c>
      <c r="AI99" s="3295">
        <v>0</v>
      </c>
      <c r="AJ99" s="3294">
        <v>319</v>
      </c>
      <c r="AK99" s="3295">
        <v>0</v>
      </c>
      <c r="AL99" s="3294">
        <v>0</v>
      </c>
      <c r="AM99" s="3295"/>
      <c r="AN99" s="3294">
        <v>0</v>
      </c>
      <c r="AO99" s="3295"/>
      <c r="AP99" s="3294">
        <v>0</v>
      </c>
      <c r="AQ99" s="3295"/>
      <c r="AR99" s="3294">
        <v>0</v>
      </c>
      <c r="AS99" s="3295"/>
      <c r="AT99" s="3294">
        <v>0</v>
      </c>
      <c r="AU99" s="3295"/>
      <c r="AV99" s="3294">
        <v>0</v>
      </c>
      <c r="AW99" s="3295"/>
      <c r="AX99" s="3294">
        <v>0</v>
      </c>
      <c r="AY99" s="3295"/>
      <c r="AZ99" s="3294">
        <v>0</v>
      </c>
      <c r="BA99" s="3295"/>
      <c r="BB99" s="3294">
        <v>0</v>
      </c>
      <c r="BC99" s="3295"/>
      <c r="BD99" s="3295">
        <f>+Z99+AB99</f>
        <v>2000</v>
      </c>
      <c r="BE99" s="3294">
        <f>+AA99+AC99</f>
        <v>2000</v>
      </c>
      <c r="BF99" s="3311">
        <v>7</v>
      </c>
      <c r="BG99" s="3179">
        <f>SUM(V99:V110)</f>
        <v>49720743</v>
      </c>
      <c r="BH99" s="3179">
        <f>SUM(W99:W110)</f>
        <v>49720743</v>
      </c>
      <c r="BI99" s="3181">
        <f>BH99/BG99</f>
        <v>1</v>
      </c>
      <c r="BJ99" s="3305" t="s">
        <v>301</v>
      </c>
      <c r="BK99" s="3169" t="s">
        <v>1634</v>
      </c>
      <c r="BL99" s="3309">
        <v>44077</v>
      </c>
      <c r="BM99" s="3284">
        <v>44186</v>
      </c>
      <c r="BN99" s="3283">
        <v>44195</v>
      </c>
      <c r="BO99" s="3283">
        <v>44195</v>
      </c>
      <c r="BP99" s="3208" t="s">
        <v>1585</v>
      </c>
    </row>
    <row r="100" spans="1:68" s="366" customFormat="1" ht="41.25" customHeight="1" x14ac:dyDescent="0.2">
      <c r="A100" s="2102"/>
      <c r="B100" s="2068"/>
      <c r="C100" s="2068"/>
      <c r="D100" s="2067"/>
      <c r="E100" s="2068"/>
      <c r="F100" s="2069"/>
      <c r="G100" s="2618"/>
      <c r="H100" s="2626"/>
      <c r="I100" s="2698"/>
      <c r="J100" s="2698"/>
      <c r="K100" s="2626"/>
      <c r="L100" s="3019"/>
      <c r="M100" s="3264"/>
      <c r="N100" s="3264"/>
      <c r="O100" s="2698"/>
      <c r="P100" s="3266"/>
      <c r="Q100" s="3269"/>
      <c r="R100" s="2698"/>
      <c r="S100" s="2698"/>
      <c r="T100" s="2106" t="s">
        <v>1703</v>
      </c>
      <c r="U100" s="2285">
        <v>1000000</v>
      </c>
      <c r="V100" s="2421"/>
      <c r="W100" s="2421"/>
      <c r="X100" s="1882">
        <v>88</v>
      </c>
      <c r="Y100" s="2227" t="s">
        <v>411</v>
      </c>
      <c r="Z100" s="3294"/>
      <c r="AA100" s="3277"/>
      <c r="AB100" s="3294"/>
      <c r="AC100" s="3277"/>
      <c r="AD100" s="3294"/>
      <c r="AE100" s="3277"/>
      <c r="AF100" s="3294"/>
      <c r="AG100" s="3277"/>
      <c r="AH100" s="3294"/>
      <c r="AI100" s="3277"/>
      <c r="AJ100" s="3294"/>
      <c r="AK100" s="3277"/>
      <c r="AL100" s="3294"/>
      <c r="AM100" s="3277"/>
      <c r="AN100" s="3294"/>
      <c r="AO100" s="3277"/>
      <c r="AP100" s="3294"/>
      <c r="AQ100" s="3277"/>
      <c r="AR100" s="3294"/>
      <c r="AS100" s="3277"/>
      <c r="AT100" s="3294"/>
      <c r="AU100" s="3277"/>
      <c r="AV100" s="3294"/>
      <c r="AW100" s="3277"/>
      <c r="AX100" s="3294"/>
      <c r="AY100" s="3277"/>
      <c r="AZ100" s="3294"/>
      <c r="BA100" s="3277"/>
      <c r="BB100" s="3294"/>
      <c r="BC100" s="3277"/>
      <c r="BD100" s="3277"/>
      <c r="BE100" s="3294"/>
      <c r="BF100" s="3311"/>
      <c r="BG100" s="3180"/>
      <c r="BH100" s="3180"/>
      <c r="BI100" s="3182"/>
      <c r="BJ100" s="3306"/>
      <c r="BK100" s="3170"/>
      <c r="BL100" s="3309"/>
      <c r="BM100" s="3278"/>
      <c r="BN100" s="3283"/>
      <c r="BO100" s="3283"/>
      <c r="BP100" s="3178"/>
    </row>
    <row r="101" spans="1:68" s="366" customFormat="1" ht="35.25" customHeight="1" x14ac:dyDescent="0.2">
      <c r="A101" s="2102"/>
      <c r="B101" s="2068"/>
      <c r="C101" s="2068"/>
      <c r="D101" s="2067"/>
      <c r="E101" s="2068"/>
      <c r="F101" s="2069"/>
      <c r="G101" s="2618"/>
      <c r="H101" s="2626"/>
      <c r="I101" s="2698"/>
      <c r="J101" s="2698"/>
      <c r="K101" s="2626"/>
      <c r="L101" s="3019"/>
      <c r="M101" s="3264"/>
      <c r="N101" s="3264"/>
      <c r="O101" s="2698"/>
      <c r="P101" s="3266"/>
      <c r="Q101" s="3269"/>
      <c r="R101" s="2698"/>
      <c r="S101" s="2821"/>
      <c r="T101" s="3300" t="s">
        <v>1704</v>
      </c>
      <c r="U101" s="2440">
        <v>8000000</v>
      </c>
      <c r="V101" s="2421">
        <f>1733325</f>
        <v>1733325</v>
      </c>
      <c r="W101" s="2421">
        <f>1733325</f>
        <v>1733325</v>
      </c>
      <c r="X101" s="1882">
        <v>88</v>
      </c>
      <c r="Y101" s="2227" t="s">
        <v>411</v>
      </c>
      <c r="Z101" s="3294"/>
      <c r="AA101" s="3277"/>
      <c r="AB101" s="3294"/>
      <c r="AC101" s="3277"/>
      <c r="AD101" s="3294"/>
      <c r="AE101" s="3277"/>
      <c r="AF101" s="3294"/>
      <c r="AG101" s="3277"/>
      <c r="AH101" s="3294"/>
      <c r="AI101" s="3277"/>
      <c r="AJ101" s="3294"/>
      <c r="AK101" s="3277"/>
      <c r="AL101" s="3294"/>
      <c r="AM101" s="3277"/>
      <c r="AN101" s="3294"/>
      <c r="AO101" s="3277"/>
      <c r="AP101" s="3294"/>
      <c r="AQ101" s="3277"/>
      <c r="AR101" s="3294"/>
      <c r="AS101" s="3277"/>
      <c r="AT101" s="3294"/>
      <c r="AU101" s="3277"/>
      <c r="AV101" s="3294"/>
      <c r="AW101" s="3277"/>
      <c r="AX101" s="3294"/>
      <c r="AY101" s="3277"/>
      <c r="AZ101" s="3294"/>
      <c r="BA101" s="3277"/>
      <c r="BB101" s="3294"/>
      <c r="BC101" s="3277"/>
      <c r="BD101" s="3277"/>
      <c r="BE101" s="3294"/>
      <c r="BF101" s="3311"/>
      <c r="BG101" s="3180"/>
      <c r="BH101" s="3180"/>
      <c r="BI101" s="3182" t="e">
        <f t="shared" ref="BI101:BI110" si="9">BH101/BG101</f>
        <v>#DIV/0!</v>
      </c>
      <c r="BJ101" s="3306"/>
      <c r="BK101" s="3170"/>
      <c r="BL101" s="3309"/>
      <c r="BM101" s="3278"/>
      <c r="BN101" s="3283"/>
      <c r="BO101" s="3283"/>
      <c r="BP101" s="3178"/>
    </row>
    <row r="102" spans="1:68" s="366" customFormat="1" ht="36" customHeight="1" x14ac:dyDescent="0.2">
      <c r="A102" s="2102"/>
      <c r="B102" s="2068"/>
      <c r="C102" s="2068"/>
      <c r="D102" s="2067"/>
      <c r="E102" s="2068"/>
      <c r="F102" s="2069"/>
      <c r="G102" s="2618"/>
      <c r="H102" s="2626"/>
      <c r="I102" s="2698"/>
      <c r="J102" s="2698"/>
      <c r="K102" s="2626"/>
      <c r="L102" s="3019"/>
      <c r="M102" s="3264"/>
      <c r="N102" s="3264"/>
      <c r="O102" s="2698"/>
      <c r="P102" s="3266"/>
      <c r="Q102" s="3269"/>
      <c r="R102" s="2698"/>
      <c r="S102" s="2821"/>
      <c r="T102" s="3300"/>
      <c r="U102" s="2440">
        <f>6686667+12000000</f>
        <v>18686667</v>
      </c>
      <c r="V102" s="2421">
        <v>6686667</v>
      </c>
      <c r="W102" s="2421">
        <v>6686667</v>
      </c>
      <c r="X102" s="1882">
        <v>20</v>
      </c>
      <c r="Y102" s="2227" t="s">
        <v>85</v>
      </c>
      <c r="Z102" s="3294"/>
      <c r="AA102" s="3277"/>
      <c r="AB102" s="3294"/>
      <c r="AC102" s="3277"/>
      <c r="AD102" s="3294"/>
      <c r="AE102" s="3277"/>
      <c r="AF102" s="3294"/>
      <c r="AG102" s="3277"/>
      <c r="AH102" s="3294"/>
      <c r="AI102" s="3277"/>
      <c r="AJ102" s="3294"/>
      <c r="AK102" s="3277"/>
      <c r="AL102" s="3294"/>
      <c r="AM102" s="3277"/>
      <c r="AN102" s="3294"/>
      <c r="AO102" s="3277"/>
      <c r="AP102" s="3294"/>
      <c r="AQ102" s="3277"/>
      <c r="AR102" s="3294"/>
      <c r="AS102" s="3277"/>
      <c r="AT102" s="3294"/>
      <c r="AU102" s="3277"/>
      <c r="AV102" s="3294"/>
      <c r="AW102" s="3277"/>
      <c r="AX102" s="3294"/>
      <c r="AY102" s="3277"/>
      <c r="AZ102" s="3294"/>
      <c r="BA102" s="3277"/>
      <c r="BB102" s="3294"/>
      <c r="BC102" s="3277"/>
      <c r="BD102" s="3277"/>
      <c r="BE102" s="3294"/>
      <c r="BF102" s="3311"/>
      <c r="BG102" s="3180"/>
      <c r="BH102" s="3180"/>
      <c r="BI102" s="3182" t="e">
        <f t="shared" si="9"/>
        <v>#DIV/0!</v>
      </c>
      <c r="BJ102" s="3306"/>
      <c r="BK102" s="3170"/>
      <c r="BL102" s="3309"/>
      <c r="BM102" s="3278"/>
      <c r="BN102" s="3283"/>
      <c r="BO102" s="3283"/>
      <c r="BP102" s="3178"/>
    </row>
    <row r="103" spans="1:68" s="366" customFormat="1" ht="61.5" customHeight="1" x14ac:dyDescent="0.2">
      <c r="A103" s="2102"/>
      <c r="B103" s="2068"/>
      <c r="C103" s="2068"/>
      <c r="D103" s="2067"/>
      <c r="E103" s="2068"/>
      <c r="F103" s="2069"/>
      <c r="G103" s="2618"/>
      <c r="H103" s="2626"/>
      <c r="I103" s="2698"/>
      <c r="J103" s="2698"/>
      <c r="K103" s="2626"/>
      <c r="L103" s="3019"/>
      <c r="M103" s="3264"/>
      <c r="N103" s="3264"/>
      <c r="O103" s="2698"/>
      <c r="P103" s="3266"/>
      <c r="Q103" s="3269"/>
      <c r="R103" s="2698"/>
      <c r="S103" s="2698"/>
      <c r="T103" s="2107" t="s">
        <v>1705</v>
      </c>
      <c r="U103" s="2285">
        <v>6000000</v>
      </c>
      <c r="V103" s="2421">
        <v>2000030</v>
      </c>
      <c r="W103" s="2421">
        <v>2000030</v>
      </c>
      <c r="X103" s="1882">
        <v>88</v>
      </c>
      <c r="Y103" s="2227" t="s">
        <v>411</v>
      </c>
      <c r="Z103" s="3294"/>
      <c r="AA103" s="3277"/>
      <c r="AB103" s="3294"/>
      <c r="AC103" s="3277"/>
      <c r="AD103" s="3294"/>
      <c r="AE103" s="3277"/>
      <c r="AF103" s="3294"/>
      <c r="AG103" s="3277"/>
      <c r="AH103" s="3294"/>
      <c r="AI103" s="3277"/>
      <c r="AJ103" s="3294"/>
      <c r="AK103" s="3277"/>
      <c r="AL103" s="3294"/>
      <c r="AM103" s="3277"/>
      <c r="AN103" s="3294"/>
      <c r="AO103" s="3277"/>
      <c r="AP103" s="3294"/>
      <c r="AQ103" s="3277"/>
      <c r="AR103" s="3294"/>
      <c r="AS103" s="3277"/>
      <c r="AT103" s="3294"/>
      <c r="AU103" s="3277"/>
      <c r="AV103" s="3294"/>
      <c r="AW103" s="3277"/>
      <c r="AX103" s="3294"/>
      <c r="AY103" s="3277"/>
      <c r="AZ103" s="3294"/>
      <c r="BA103" s="3277"/>
      <c r="BB103" s="3294"/>
      <c r="BC103" s="3277"/>
      <c r="BD103" s="3277"/>
      <c r="BE103" s="3294"/>
      <c r="BF103" s="3311"/>
      <c r="BG103" s="3180"/>
      <c r="BH103" s="3180"/>
      <c r="BI103" s="3182"/>
      <c r="BJ103" s="3306"/>
      <c r="BK103" s="3170"/>
      <c r="BL103" s="3309"/>
      <c r="BM103" s="3278"/>
      <c r="BN103" s="3283"/>
      <c r="BO103" s="3283"/>
      <c r="BP103" s="3178"/>
    </row>
    <row r="104" spans="1:68" s="366" customFormat="1" ht="29.25" customHeight="1" x14ac:dyDescent="0.2">
      <c r="A104" s="2102"/>
      <c r="B104" s="2068"/>
      <c r="C104" s="2068"/>
      <c r="D104" s="2067"/>
      <c r="E104" s="2068"/>
      <c r="F104" s="2069"/>
      <c r="G104" s="2618"/>
      <c r="H104" s="2626"/>
      <c r="I104" s="2698"/>
      <c r="J104" s="2698"/>
      <c r="K104" s="2626"/>
      <c r="L104" s="3019"/>
      <c r="M104" s="3264"/>
      <c r="N104" s="3264"/>
      <c r="O104" s="2698"/>
      <c r="P104" s="3266"/>
      <c r="Q104" s="3269"/>
      <c r="R104" s="2698"/>
      <c r="S104" s="2698"/>
      <c r="T104" s="3301" t="s">
        <v>1706</v>
      </c>
      <c r="U104" s="2285">
        <v>6608333</v>
      </c>
      <c r="V104" s="2421">
        <v>2359961</v>
      </c>
      <c r="W104" s="2421">
        <v>2359961</v>
      </c>
      <c r="X104" s="1882">
        <v>88</v>
      </c>
      <c r="Y104" s="2227" t="s">
        <v>411</v>
      </c>
      <c r="Z104" s="3294"/>
      <c r="AA104" s="3277"/>
      <c r="AB104" s="3294"/>
      <c r="AC104" s="3277"/>
      <c r="AD104" s="3294"/>
      <c r="AE104" s="3277"/>
      <c r="AF104" s="3294"/>
      <c r="AG104" s="3277"/>
      <c r="AH104" s="3294"/>
      <c r="AI104" s="3277"/>
      <c r="AJ104" s="3294"/>
      <c r="AK104" s="3277"/>
      <c r="AL104" s="3294"/>
      <c r="AM104" s="3277"/>
      <c r="AN104" s="3294"/>
      <c r="AO104" s="3277"/>
      <c r="AP104" s="3294"/>
      <c r="AQ104" s="3277"/>
      <c r="AR104" s="3294"/>
      <c r="AS104" s="3277"/>
      <c r="AT104" s="3294"/>
      <c r="AU104" s="3277"/>
      <c r="AV104" s="3294"/>
      <c r="AW104" s="3277"/>
      <c r="AX104" s="3294"/>
      <c r="AY104" s="3277"/>
      <c r="AZ104" s="3294"/>
      <c r="BA104" s="3277"/>
      <c r="BB104" s="3294"/>
      <c r="BC104" s="3277"/>
      <c r="BD104" s="3277"/>
      <c r="BE104" s="3294"/>
      <c r="BF104" s="3311"/>
      <c r="BG104" s="3180"/>
      <c r="BH104" s="3180"/>
      <c r="BI104" s="3182" t="e">
        <f t="shared" si="9"/>
        <v>#DIV/0!</v>
      </c>
      <c r="BJ104" s="3306"/>
      <c r="BK104" s="3170"/>
      <c r="BL104" s="3309"/>
      <c r="BM104" s="3278"/>
      <c r="BN104" s="3283"/>
      <c r="BO104" s="3283"/>
      <c r="BP104" s="3178"/>
    </row>
    <row r="105" spans="1:68" s="366" customFormat="1" ht="36" customHeight="1" x14ac:dyDescent="0.2">
      <c r="A105" s="2102"/>
      <c r="B105" s="2068"/>
      <c r="C105" s="2068"/>
      <c r="D105" s="2067"/>
      <c r="E105" s="2068"/>
      <c r="F105" s="2069"/>
      <c r="G105" s="2618"/>
      <c r="H105" s="2626"/>
      <c r="I105" s="2698"/>
      <c r="J105" s="2698"/>
      <c r="K105" s="2626"/>
      <c r="L105" s="3019"/>
      <c r="M105" s="3264"/>
      <c r="N105" s="3264"/>
      <c r="O105" s="2698"/>
      <c r="P105" s="3266"/>
      <c r="Q105" s="3269"/>
      <c r="R105" s="2698"/>
      <c r="S105" s="2698"/>
      <c r="T105" s="3302"/>
      <c r="U105" s="2285">
        <f>5997334+15391667</f>
        <v>21389001</v>
      </c>
      <c r="V105" s="2421">
        <v>14248372</v>
      </c>
      <c r="W105" s="2421">
        <v>14248372</v>
      </c>
      <c r="X105" s="1882">
        <v>20</v>
      </c>
      <c r="Y105" s="2227" t="s">
        <v>85</v>
      </c>
      <c r="Z105" s="3294"/>
      <c r="AA105" s="3277"/>
      <c r="AB105" s="3294"/>
      <c r="AC105" s="3277"/>
      <c r="AD105" s="3294"/>
      <c r="AE105" s="3277"/>
      <c r="AF105" s="3294"/>
      <c r="AG105" s="3277"/>
      <c r="AH105" s="3294"/>
      <c r="AI105" s="3277"/>
      <c r="AJ105" s="3294"/>
      <c r="AK105" s="3277"/>
      <c r="AL105" s="3294"/>
      <c r="AM105" s="3277"/>
      <c r="AN105" s="3294"/>
      <c r="AO105" s="3277"/>
      <c r="AP105" s="3294"/>
      <c r="AQ105" s="3277"/>
      <c r="AR105" s="3294"/>
      <c r="AS105" s="3277"/>
      <c r="AT105" s="3294"/>
      <c r="AU105" s="3277"/>
      <c r="AV105" s="3294"/>
      <c r="AW105" s="3277"/>
      <c r="AX105" s="3294"/>
      <c r="AY105" s="3277"/>
      <c r="AZ105" s="3294"/>
      <c r="BA105" s="3277"/>
      <c r="BB105" s="3294"/>
      <c r="BC105" s="3277"/>
      <c r="BD105" s="3277"/>
      <c r="BE105" s="3294"/>
      <c r="BF105" s="3311"/>
      <c r="BG105" s="3180"/>
      <c r="BH105" s="3180"/>
      <c r="BI105" s="3182" t="e">
        <f t="shared" si="9"/>
        <v>#DIV/0!</v>
      </c>
      <c r="BJ105" s="3306"/>
      <c r="BK105" s="3170"/>
      <c r="BL105" s="3309"/>
      <c r="BM105" s="3278"/>
      <c r="BN105" s="3283"/>
      <c r="BO105" s="3283"/>
      <c r="BP105" s="3178"/>
    </row>
    <row r="106" spans="1:68" s="366" customFormat="1" ht="40.5" customHeight="1" x14ac:dyDescent="0.2">
      <c r="A106" s="2102"/>
      <c r="B106" s="2068"/>
      <c r="C106" s="2068"/>
      <c r="D106" s="2067"/>
      <c r="E106" s="2068"/>
      <c r="F106" s="2069"/>
      <c r="G106" s="2618"/>
      <c r="H106" s="2626"/>
      <c r="I106" s="2698"/>
      <c r="J106" s="2698"/>
      <c r="K106" s="2626"/>
      <c r="L106" s="3019"/>
      <c r="M106" s="3264"/>
      <c r="N106" s="3264"/>
      <c r="O106" s="2698"/>
      <c r="P106" s="3266"/>
      <c r="Q106" s="3269"/>
      <c r="R106" s="2698"/>
      <c r="S106" s="2698"/>
      <c r="T106" s="3303" t="s">
        <v>1707</v>
      </c>
      <c r="U106" s="2285">
        <v>8891667</v>
      </c>
      <c r="V106" s="2421">
        <v>6986721</v>
      </c>
      <c r="W106" s="2421">
        <v>6986721</v>
      </c>
      <c r="X106" s="1882">
        <v>88</v>
      </c>
      <c r="Y106" s="2227" t="s">
        <v>411</v>
      </c>
      <c r="Z106" s="3294"/>
      <c r="AA106" s="3277"/>
      <c r="AB106" s="3294"/>
      <c r="AC106" s="3277"/>
      <c r="AD106" s="3294"/>
      <c r="AE106" s="3277"/>
      <c r="AF106" s="3294"/>
      <c r="AG106" s="3277"/>
      <c r="AH106" s="3294"/>
      <c r="AI106" s="3277"/>
      <c r="AJ106" s="3294"/>
      <c r="AK106" s="3277"/>
      <c r="AL106" s="3294"/>
      <c r="AM106" s="3277"/>
      <c r="AN106" s="3294"/>
      <c r="AO106" s="3277"/>
      <c r="AP106" s="3294"/>
      <c r="AQ106" s="3277"/>
      <c r="AR106" s="3294"/>
      <c r="AS106" s="3277"/>
      <c r="AT106" s="3294"/>
      <c r="AU106" s="3277"/>
      <c r="AV106" s="3294"/>
      <c r="AW106" s="3277"/>
      <c r="AX106" s="3294"/>
      <c r="AY106" s="3277"/>
      <c r="AZ106" s="3294"/>
      <c r="BA106" s="3277"/>
      <c r="BB106" s="3294"/>
      <c r="BC106" s="3277"/>
      <c r="BD106" s="3277"/>
      <c r="BE106" s="3294"/>
      <c r="BF106" s="3311"/>
      <c r="BG106" s="3180"/>
      <c r="BH106" s="3180"/>
      <c r="BI106" s="3182"/>
      <c r="BJ106" s="3306"/>
      <c r="BK106" s="3170"/>
      <c r="BL106" s="3309"/>
      <c r="BM106" s="3278"/>
      <c r="BN106" s="3283"/>
      <c r="BO106" s="3283"/>
      <c r="BP106" s="3178"/>
    </row>
    <row r="107" spans="1:68" s="366" customFormat="1" ht="43.5" customHeight="1" x14ac:dyDescent="0.2">
      <c r="A107" s="2102"/>
      <c r="B107" s="2068"/>
      <c r="C107" s="2068"/>
      <c r="D107" s="2067"/>
      <c r="E107" s="2068"/>
      <c r="F107" s="2069"/>
      <c r="G107" s="2618"/>
      <c r="H107" s="2626"/>
      <c r="I107" s="2698"/>
      <c r="J107" s="2698"/>
      <c r="K107" s="2626"/>
      <c r="L107" s="3019"/>
      <c r="M107" s="3264"/>
      <c r="N107" s="3264"/>
      <c r="O107" s="2698"/>
      <c r="P107" s="3266"/>
      <c r="Q107" s="3269"/>
      <c r="R107" s="2698"/>
      <c r="S107" s="2698"/>
      <c r="T107" s="3304"/>
      <c r="U107" s="2285">
        <v>3600000</v>
      </c>
      <c r="V107" s="2421">
        <v>3600000</v>
      </c>
      <c r="W107" s="2421">
        <v>3600000</v>
      </c>
      <c r="X107" s="1882">
        <v>20</v>
      </c>
      <c r="Y107" s="2227" t="s">
        <v>85</v>
      </c>
      <c r="Z107" s="3294"/>
      <c r="AA107" s="3277"/>
      <c r="AB107" s="3294"/>
      <c r="AC107" s="3277"/>
      <c r="AD107" s="3294"/>
      <c r="AE107" s="3277"/>
      <c r="AF107" s="3294"/>
      <c r="AG107" s="3277"/>
      <c r="AH107" s="3294"/>
      <c r="AI107" s="3277"/>
      <c r="AJ107" s="3294"/>
      <c r="AK107" s="3277"/>
      <c r="AL107" s="3294"/>
      <c r="AM107" s="3277"/>
      <c r="AN107" s="3294"/>
      <c r="AO107" s="3277"/>
      <c r="AP107" s="3294"/>
      <c r="AQ107" s="3277"/>
      <c r="AR107" s="3294"/>
      <c r="AS107" s="3277"/>
      <c r="AT107" s="3294"/>
      <c r="AU107" s="3277"/>
      <c r="AV107" s="3294"/>
      <c r="AW107" s="3277"/>
      <c r="AX107" s="3294"/>
      <c r="AY107" s="3277"/>
      <c r="AZ107" s="3294"/>
      <c r="BA107" s="3277"/>
      <c r="BB107" s="3294"/>
      <c r="BC107" s="3277"/>
      <c r="BD107" s="3277"/>
      <c r="BE107" s="3294"/>
      <c r="BF107" s="3311"/>
      <c r="BG107" s="3180"/>
      <c r="BH107" s="3180"/>
      <c r="BI107" s="3182" t="e">
        <f t="shared" si="9"/>
        <v>#DIV/0!</v>
      </c>
      <c r="BJ107" s="3306"/>
      <c r="BK107" s="3170"/>
      <c r="BL107" s="3309"/>
      <c r="BM107" s="3278"/>
      <c r="BN107" s="3283"/>
      <c r="BO107" s="3283"/>
      <c r="BP107" s="3178"/>
    </row>
    <row r="108" spans="1:68" s="366" customFormat="1" ht="31.5" customHeight="1" x14ac:dyDescent="0.2">
      <c r="A108" s="2102"/>
      <c r="B108" s="2068"/>
      <c r="C108" s="2068"/>
      <c r="D108" s="2067"/>
      <c r="E108" s="2068"/>
      <c r="F108" s="2069"/>
      <c r="G108" s="2618"/>
      <c r="H108" s="2626"/>
      <c r="I108" s="2698"/>
      <c r="J108" s="2698"/>
      <c r="K108" s="2626"/>
      <c r="L108" s="3019"/>
      <c r="M108" s="3264"/>
      <c r="N108" s="3264"/>
      <c r="O108" s="2698"/>
      <c r="P108" s="3266"/>
      <c r="Q108" s="3269"/>
      <c r="R108" s="2698"/>
      <c r="S108" s="2698"/>
      <c r="T108" s="3301" t="s">
        <v>1708</v>
      </c>
      <c r="U108" s="2285">
        <v>5000000</v>
      </c>
      <c r="V108" s="2421">
        <v>3000000</v>
      </c>
      <c r="W108" s="2421">
        <v>3000000</v>
      </c>
      <c r="X108" s="1882">
        <v>88</v>
      </c>
      <c r="Y108" s="2227" t="s">
        <v>411</v>
      </c>
      <c r="Z108" s="3294"/>
      <c r="AA108" s="3277"/>
      <c r="AB108" s="3294"/>
      <c r="AC108" s="3277"/>
      <c r="AD108" s="3294"/>
      <c r="AE108" s="3277"/>
      <c r="AF108" s="3294"/>
      <c r="AG108" s="3277"/>
      <c r="AH108" s="3294"/>
      <c r="AI108" s="3277"/>
      <c r="AJ108" s="3294"/>
      <c r="AK108" s="3277"/>
      <c r="AL108" s="3294"/>
      <c r="AM108" s="3277"/>
      <c r="AN108" s="3294"/>
      <c r="AO108" s="3277"/>
      <c r="AP108" s="3294"/>
      <c r="AQ108" s="3277"/>
      <c r="AR108" s="3294"/>
      <c r="AS108" s="3277"/>
      <c r="AT108" s="3294"/>
      <c r="AU108" s="3277"/>
      <c r="AV108" s="3294"/>
      <c r="AW108" s="3277"/>
      <c r="AX108" s="3294"/>
      <c r="AY108" s="3277"/>
      <c r="AZ108" s="3294"/>
      <c r="BA108" s="3277"/>
      <c r="BB108" s="3294"/>
      <c r="BC108" s="3277"/>
      <c r="BD108" s="3277"/>
      <c r="BE108" s="3294"/>
      <c r="BF108" s="3311"/>
      <c r="BG108" s="3180"/>
      <c r="BH108" s="3180"/>
      <c r="BI108" s="3182" t="e">
        <f t="shared" si="9"/>
        <v>#DIV/0!</v>
      </c>
      <c r="BJ108" s="3306"/>
      <c r="BK108" s="3170"/>
      <c r="BL108" s="3309"/>
      <c r="BM108" s="3278"/>
      <c r="BN108" s="3283"/>
      <c r="BO108" s="3283"/>
      <c r="BP108" s="3178"/>
    </row>
    <row r="109" spans="1:68" s="366" customFormat="1" ht="36.75" customHeight="1" x14ac:dyDescent="0.2">
      <c r="A109" s="2102"/>
      <c r="B109" s="2068"/>
      <c r="C109" s="2068"/>
      <c r="D109" s="2067"/>
      <c r="E109" s="2068"/>
      <c r="F109" s="2069"/>
      <c r="G109" s="2618"/>
      <c r="H109" s="2626"/>
      <c r="I109" s="2698"/>
      <c r="J109" s="2698"/>
      <c r="K109" s="2626"/>
      <c r="L109" s="3019"/>
      <c r="M109" s="3264"/>
      <c r="N109" s="3264"/>
      <c r="O109" s="2698"/>
      <c r="P109" s="3266"/>
      <c r="Q109" s="3269"/>
      <c r="R109" s="2698"/>
      <c r="S109" s="2698"/>
      <c r="T109" s="3302"/>
      <c r="U109" s="2285">
        <f>3108333+7715999</f>
        <v>10824332</v>
      </c>
      <c r="V109" s="2421">
        <v>9105667</v>
      </c>
      <c r="W109" s="2421">
        <v>9105667</v>
      </c>
      <c r="X109" s="1882">
        <v>20</v>
      </c>
      <c r="Y109" s="2227" t="s">
        <v>85</v>
      </c>
      <c r="Z109" s="3294"/>
      <c r="AA109" s="3277"/>
      <c r="AB109" s="3294"/>
      <c r="AC109" s="3277"/>
      <c r="AD109" s="3294"/>
      <c r="AE109" s="3277"/>
      <c r="AF109" s="3294"/>
      <c r="AG109" s="3277"/>
      <c r="AH109" s="3294"/>
      <c r="AI109" s="3277"/>
      <c r="AJ109" s="3294"/>
      <c r="AK109" s="3277"/>
      <c r="AL109" s="3294"/>
      <c r="AM109" s="3277"/>
      <c r="AN109" s="3294"/>
      <c r="AO109" s="3277"/>
      <c r="AP109" s="3294"/>
      <c r="AQ109" s="3277"/>
      <c r="AR109" s="3294"/>
      <c r="AS109" s="3277"/>
      <c r="AT109" s="3294"/>
      <c r="AU109" s="3277"/>
      <c r="AV109" s="3294"/>
      <c r="AW109" s="3277"/>
      <c r="AX109" s="3294"/>
      <c r="AY109" s="3277"/>
      <c r="AZ109" s="3294"/>
      <c r="BA109" s="3277"/>
      <c r="BB109" s="3294"/>
      <c r="BC109" s="3277"/>
      <c r="BD109" s="3277"/>
      <c r="BE109" s="3294"/>
      <c r="BF109" s="3311"/>
      <c r="BG109" s="3180"/>
      <c r="BH109" s="3180"/>
      <c r="BI109" s="3182"/>
      <c r="BJ109" s="3306"/>
      <c r="BK109" s="3170"/>
      <c r="BL109" s="3309"/>
      <c r="BM109" s="3278"/>
      <c r="BN109" s="3283"/>
      <c r="BO109" s="3283"/>
      <c r="BP109" s="3178"/>
    </row>
    <row r="110" spans="1:68" s="366" customFormat="1" ht="53.25" customHeight="1" x14ac:dyDescent="0.2">
      <c r="A110" s="2102"/>
      <c r="B110" s="2068"/>
      <c r="C110" s="2068"/>
      <c r="D110" s="2067"/>
      <c r="E110" s="2068"/>
      <c r="F110" s="2069"/>
      <c r="G110" s="2618"/>
      <c r="H110" s="2626"/>
      <c r="I110" s="2698"/>
      <c r="J110" s="2698"/>
      <c r="K110" s="2626"/>
      <c r="L110" s="3168"/>
      <c r="M110" s="3264"/>
      <c r="N110" s="3264"/>
      <c r="O110" s="2698"/>
      <c r="P110" s="3266"/>
      <c r="Q110" s="3269"/>
      <c r="R110" s="2698"/>
      <c r="S110" s="2698"/>
      <c r="T110" s="2107" t="s">
        <v>1709</v>
      </c>
      <c r="U110" s="2285">
        <v>3000000</v>
      </c>
      <c r="V110" s="2421"/>
      <c r="W110" s="2421"/>
      <c r="X110" s="1882">
        <v>88</v>
      </c>
      <c r="Y110" s="2227" t="s">
        <v>411</v>
      </c>
      <c r="Z110" s="3294"/>
      <c r="AA110" s="3296"/>
      <c r="AB110" s="3294"/>
      <c r="AC110" s="3296"/>
      <c r="AD110" s="3294"/>
      <c r="AE110" s="3296"/>
      <c r="AF110" s="3294"/>
      <c r="AG110" s="3296"/>
      <c r="AH110" s="3294"/>
      <c r="AI110" s="3296"/>
      <c r="AJ110" s="3294"/>
      <c r="AK110" s="3296"/>
      <c r="AL110" s="3294"/>
      <c r="AM110" s="3296"/>
      <c r="AN110" s="3294"/>
      <c r="AO110" s="3296"/>
      <c r="AP110" s="3294"/>
      <c r="AQ110" s="3296"/>
      <c r="AR110" s="3294"/>
      <c r="AS110" s="3296"/>
      <c r="AT110" s="3294"/>
      <c r="AU110" s="3296"/>
      <c r="AV110" s="3294"/>
      <c r="AW110" s="3296"/>
      <c r="AX110" s="3294"/>
      <c r="AY110" s="3296"/>
      <c r="AZ110" s="3294"/>
      <c r="BA110" s="3296"/>
      <c r="BB110" s="3294"/>
      <c r="BC110" s="3296"/>
      <c r="BD110" s="3296"/>
      <c r="BE110" s="3294"/>
      <c r="BF110" s="3311"/>
      <c r="BG110" s="3288"/>
      <c r="BH110" s="3288"/>
      <c r="BI110" s="3289" t="e">
        <f t="shared" si="9"/>
        <v>#DIV/0!</v>
      </c>
      <c r="BJ110" s="3307"/>
      <c r="BK110" s="3308"/>
      <c r="BL110" s="3309"/>
      <c r="BM110" s="3310"/>
      <c r="BN110" s="3283"/>
      <c r="BO110" s="3283"/>
      <c r="BP110" s="3299"/>
    </row>
    <row r="111" spans="1:68" s="366" customFormat="1" ht="65.25" customHeight="1" x14ac:dyDescent="0.2">
      <c r="A111" s="2102"/>
      <c r="B111" s="2068"/>
      <c r="C111" s="2068"/>
      <c r="D111" s="2067"/>
      <c r="E111" s="2068"/>
      <c r="F111" s="2069"/>
      <c r="G111" s="2617">
        <v>4501001</v>
      </c>
      <c r="H111" s="3168" t="s">
        <v>1710</v>
      </c>
      <c r="I111" s="2787" t="s">
        <v>1711</v>
      </c>
      <c r="J111" s="2787" t="s">
        <v>1712</v>
      </c>
      <c r="K111" s="3168">
        <v>12</v>
      </c>
      <c r="L111" s="3167">
        <v>12</v>
      </c>
      <c r="M111" s="3168" t="s">
        <v>1713</v>
      </c>
      <c r="N111" s="2963" t="s">
        <v>1714</v>
      </c>
      <c r="O111" s="2787" t="s">
        <v>1715</v>
      </c>
      <c r="P111" s="3297">
        <f>SUM(U111:U114)/Q111</f>
        <v>1</v>
      </c>
      <c r="Q111" s="3268">
        <f>SUM(U111:U114)</f>
        <v>75000000</v>
      </c>
      <c r="R111" s="2787" t="s">
        <v>1716</v>
      </c>
      <c r="S111" s="2787" t="s">
        <v>1717</v>
      </c>
      <c r="T111" s="2108" t="s">
        <v>1718</v>
      </c>
      <c r="U111" s="2434">
        <v>11500000</v>
      </c>
      <c r="V111" s="2431">
        <f>6500000-280000</f>
        <v>6220000</v>
      </c>
      <c r="W111" s="2431">
        <f>6500000-280000</f>
        <v>6220000</v>
      </c>
      <c r="X111" s="2097">
        <v>88</v>
      </c>
      <c r="Y111" s="2460" t="s">
        <v>411</v>
      </c>
      <c r="Z111" s="3314">
        <v>4835</v>
      </c>
      <c r="AA111" s="3312">
        <v>525</v>
      </c>
      <c r="AB111" s="3314">
        <v>4665</v>
      </c>
      <c r="AC111" s="3312">
        <v>480</v>
      </c>
      <c r="AD111" s="3314">
        <v>2214</v>
      </c>
      <c r="AE111" s="3312">
        <v>215</v>
      </c>
      <c r="AF111" s="3314">
        <v>723</v>
      </c>
      <c r="AG111" s="3312">
        <v>105</v>
      </c>
      <c r="AH111" s="3314">
        <v>5050</v>
      </c>
      <c r="AI111" s="3312">
        <v>320</v>
      </c>
      <c r="AJ111" s="3314">
        <v>1513</v>
      </c>
      <c r="AK111" s="3312">
        <v>365</v>
      </c>
      <c r="AL111" s="2862">
        <v>0</v>
      </c>
      <c r="AM111" s="2860"/>
      <c r="AN111" s="2862">
        <v>0</v>
      </c>
      <c r="AO111" s="2860"/>
      <c r="AP111" s="2862">
        <v>0</v>
      </c>
      <c r="AQ111" s="2860"/>
      <c r="AR111" s="2862">
        <v>0</v>
      </c>
      <c r="AS111" s="2860"/>
      <c r="AT111" s="2862">
        <v>0</v>
      </c>
      <c r="AU111" s="2860"/>
      <c r="AV111" s="2862">
        <v>0</v>
      </c>
      <c r="AW111" s="2860"/>
      <c r="AX111" s="2862">
        <v>0</v>
      </c>
      <c r="AY111" s="2860"/>
      <c r="AZ111" s="2862">
        <v>0</v>
      </c>
      <c r="BA111" s="2860"/>
      <c r="BB111" s="2862">
        <v>0</v>
      </c>
      <c r="BC111" s="2860"/>
      <c r="BD111" s="2860">
        <f>Z111+AB111</f>
        <v>9500</v>
      </c>
      <c r="BE111" s="3330">
        <f>+AA111+AC111</f>
        <v>1005</v>
      </c>
      <c r="BF111" s="3177">
        <v>5</v>
      </c>
      <c r="BG111" s="3179">
        <f>SUM(V111:V114)</f>
        <v>40220000</v>
      </c>
      <c r="BH111" s="3179">
        <f>SUM(W111:W114)</f>
        <v>40220000</v>
      </c>
      <c r="BI111" s="3181">
        <f>+BH111/BG111</f>
        <v>1</v>
      </c>
      <c r="BJ111" s="3326">
        <v>88</v>
      </c>
      <c r="BK111" s="3328" t="s">
        <v>1687</v>
      </c>
      <c r="BL111" s="3282">
        <v>44061</v>
      </c>
      <c r="BM111" s="3329">
        <v>44186</v>
      </c>
      <c r="BN111" s="3282">
        <v>44195</v>
      </c>
      <c r="BO111" s="3282">
        <v>44195</v>
      </c>
      <c r="BP111" s="3177" t="s">
        <v>1585</v>
      </c>
    </row>
    <row r="112" spans="1:68" s="366" customFormat="1" ht="65.25" customHeight="1" x14ac:dyDescent="0.2">
      <c r="A112" s="2102"/>
      <c r="B112" s="2068"/>
      <c r="C112" s="2068"/>
      <c r="D112" s="2067"/>
      <c r="E112" s="2068"/>
      <c r="F112" s="2069"/>
      <c r="G112" s="2618"/>
      <c r="H112" s="2626"/>
      <c r="I112" s="2698"/>
      <c r="J112" s="2698"/>
      <c r="K112" s="2626"/>
      <c r="L112" s="3019"/>
      <c r="M112" s="2626"/>
      <c r="N112" s="3264"/>
      <c r="O112" s="2698"/>
      <c r="P112" s="3298"/>
      <c r="Q112" s="3269"/>
      <c r="R112" s="2698"/>
      <c r="S112" s="2698"/>
      <c r="T112" s="2071" t="s">
        <v>1719</v>
      </c>
      <c r="U112" s="2422">
        <v>6000000</v>
      </c>
      <c r="V112" s="2421">
        <v>4410000</v>
      </c>
      <c r="W112" s="2421">
        <v>4410000</v>
      </c>
      <c r="X112" s="2057">
        <v>88</v>
      </c>
      <c r="Y112" s="2213" t="s">
        <v>411</v>
      </c>
      <c r="Z112" s="3315"/>
      <c r="AA112" s="3313"/>
      <c r="AB112" s="3315"/>
      <c r="AC112" s="3313"/>
      <c r="AD112" s="3315"/>
      <c r="AE112" s="3313"/>
      <c r="AF112" s="3315"/>
      <c r="AG112" s="3313"/>
      <c r="AH112" s="3315"/>
      <c r="AI112" s="3313"/>
      <c r="AJ112" s="3315"/>
      <c r="AK112" s="3313"/>
      <c r="AL112" s="2890"/>
      <c r="AM112" s="2861"/>
      <c r="AN112" s="2890"/>
      <c r="AO112" s="2861"/>
      <c r="AP112" s="2890"/>
      <c r="AQ112" s="2861"/>
      <c r="AR112" s="2890"/>
      <c r="AS112" s="2861"/>
      <c r="AT112" s="2890"/>
      <c r="AU112" s="2861"/>
      <c r="AV112" s="2890"/>
      <c r="AW112" s="2861"/>
      <c r="AX112" s="2890"/>
      <c r="AY112" s="2861"/>
      <c r="AZ112" s="2890"/>
      <c r="BA112" s="2861"/>
      <c r="BB112" s="2890"/>
      <c r="BC112" s="2861"/>
      <c r="BD112" s="2861"/>
      <c r="BE112" s="2953"/>
      <c r="BF112" s="3178"/>
      <c r="BG112" s="3180"/>
      <c r="BH112" s="3180"/>
      <c r="BI112" s="3182"/>
      <c r="BJ112" s="3198"/>
      <c r="BK112" s="2858"/>
      <c r="BL112" s="3283"/>
      <c r="BM112" s="3278"/>
      <c r="BN112" s="3283"/>
      <c r="BO112" s="3283"/>
      <c r="BP112" s="3178"/>
    </row>
    <row r="113" spans="1:85" s="366" customFormat="1" ht="65.25" customHeight="1" x14ac:dyDescent="0.2">
      <c r="A113" s="2102"/>
      <c r="B113" s="2068"/>
      <c r="C113" s="2068"/>
      <c r="D113" s="2067"/>
      <c r="E113" s="2068"/>
      <c r="F113" s="2069"/>
      <c r="G113" s="2618"/>
      <c r="H113" s="2626"/>
      <c r="I113" s="2698"/>
      <c r="J113" s="2698"/>
      <c r="K113" s="2626"/>
      <c r="L113" s="3019"/>
      <c r="M113" s="2626"/>
      <c r="N113" s="3264"/>
      <c r="O113" s="2698"/>
      <c r="P113" s="3298"/>
      <c r="Q113" s="3269"/>
      <c r="R113" s="2698"/>
      <c r="S113" s="2698"/>
      <c r="T113" s="2071" t="s">
        <v>1720</v>
      </c>
      <c r="U113" s="2422">
        <v>40000000</v>
      </c>
      <c r="V113" s="2421">
        <v>29590000</v>
      </c>
      <c r="W113" s="2421">
        <v>29590000</v>
      </c>
      <c r="X113" s="2057">
        <v>88</v>
      </c>
      <c r="Y113" s="2213" t="s">
        <v>411</v>
      </c>
      <c r="Z113" s="3315"/>
      <c r="AA113" s="3313"/>
      <c r="AB113" s="3315"/>
      <c r="AC113" s="3313"/>
      <c r="AD113" s="3315"/>
      <c r="AE113" s="3313"/>
      <c r="AF113" s="3315"/>
      <c r="AG113" s="3313"/>
      <c r="AH113" s="3315"/>
      <c r="AI113" s="3313"/>
      <c r="AJ113" s="3315"/>
      <c r="AK113" s="3313"/>
      <c r="AL113" s="2890"/>
      <c r="AM113" s="2861"/>
      <c r="AN113" s="2890"/>
      <c r="AO113" s="2861"/>
      <c r="AP113" s="2890"/>
      <c r="AQ113" s="2861"/>
      <c r="AR113" s="2890"/>
      <c r="AS113" s="2861"/>
      <c r="AT113" s="2890"/>
      <c r="AU113" s="2861"/>
      <c r="AV113" s="2890"/>
      <c r="AW113" s="2861"/>
      <c r="AX113" s="2890"/>
      <c r="AY113" s="2861"/>
      <c r="AZ113" s="2890"/>
      <c r="BA113" s="2861"/>
      <c r="BB113" s="2890"/>
      <c r="BC113" s="2861"/>
      <c r="BD113" s="2861"/>
      <c r="BE113" s="2953"/>
      <c r="BF113" s="3178"/>
      <c r="BG113" s="3180"/>
      <c r="BH113" s="3180"/>
      <c r="BI113" s="3182"/>
      <c r="BJ113" s="3198"/>
      <c r="BK113" s="2858"/>
      <c r="BL113" s="3283"/>
      <c r="BM113" s="3278"/>
      <c r="BN113" s="3283"/>
      <c r="BO113" s="3283"/>
      <c r="BP113" s="3178"/>
    </row>
    <row r="114" spans="1:85" s="366" customFormat="1" ht="65.25" customHeight="1" x14ac:dyDescent="0.2">
      <c r="A114" s="2109"/>
      <c r="B114" s="2110"/>
      <c r="C114" s="2110"/>
      <c r="D114" s="2076"/>
      <c r="E114" s="2077"/>
      <c r="F114" s="2111"/>
      <c r="G114" s="2618"/>
      <c r="H114" s="2626"/>
      <c r="I114" s="2698"/>
      <c r="J114" s="2698"/>
      <c r="K114" s="2626"/>
      <c r="L114" s="3168"/>
      <c r="M114" s="2626"/>
      <c r="N114" s="3264"/>
      <c r="O114" s="2698"/>
      <c r="P114" s="3298"/>
      <c r="Q114" s="3269"/>
      <c r="R114" s="2698"/>
      <c r="S114" s="2698"/>
      <c r="T114" s="2071" t="s">
        <v>1721</v>
      </c>
      <c r="U114" s="2422">
        <v>17500000</v>
      </c>
      <c r="V114" s="2421"/>
      <c r="W114" s="2421"/>
      <c r="X114" s="2057">
        <v>88</v>
      </c>
      <c r="Y114" s="2213" t="s">
        <v>411</v>
      </c>
      <c r="Z114" s="3315"/>
      <c r="AA114" s="3314"/>
      <c r="AB114" s="3315"/>
      <c r="AC114" s="3314"/>
      <c r="AD114" s="3315"/>
      <c r="AE114" s="3314"/>
      <c r="AF114" s="3315"/>
      <c r="AG114" s="3314"/>
      <c r="AH114" s="3315"/>
      <c r="AI114" s="3314"/>
      <c r="AJ114" s="3315"/>
      <c r="AK114" s="3314"/>
      <c r="AL114" s="2890"/>
      <c r="AM114" s="2862"/>
      <c r="AN114" s="2890"/>
      <c r="AO114" s="2862"/>
      <c r="AP114" s="2890"/>
      <c r="AQ114" s="2862"/>
      <c r="AR114" s="2890"/>
      <c r="AS114" s="2862"/>
      <c r="AT114" s="2890"/>
      <c r="AU114" s="2862"/>
      <c r="AV114" s="2890"/>
      <c r="AW114" s="2862"/>
      <c r="AX114" s="2890"/>
      <c r="AY114" s="2862"/>
      <c r="AZ114" s="2890"/>
      <c r="BA114" s="2862"/>
      <c r="BB114" s="2890"/>
      <c r="BC114" s="2862"/>
      <c r="BD114" s="2862"/>
      <c r="BE114" s="2953"/>
      <c r="BF114" s="3285"/>
      <c r="BG114" s="3288"/>
      <c r="BH114" s="3288"/>
      <c r="BI114" s="3289"/>
      <c r="BJ114" s="3327"/>
      <c r="BK114" s="2859"/>
      <c r="BL114" s="3283"/>
      <c r="BM114" s="3282"/>
      <c r="BN114" s="3283"/>
      <c r="BO114" s="3283"/>
      <c r="BP114" s="3285"/>
    </row>
    <row r="115" spans="1:85" s="366" customFormat="1" ht="21.75" customHeight="1" x14ac:dyDescent="0.2">
      <c r="A115" s="308">
        <v>3</v>
      </c>
      <c r="B115" s="309" t="s">
        <v>505</v>
      </c>
      <c r="C115" s="310"/>
      <c r="D115" s="948"/>
      <c r="E115" s="2112"/>
      <c r="F115" s="2112"/>
      <c r="G115" s="1219"/>
      <c r="H115" s="1219"/>
      <c r="I115" s="948"/>
      <c r="J115" s="948"/>
      <c r="K115" s="2112"/>
      <c r="L115" s="2112"/>
      <c r="M115" s="1216"/>
      <c r="N115" s="1219"/>
      <c r="O115" s="948"/>
      <c r="P115" s="1220"/>
      <c r="Q115" s="2458"/>
      <c r="R115" s="948"/>
      <c r="S115" s="948"/>
      <c r="T115" s="2113"/>
      <c r="U115" s="2441"/>
      <c r="V115" s="2442"/>
      <c r="W115" s="2443"/>
      <c r="X115" s="1242"/>
      <c r="Y115" s="1216"/>
      <c r="Z115" s="1219"/>
      <c r="AA115" s="1219"/>
      <c r="AB115" s="1219"/>
      <c r="AC115" s="1219"/>
      <c r="AD115" s="1219"/>
      <c r="AE115" s="1219"/>
      <c r="AF115" s="1219"/>
      <c r="AG115" s="1219"/>
      <c r="AH115" s="1219"/>
      <c r="AI115" s="1219"/>
      <c r="AJ115" s="1219"/>
      <c r="AK115" s="1219"/>
      <c r="AL115" s="1219"/>
      <c r="AM115" s="1219"/>
      <c r="AN115" s="1219"/>
      <c r="AO115" s="1219"/>
      <c r="AP115" s="1219"/>
      <c r="AQ115" s="1219"/>
      <c r="AR115" s="1219"/>
      <c r="AS115" s="1219"/>
      <c r="AT115" s="1219"/>
      <c r="AU115" s="1219"/>
      <c r="AV115" s="1219"/>
      <c r="AW115" s="1219"/>
      <c r="AX115" s="1219"/>
      <c r="AY115" s="1219"/>
      <c r="AZ115" s="1219"/>
      <c r="BA115" s="1219"/>
      <c r="BB115" s="1219"/>
      <c r="BC115" s="1219"/>
      <c r="BD115" s="1219"/>
      <c r="BE115" s="1219"/>
      <c r="BF115" s="1219"/>
      <c r="BG115" s="1219"/>
      <c r="BH115" s="1219"/>
      <c r="BI115" s="1219"/>
      <c r="BJ115" s="1219"/>
      <c r="BK115" s="1219"/>
      <c r="BL115" s="2114"/>
      <c r="BM115" s="2114"/>
      <c r="BN115" s="2114"/>
      <c r="BO115" s="2114"/>
      <c r="BP115" s="2115"/>
      <c r="BQ115" s="1555"/>
      <c r="BR115" s="1555"/>
      <c r="BS115" s="1555"/>
      <c r="BT115" s="1555"/>
      <c r="BU115" s="1555"/>
      <c r="BV115" s="1555"/>
      <c r="BW115" s="1555"/>
      <c r="BX115" s="1555"/>
      <c r="BY115" s="1555"/>
      <c r="BZ115" s="1555"/>
      <c r="CA115" s="1555"/>
      <c r="CB115" s="1555"/>
      <c r="CC115" s="1555"/>
      <c r="CD115" s="1555"/>
      <c r="CE115" s="1555"/>
      <c r="CF115" s="1555"/>
      <c r="CG115" s="1555"/>
    </row>
    <row r="116" spans="1:85" s="1555" customFormat="1" ht="27" customHeight="1" x14ac:dyDescent="0.2">
      <c r="A116" s="2044"/>
      <c r="B116" s="1912"/>
      <c r="C116" s="2045"/>
      <c r="D116" s="2064">
        <v>23</v>
      </c>
      <c r="E116" s="1893" t="s">
        <v>579</v>
      </c>
      <c r="F116" s="222"/>
      <c r="G116" s="221"/>
      <c r="H116" s="221"/>
      <c r="I116" s="222"/>
      <c r="J116" s="278"/>
      <c r="K116" s="2116"/>
      <c r="L116" s="2116"/>
      <c r="M116" s="1094"/>
      <c r="N116" s="287"/>
      <c r="O116" s="278"/>
      <c r="P116" s="1096"/>
      <c r="Q116" s="2457"/>
      <c r="R116" s="278"/>
      <c r="S116" s="1427"/>
      <c r="T116" s="1425"/>
      <c r="U116" s="2444"/>
      <c r="V116" s="2424"/>
      <c r="W116" s="2424"/>
      <c r="X116" s="2052"/>
      <c r="Y116" s="204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7"/>
      <c r="BA116" s="287"/>
      <c r="BB116" s="287"/>
      <c r="BC116" s="287"/>
      <c r="BD116" s="287"/>
      <c r="BE116" s="287"/>
      <c r="BF116" s="287"/>
      <c r="BG116" s="287"/>
      <c r="BH116" s="287"/>
      <c r="BI116" s="287"/>
      <c r="BJ116" s="287"/>
      <c r="BK116" s="287"/>
      <c r="BL116" s="2117"/>
      <c r="BM116" s="2117"/>
      <c r="BN116" s="2117"/>
      <c r="BO116" s="2117"/>
      <c r="BP116" s="2079"/>
    </row>
    <row r="117" spans="1:85" s="366" customFormat="1" ht="94.5" customHeight="1" x14ac:dyDescent="0.2">
      <c r="A117" s="2118"/>
      <c r="C117" s="2091"/>
      <c r="D117" s="3316"/>
      <c r="E117" s="3316"/>
      <c r="F117" s="3317"/>
      <c r="G117" s="1877">
        <v>3205002</v>
      </c>
      <c r="H117" s="1877" t="s">
        <v>1722</v>
      </c>
      <c r="I117" s="1888" t="s">
        <v>1723</v>
      </c>
      <c r="J117" s="1901" t="s">
        <v>1724</v>
      </c>
      <c r="K117" s="1877">
        <v>1</v>
      </c>
      <c r="L117" s="1877">
        <v>1</v>
      </c>
      <c r="M117" s="2721" t="s">
        <v>1725</v>
      </c>
      <c r="N117" s="2721" t="s">
        <v>1615</v>
      </c>
      <c r="O117" s="3235" t="s">
        <v>1616</v>
      </c>
      <c r="P117" s="3320">
        <f>(U117+U118)/(Q28+Q117+Q120)</f>
        <v>6.6712797161780357E-2</v>
      </c>
      <c r="Q117" s="3322">
        <f>SUM(U117:U118)</f>
        <v>37702666</v>
      </c>
      <c r="R117" s="2892" t="s">
        <v>1617</v>
      </c>
      <c r="S117" s="3324" t="s">
        <v>1618</v>
      </c>
      <c r="T117" s="2119" t="s">
        <v>1726</v>
      </c>
      <c r="U117" s="1481">
        <f>12866668+20000000</f>
        <v>32866668</v>
      </c>
      <c r="V117" s="2438">
        <f>22800001+1386667</f>
        <v>24186668</v>
      </c>
      <c r="W117" s="2438">
        <f>22800001+1386667</f>
        <v>24186668</v>
      </c>
      <c r="X117" s="2120">
        <v>88</v>
      </c>
      <c r="Y117" s="2211" t="s">
        <v>411</v>
      </c>
      <c r="Z117" s="3333">
        <v>5089</v>
      </c>
      <c r="AA117" s="3331">
        <v>3812</v>
      </c>
      <c r="AB117" s="3331">
        <v>4911</v>
      </c>
      <c r="AC117" s="3331">
        <v>3788</v>
      </c>
      <c r="AD117" s="3331">
        <v>2331</v>
      </c>
      <c r="AE117" s="3331">
        <v>1463</v>
      </c>
      <c r="AF117" s="3331">
        <v>761</v>
      </c>
      <c r="AG117" s="3331">
        <v>515</v>
      </c>
      <c r="AH117" s="3331">
        <v>5316</v>
      </c>
      <c r="AI117" s="3331">
        <v>3411</v>
      </c>
      <c r="AJ117" s="3331">
        <v>1592</v>
      </c>
      <c r="AK117" s="3331">
        <v>2211</v>
      </c>
      <c r="AL117" s="3331">
        <v>0</v>
      </c>
      <c r="AM117" s="3331"/>
      <c r="AN117" s="3331">
        <v>0</v>
      </c>
      <c r="AO117" s="3331"/>
      <c r="AP117" s="3331">
        <v>0</v>
      </c>
      <c r="AQ117" s="2121"/>
      <c r="AR117" s="3331">
        <v>0</v>
      </c>
      <c r="AS117" s="2121"/>
      <c r="AT117" s="3331">
        <v>0</v>
      </c>
      <c r="AU117" s="2121"/>
      <c r="AV117" s="3331">
        <v>0</v>
      </c>
      <c r="AW117" s="2121"/>
      <c r="AX117" s="3331">
        <v>0</v>
      </c>
      <c r="AY117" s="2121"/>
      <c r="AZ117" s="3331">
        <v>0</v>
      </c>
      <c r="BA117" s="2121"/>
      <c r="BB117" s="3331">
        <v>0</v>
      </c>
      <c r="BC117" s="2121"/>
      <c r="BD117" s="3331">
        <f>+Z117+AB117</f>
        <v>10000</v>
      </c>
      <c r="BE117" s="3331">
        <f>+AA117+AC117</f>
        <v>7600</v>
      </c>
      <c r="BF117" s="3331">
        <v>2</v>
      </c>
      <c r="BG117" s="3179">
        <f>SUM(V117:V118)</f>
        <v>27520000</v>
      </c>
      <c r="BH117" s="3179">
        <f>SUM(W117:W118)</f>
        <v>27520000</v>
      </c>
      <c r="BI117" s="3181">
        <f>+BH117/BG117</f>
        <v>1</v>
      </c>
      <c r="BJ117" s="3197">
        <v>88</v>
      </c>
      <c r="BK117" s="3335" t="s">
        <v>1620</v>
      </c>
      <c r="BL117" s="3171">
        <v>44076</v>
      </c>
      <c r="BM117" s="3171">
        <v>44186</v>
      </c>
      <c r="BN117" s="3171">
        <v>44195</v>
      </c>
      <c r="BO117" s="3171">
        <v>44195</v>
      </c>
      <c r="BP117" s="2741" t="s">
        <v>1585</v>
      </c>
    </row>
    <row r="118" spans="1:85" s="366" customFormat="1" ht="98.25" customHeight="1" x14ac:dyDescent="0.2">
      <c r="A118" s="2118"/>
      <c r="C118" s="2091"/>
      <c r="D118" s="3318"/>
      <c r="E118" s="3318"/>
      <c r="F118" s="3319"/>
      <c r="G118" s="1877">
        <v>3205021</v>
      </c>
      <c r="H118" s="1877" t="s">
        <v>1492</v>
      </c>
      <c r="I118" s="1888" t="s">
        <v>1493</v>
      </c>
      <c r="J118" s="1901" t="s">
        <v>1494</v>
      </c>
      <c r="K118" s="1877">
        <v>1</v>
      </c>
      <c r="L118" s="1882">
        <v>0</v>
      </c>
      <c r="M118" s="2723"/>
      <c r="N118" s="2723"/>
      <c r="O118" s="3237"/>
      <c r="P118" s="3321"/>
      <c r="Q118" s="3323"/>
      <c r="R118" s="3237"/>
      <c r="S118" s="3325"/>
      <c r="T118" s="2122" t="s">
        <v>1727</v>
      </c>
      <c r="U118" s="2434">
        <v>4835998</v>
      </c>
      <c r="V118" s="2421">
        <f>4326665-993333</f>
        <v>3333332</v>
      </c>
      <c r="W118" s="2421">
        <f>4326665-993333</f>
        <v>3333332</v>
      </c>
      <c r="X118" s="2120">
        <v>88</v>
      </c>
      <c r="Y118" s="2211" t="s">
        <v>411</v>
      </c>
      <c r="Z118" s="3334"/>
      <c r="AA118" s="3332"/>
      <c r="AB118" s="3332"/>
      <c r="AC118" s="3332"/>
      <c r="AD118" s="3332"/>
      <c r="AE118" s="3332"/>
      <c r="AF118" s="3332"/>
      <c r="AG118" s="3332"/>
      <c r="AH118" s="3332"/>
      <c r="AI118" s="3332"/>
      <c r="AJ118" s="3332"/>
      <c r="AK118" s="3332"/>
      <c r="AL118" s="3332"/>
      <c r="AM118" s="3332"/>
      <c r="AN118" s="3332"/>
      <c r="AO118" s="3332"/>
      <c r="AP118" s="3332"/>
      <c r="AQ118" s="2123"/>
      <c r="AR118" s="3332"/>
      <c r="AS118" s="2123"/>
      <c r="AT118" s="3332"/>
      <c r="AU118" s="2123"/>
      <c r="AV118" s="3332"/>
      <c r="AW118" s="2123"/>
      <c r="AX118" s="3332"/>
      <c r="AY118" s="2123"/>
      <c r="AZ118" s="3332"/>
      <c r="BA118" s="2123"/>
      <c r="BB118" s="3332"/>
      <c r="BC118" s="2124"/>
      <c r="BD118" s="3338"/>
      <c r="BE118" s="3332"/>
      <c r="BF118" s="3332"/>
      <c r="BG118" s="3288"/>
      <c r="BH118" s="3288"/>
      <c r="BI118" s="3289"/>
      <c r="BJ118" s="3327"/>
      <c r="BK118" s="3336"/>
      <c r="BL118" s="3172"/>
      <c r="BM118" s="3337"/>
      <c r="BN118" s="3172"/>
      <c r="BO118" s="3172"/>
      <c r="BP118" s="2742"/>
    </row>
    <row r="119" spans="1:85" s="1555" customFormat="1" ht="33.75" customHeight="1" x14ac:dyDescent="0.2">
      <c r="A119" s="2125"/>
      <c r="B119" s="2126"/>
      <c r="C119" s="2127"/>
      <c r="D119" s="763">
        <v>43</v>
      </c>
      <c r="E119" s="1890" t="s">
        <v>1728</v>
      </c>
      <c r="F119" s="220"/>
      <c r="G119" s="954"/>
      <c r="H119" s="954"/>
      <c r="I119" s="220"/>
      <c r="J119" s="789"/>
      <c r="K119" s="233"/>
      <c r="L119" s="234"/>
      <c r="M119" s="1094"/>
      <c r="N119" s="287"/>
      <c r="O119" s="278"/>
      <c r="P119" s="2128"/>
      <c r="Q119" s="1474"/>
      <c r="R119" s="789"/>
      <c r="S119" s="1427"/>
      <c r="T119" s="1425"/>
      <c r="U119" s="2445"/>
      <c r="V119" s="2445"/>
      <c r="W119" s="2445"/>
      <c r="X119" s="2052"/>
      <c r="Y119" s="204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c r="AX119" s="287"/>
      <c r="AY119" s="287"/>
      <c r="AZ119" s="287"/>
      <c r="BA119" s="287"/>
      <c r="BB119" s="287"/>
      <c r="BC119" s="223"/>
      <c r="BD119" s="223"/>
      <c r="BE119" s="223"/>
      <c r="BF119" s="223"/>
      <c r="BG119" s="223"/>
      <c r="BH119" s="223"/>
      <c r="BI119" s="223"/>
      <c r="BJ119" s="223"/>
      <c r="BK119" s="223"/>
      <c r="BL119" s="2083"/>
      <c r="BM119" s="2083"/>
      <c r="BN119" s="2083"/>
      <c r="BO119" s="2083"/>
      <c r="BP119" s="2084"/>
    </row>
    <row r="120" spans="1:85" s="366" customFormat="1" ht="39" customHeight="1" x14ac:dyDescent="0.2">
      <c r="A120" s="2118"/>
      <c r="C120" s="2091"/>
      <c r="D120" s="2129"/>
      <c r="E120" s="2129"/>
      <c r="F120" s="2129"/>
      <c r="G120" s="2626">
        <v>4503002</v>
      </c>
      <c r="H120" s="2626" t="s">
        <v>1729</v>
      </c>
      <c r="I120" s="2698" t="s">
        <v>1730</v>
      </c>
      <c r="J120" s="2698" t="s">
        <v>989</v>
      </c>
      <c r="K120" s="3188">
        <v>1000</v>
      </c>
      <c r="L120" s="2721">
        <v>1000</v>
      </c>
      <c r="M120" s="3344" t="s">
        <v>1731</v>
      </c>
      <c r="N120" s="2583" t="s">
        <v>1615</v>
      </c>
      <c r="O120" s="3345" t="s">
        <v>1732</v>
      </c>
      <c r="P120" s="3267">
        <f>(U120+U121+U122+U123+U124+U125+U126+U127+U128+U129+U130+U131+U132+U133+U134+U135+U136+U137+U138+U139+U140)/(Q28+Q117+Q120)</f>
        <v>0.57609522046499284</v>
      </c>
      <c r="Q120" s="3191">
        <f>SUM(U120:U140)</f>
        <v>325579598</v>
      </c>
      <c r="R120" s="2821" t="s">
        <v>1617</v>
      </c>
      <c r="S120" s="3339" t="s">
        <v>1618</v>
      </c>
      <c r="T120" s="3341" t="s">
        <v>1733</v>
      </c>
      <c r="U120" s="1481">
        <f>4390667+20000000</f>
        <v>24390667</v>
      </c>
      <c r="V120" s="2446">
        <v>24390667</v>
      </c>
      <c r="W120" s="2446">
        <v>24390667</v>
      </c>
      <c r="X120" s="2120">
        <v>88</v>
      </c>
      <c r="Y120" s="2229" t="s">
        <v>411</v>
      </c>
      <c r="Z120" s="3342">
        <v>5089</v>
      </c>
      <c r="AA120" s="3331">
        <v>412</v>
      </c>
      <c r="AB120" s="3342">
        <v>4911</v>
      </c>
      <c r="AC120" s="3331">
        <v>383</v>
      </c>
      <c r="AD120" s="3342">
        <v>2331</v>
      </c>
      <c r="AE120" s="3331">
        <v>0</v>
      </c>
      <c r="AF120" s="3342">
        <v>761</v>
      </c>
      <c r="AG120" s="3342">
        <v>0</v>
      </c>
      <c r="AH120" s="3342">
        <v>5316</v>
      </c>
      <c r="AI120" s="3342">
        <v>631</v>
      </c>
      <c r="AJ120" s="3342">
        <v>1592</v>
      </c>
      <c r="AK120" s="3342">
        <v>164</v>
      </c>
      <c r="AL120" s="3342">
        <v>0</v>
      </c>
      <c r="AM120" s="3342">
        <v>0</v>
      </c>
      <c r="AN120" s="3342">
        <v>0</v>
      </c>
      <c r="AO120" s="3342">
        <v>0</v>
      </c>
      <c r="AP120" s="3342">
        <v>0</v>
      </c>
      <c r="AQ120" s="3342">
        <v>0</v>
      </c>
      <c r="AR120" s="3342">
        <v>0</v>
      </c>
      <c r="AS120" s="3342">
        <v>0</v>
      </c>
      <c r="AT120" s="3342">
        <v>0</v>
      </c>
      <c r="AU120" s="3342">
        <v>0</v>
      </c>
      <c r="AV120" s="3342">
        <v>0</v>
      </c>
      <c r="AW120" s="3342">
        <v>0</v>
      </c>
      <c r="AX120" s="3342">
        <v>0</v>
      </c>
      <c r="AY120" s="3342">
        <v>0</v>
      </c>
      <c r="AZ120" s="3342">
        <v>0</v>
      </c>
      <c r="BA120" s="3342">
        <v>0</v>
      </c>
      <c r="BB120" s="3342">
        <v>0</v>
      </c>
      <c r="BC120" s="3342">
        <v>0</v>
      </c>
      <c r="BD120" s="3342">
        <f>+Z120+AB120</f>
        <v>10000</v>
      </c>
      <c r="BE120" s="3342">
        <f>+AA120+AC120</f>
        <v>795</v>
      </c>
      <c r="BF120" s="3342">
        <v>2</v>
      </c>
      <c r="BG120" s="3179">
        <f>SUM(V120:V124)</f>
        <v>28124000</v>
      </c>
      <c r="BH120" s="3179">
        <f>SUM(W120:W124)</f>
        <v>28124000</v>
      </c>
      <c r="BI120" s="3181">
        <f>+BH120/BG120</f>
        <v>1</v>
      </c>
      <c r="BJ120" s="3353" t="s">
        <v>301</v>
      </c>
      <c r="BK120" s="3331" t="s">
        <v>1620</v>
      </c>
      <c r="BL120" s="3171">
        <v>44057</v>
      </c>
      <c r="BM120" s="3171">
        <v>44186</v>
      </c>
      <c r="BN120" s="3171">
        <v>44195</v>
      </c>
      <c r="BO120" s="3171">
        <v>44195</v>
      </c>
      <c r="BP120" s="2583" t="s">
        <v>1585</v>
      </c>
    </row>
    <row r="121" spans="1:85" s="366" customFormat="1" ht="42" customHeight="1" x14ac:dyDescent="0.2">
      <c r="A121" s="2118"/>
      <c r="C121" s="2091"/>
      <c r="G121" s="2626"/>
      <c r="H121" s="2626"/>
      <c r="I121" s="2698"/>
      <c r="J121" s="2698"/>
      <c r="K121" s="3188"/>
      <c r="L121" s="2722"/>
      <c r="M121" s="3216"/>
      <c r="N121" s="2584"/>
      <c r="O121" s="3346"/>
      <c r="P121" s="3348"/>
      <c r="Q121" s="3191"/>
      <c r="R121" s="2698"/>
      <c r="S121" s="3340"/>
      <c r="T121" s="3254"/>
      <c r="U121" s="2434">
        <v>3733333</v>
      </c>
      <c r="V121" s="2421">
        <v>3733333</v>
      </c>
      <c r="W121" s="2421">
        <v>3733333</v>
      </c>
      <c r="X121" s="2120">
        <v>20</v>
      </c>
      <c r="Y121" s="2229" t="s">
        <v>85</v>
      </c>
      <c r="Z121" s="3342"/>
      <c r="AA121" s="3338"/>
      <c r="AB121" s="3342"/>
      <c r="AC121" s="3338"/>
      <c r="AD121" s="3342"/>
      <c r="AE121" s="3338"/>
      <c r="AF121" s="3342"/>
      <c r="AG121" s="3342"/>
      <c r="AH121" s="3342"/>
      <c r="AI121" s="3342"/>
      <c r="AJ121" s="3342"/>
      <c r="AK121" s="3342"/>
      <c r="AL121" s="3342"/>
      <c r="AM121" s="3342"/>
      <c r="AN121" s="3342"/>
      <c r="AO121" s="3342"/>
      <c r="AP121" s="3342"/>
      <c r="AQ121" s="3342"/>
      <c r="AR121" s="3342"/>
      <c r="AS121" s="3342"/>
      <c r="AT121" s="3342"/>
      <c r="AU121" s="3342"/>
      <c r="AV121" s="3342"/>
      <c r="AW121" s="3342"/>
      <c r="AX121" s="3342"/>
      <c r="AY121" s="3342"/>
      <c r="AZ121" s="3342"/>
      <c r="BA121" s="3342"/>
      <c r="BB121" s="3342"/>
      <c r="BC121" s="3342"/>
      <c r="BD121" s="3342"/>
      <c r="BE121" s="3342"/>
      <c r="BF121" s="3342"/>
      <c r="BG121" s="3180"/>
      <c r="BH121" s="3180"/>
      <c r="BI121" s="3182"/>
      <c r="BJ121" s="3354"/>
      <c r="BK121" s="3338"/>
      <c r="BL121" s="3172"/>
      <c r="BM121" s="3172"/>
      <c r="BN121" s="3172"/>
      <c r="BO121" s="3172"/>
      <c r="BP121" s="2584"/>
    </row>
    <row r="122" spans="1:85" s="366" customFormat="1" ht="54" customHeight="1" x14ac:dyDescent="0.2">
      <c r="A122" s="2118"/>
      <c r="C122" s="2091"/>
      <c r="G122" s="2626"/>
      <c r="H122" s="2626"/>
      <c r="I122" s="2698"/>
      <c r="J122" s="2698"/>
      <c r="K122" s="3188"/>
      <c r="L122" s="2722"/>
      <c r="M122" s="3216"/>
      <c r="N122" s="2584"/>
      <c r="O122" s="3346"/>
      <c r="P122" s="3348"/>
      <c r="Q122" s="3191"/>
      <c r="R122" s="2698"/>
      <c r="S122" s="3340"/>
      <c r="T122" s="2130" t="s">
        <v>1734</v>
      </c>
      <c r="U122" s="2422">
        <f>0+13000000</f>
        <v>13000000</v>
      </c>
      <c r="V122" s="2438"/>
      <c r="W122" s="2438"/>
      <c r="X122" s="2120">
        <v>88</v>
      </c>
      <c r="Y122" s="2229" t="s">
        <v>411</v>
      </c>
      <c r="Z122" s="3342"/>
      <c r="AA122" s="3338"/>
      <c r="AB122" s="3342"/>
      <c r="AC122" s="3338"/>
      <c r="AD122" s="3342"/>
      <c r="AE122" s="3338"/>
      <c r="AF122" s="3342"/>
      <c r="AG122" s="3342"/>
      <c r="AH122" s="3342"/>
      <c r="AI122" s="3342"/>
      <c r="AJ122" s="3342"/>
      <c r="AK122" s="3342"/>
      <c r="AL122" s="3342"/>
      <c r="AM122" s="3342"/>
      <c r="AN122" s="3342"/>
      <c r="AO122" s="3342"/>
      <c r="AP122" s="3342"/>
      <c r="AQ122" s="3342"/>
      <c r="AR122" s="3342"/>
      <c r="AS122" s="3342"/>
      <c r="AT122" s="3342"/>
      <c r="AU122" s="3342"/>
      <c r="AV122" s="3342"/>
      <c r="AW122" s="3342"/>
      <c r="AX122" s="3342"/>
      <c r="AY122" s="3342"/>
      <c r="AZ122" s="3342"/>
      <c r="BA122" s="3342"/>
      <c r="BB122" s="3342"/>
      <c r="BC122" s="3342"/>
      <c r="BD122" s="3342"/>
      <c r="BE122" s="3342"/>
      <c r="BF122" s="3342"/>
      <c r="BG122" s="3180"/>
      <c r="BH122" s="3180"/>
      <c r="BI122" s="3182"/>
      <c r="BJ122" s="3354"/>
      <c r="BK122" s="3338"/>
      <c r="BL122" s="3172"/>
      <c r="BM122" s="3172"/>
      <c r="BN122" s="3172"/>
      <c r="BO122" s="3172"/>
      <c r="BP122" s="2584"/>
    </row>
    <row r="123" spans="1:85" s="366" customFormat="1" ht="50.25" customHeight="1" x14ac:dyDescent="0.2">
      <c r="A123" s="2118"/>
      <c r="C123" s="2091"/>
      <c r="G123" s="2626"/>
      <c r="H123" s="2626"/>
      <c r="I123" s="2698"/>
      <c r="J123" s="2698"/>
      <c r="K123" s="3188"/>
      <c r="L123" s="2722"/>
      <c r="M123" s="3216"/>
      <c r="N123" s="2584"/>
      <c r="O123" s="3346"/>
      <c r="P123" s="3348"/>
      <c r="Q123" s="3191"/>
      <c r="R123" s="2698"/>
      <c r="S123" s="3340"/>
      <c r="T123" s="2130" t="s">
        <v>1735</v>
      </c>
      <c r="U123" s="2422">
        <v>0</v>
      </c>
      <c r="V123" s="2421"/>
      <c r="W123" s="2421"/>
      <c r="X123" s="2120"/>
      <c r="Y123" s="2229"/>
      <c r="Z123" s="3342"/>
      <c r="AA123" s="3338"/>
      <c r="AB123" s="3342"/>
      <c r="AC123" s="3338"/>
      <c r="AD123" s="3342"/>
      <c r="AE123" s="3338"/>
      <c r="AF123" s="3342"/>
      <c r="AG123" s="3342"/>
      <c r="AH123" s="3342"/>
      <c r="AI123" s="3342"/>
      <c r="AJ123" s="3342"/>
      <c r="AK123" s="3342"/>
      <c r="AL123" s="3342"/>
      <c r="AM123" s="3342"/>
      <c r="AN123" s="3342"/>
      <c r="AO123" s="3342"/>
      <c r="AP123" s="3342"/>
      <c r="AQ123" s="3342"/>
      <c r="AR123" s="3342"/>
      <c r="AS123" s="3342"/>
      <c r="AT123" s="3342"/>
      <c r="AU123" s="3342"/>
      <c r="AV123" s="3342"/>
      <c r="AW123" s="3342"/>
      <c r="AX123" s="3342"/>
      <c r="AY123" s="3342"/>
      <c r="AZ123" s="3342"/>
      <c r="BA123" s="3342"/>
      <c r="BB123" s="3342"/>
      <c r="BC123" s="3342"/>
      <c r="BD123" s="3342"/>
      <c r="BE123" s="3342"/>
      <c r="BF123" s="3342"/>
      <c r="BG123" s="3180"/>
      <c r="BH123" s="3180"/>
      <c r="BI123" s="3182"/>
      <c r="BJ123" s="3354"/>
      <c r="BK123" s="3338"/>
      <c r="BL123" s="3172"/>
      <c r="BM123" s="3172"/>
      <c r="BN123" s="3172"/>
      <c r="BO123" s="3172"/>
      <c r="BP123" s="2584"/>
    </row>
    <row r="124" spans="1:85" s="366" customFormat="1" ht="54.75" customHeight="1" x14ac:dyDescent="0.2">
      <c r="A124" s="2118"/>
      <c r="C124" s="2091"/>
      <c r="G124" s="2626"/>
      <c r="H124" s="2626"/>
      <c r="I124" s="2698"/>
      <c r="J124" s="2698"/>
      <c r="K124" s="3188"/>
      <c r="L124" s="2723"/>
      <c r="M124" s="3216"/>
      <c r="N124" s="2584"/>
      <c r="O124" s="3346"/>
      <c r="P124" s="3348"/>
      <c r="Q124" s="3191"/>
      <c r="R124" s="2698"/>
      <c r="S124" s="3340"/>
      <c r="T124" s="2130" t="s">
        <v>1736</v>
      </c>
      <c r="U124" s="2422">
        <v>0</v>
      </c>
      <c r="V124" s="2421"/>
      <c r="W124" s="2421"/>
      <c r="X124" s="2120"/>
      <c r="Y124" s="2229"/>
      <c r="Z124" s="3342"/>
      <c r="AA124" s="3332"/>
      <c r="AB124" s="3342"/>
      <c r="AC124" s="3332"/>
      <c r="AD124" s="3342"/>
      <c r="AE124" s="3332"/>
      <c r="AF124" s="3342"/>
      <c r="AG124" s="3342"/>
      <c r="AH124" s="3342"/>
      <c r="AI124" s="3342"/>
      <c r="AJ124" s="3342"/>
      <c r="AK124" s="3342"/>
      <c r="AL124" s="3342"/>
      <c r="AM124" s="3342"/>
      <c r="AN124" s="3342"/>
      <c r="AO124" s="3342"/>
      <c r="AP124" s="3342"/>
      <c r="AQ124" s="3342"/>
      <c r="AR124" s="3342"/>
      <c r="AS124" s="3342"/>
      <c r="AT124" s="3342"/>
      <c r="AU124" s="3342"/>
      <c r="AV124" s="3342"/>
      <c r="AW124" s="3342"/>
      <c r="AX124" s="3342"/>
      <c r="AY124" s="3342"/>
      <c r="AZ124" s="3342"/>
      <c r="BA124" s="3342"/>
      <c r="BB124" s="3342"/>
      <c r="BC124" s="3342"/>
      <c r="BD124" s="3342"/>
      <c r="BE124" s="3342"/>
      <c r="BF124" s="3342"/>
      <c r="BG124" s="3288"/>
      <c r="BH124" s="3288"/>
      <c r="BI124" s="3289"/>
      <c r="BJ124" s="3355"/>
      <c r="BK124" s="3332"/>
      <c r="BL124" s="3337"/>
      <c r="BM124" s="3337"/>
      <c r="BN124" s="3337"/>
      <c r="BO124" s="3337"/>
      <c r="BP124" s="2720"/>
    </row>
    <row r="125" spans="1:85" s="366" customFormat="1" ht="48" customHeight="1" x14ac:dyDescent="0.2">
      <c r="A125" s="2118"/>
      <c r="C125" s="2091"/>
      <c r="F125" s="2091"/>
      <c r="G125" s="2584">
        <v>4503003</v>
      </c>
      <c r="H125" s="2584" t="s">
        <v>1737</v>
      </c>
      <c r="I125" s="2742" t="s">
        <v>1738</v>
      </c>
      <c r="J125" s="2742" t="s">
        <v>1739</v>
      </c>
      <c r="K125" s="2584">
        <v>12</v>
      </c>
      <c r="L125" s="2583">
        <v>12</v>
      </c>
      <c r="M125" s="2722"/>
      <c r="N125" s="2584"/>
      <c r="O125" s="3346"/>
      <c r="P125" s="3348"/>
      <c r="Q125" s="3191"/>
      <c r="R125" s="2698"/>
      <c r="S125" s="3340"/>
      <c r="T125" s="2131" t="s">
        <v>1740</v>
      </c>
      <c r="U125" s="2422">
        <v>10692402</v>
      </c>
      <c r="V125" s="2421">
        <v>10692402</v>
      </c>
      <c r="W125" s="2421">
        <v>10692402</v>
      </c>
      <c r="X125" s="2060">
        <v>20</v>
      </c>
      <c r="Y125" s="2211" t="s">
        <v>85</v>
      </c>
      <c r="Z125" s="3202">
        <v>5089</v>
      </c>
      <c r="AA125" s="3342">
        <f>134+28</f>
        <v>162</v>
      </c>
      <c r="AB125" s="3338">
        <v>4911</v>
      </c>
      <c r="AC125" s="3342">
        <f>141+86</f>
        <v>227</v>
      </c>
      <c r="AD125" s="3338">
        <v>2331</v>
      </c>
      <c r="AE125" s="3332">
        <v>21</v>
      </c>
      <c r="AF125" s="3338">
        <v>761</v>
      </c>
      <c r="AG125" s="3338">
        <v>36</v>
      </c>
      <c r="AH125" s="3342">
        <v>5316</v>
      </c>
      <c r="AI125" s="3342">
        <f>149+114</f>
        <v>263</v>
      </c>
      <c r="AJ125" s="3342">
        <v>1592</v>
      </c>
      <c r="AK125" s="3342">
        <v>69</v>
      </c>
      <c r="AL125" s="3342">
        <v>0</v>
      </c>
      <c r="AM125" s="3342"/>
      <c r="AN125" s="3342">
        <v>0</v>
      </c>
      <c r="AO125" s="3342"/>
      <c r="AP125" s="3342">
        <v>0</v>
      </c>
      <c r="AQ125" s="3342"/>
      <c r="AR125" s="3342">
        <v>0</v>
      </c>
      <c r="AS125" s="3342"/>
      <c r="AT125" s="3342">
        <v>0</v>
      </c>
      <c r="AU125" s="3342"/>
      <c r="AV125" s="3342">
        <v>0</v>
      </c>
      <c r="AW125" s="3342"/>
      <c r="AX125" s="3342">
        <v>0</v>
      </c>
      <c r="AY125" s="3342"/>
      <c r="AZ125" s="3342">
        <v>0</v>
      </c>
      <c r="BA125" s="3342"/>
      <c r="BB125" s="3332">
        <v>0</v>
      </c>
      <c r="BC125" s="3332"/>
      <c r="BD125" s="3338">
        <f>+Z125+AB125</f>
        <v>10000</v>
      </c>
      <c r="BE125" s="3331">
        <f>+AA125+AC125</f>
        <v>389</v>
      </c>
      <c r="BF125" s="3331">
        <v>10</v>
      </c>
      <c r="BG125" s="3179">
        <f>+V125+V126+V127+V128+V129+V130+V131+V132+V133+V134+V135+V136+V137+V138+V139+V140</f>
        <v>212238801</v>
      </c>
      <c r="BH125" s="3179">
        <f>+W125+W126+W127+W128+W129+W130+W131+W132+W133+W134+W135+W136+W137+W138+W139+W140</f>
        <v>212238801</v>
      </c>
      <c r="BI125" s="3181">
        <f>+BH125/BG125</f>
        <v>1</v>
      </c>
      <c r="BJ125" s="3326" t="s">
        <v>1011</v>
      </c>
      <c r="BK125" s="3201" t="s">
        <v>1620</v>
      </c>
      <c r="BL125" s="3171">
        <v>44057</v>
      </c>
      <c r="BM125" s="3171">
        <v>44186</v>
      </c>
      <c r="BN125" s="3171">
        <v>44195</v>
      </c>
      <c r="BO125" s="3171">
        <v>44195</v>
      </c>
      <c r="BP125" s="2583" t="s">
        <v>1585</v>
      </c>
      <c r="BQ125" s="2132"/>
    </row>
    <row r="126" spans="1:85" s="366" customFormat="1" ht="40.5" customHeight="1" x14ac:dyDescent="0.2">
      <c r="A126" s="2118"/>
      <c r="C126" s="2091"/>
      <c r="F126" s="2091"/>
      <c r="G126" s="2584"/>
      <c r="H126" s="2584"/>
      <c r="I126" s="2742"/>
      <c r="J126" s="2742"/>
      <c r="K126" s="2584"/>
      <c r="L126" s="2584"/>
      <c r="M126" s="2722"/>
      <c r="N126" s="2584"/>
      <c r="O126" s="3346"/>
      <c r="P126" s="3348"/>
      <c r="Q126" s="3191"/>
      <c r="R126" s="2698"/>
      <c r="S126" s="3340"/>
      <c r="T126" s="1910" t="s">
        <v>1727</v>
      </c>
      <c r="U126" s="2422">
        <f>5235999</f>
        <v>5235999</v>
      </c>
      <c r="V126" s="2421">
        <f>5235999</f>
        <v>5235999</v>
      </c>
      <c r="W126" s="2421">
        <f>5235999</f>
        <v>5235999</v>
      </c>
      <c r="X126" s="2060">
        <v>20</v>
      </c>
      <c r="Y126" s="2211" t="s">
        <v>85</v>
      </c>
      <c r="Z126" s="3202"/>
      <c r="AA126" s="3342"/>
      <c r="AB126" s="3338"/>
      <c r="AC126" s="3342"/>
      <c r="AD126" s="3338"/>
      <c r="AE126" s="3342"/>
      <c r="AF126" s="3338"/>
      <c r="AG126" s="3338"/>
      <c r="AH126" s="3342"/>
      <c r="AI126" s="3342"/>
      <c r="AJ126" s="3342"/>
      <c r="AK126" s="3342"/>
      <c r="AL126" s="3342"/>
      <c r="AM126" s="3342"/>
      <c r="AN126" s="3342"/>
      <c r="AO126" s="3342"/>
      <c r="AP126" s="3342"/>
      <c r="AQ126" s="3342"/>
      <c r="AR126" s="3342"/>
      <c r="AS126" s="3342"/>
      <c r="AT126" s="3342"/>
      <c r="AU126" s="3342"/>
      <c r="AV126" s="3342"/>
      <c r="AW126" s="3342"/>
      <c r="AX126" s="3342"/>
      <c r="AY126" s="3342"/>
      <c r="AZ126" s="3342"/>
      <c r="BA126" s="3342"/>
      <c r="BB126" s="3342"/>
      <c r="BC126" s="3342"/>
      <c r="BD126" s="3338"/>
      <c r="BE126" s="3338"/>
      <c r="BF126" s="3338"/>
      <c r="BG126" s="3180"/>
      <c r="BH126" s="3180"/>
      <c r="BI126" s="3182"/>
      <c r="BJ126" s="3198"/>
      <c r="BK126" s="3202"/>
      <c r="BL126" s="3172"/>
      <c r="BM126" s="3172"/>
      <c r="BN126" s="3172"/>
      <c r="BO126" s="3172"/>
      <c r="BP126" s="2584"/>
      <c r="BQ126" s="2132"/>
    </row>
    <row r="127" spans="1:85" s="366" customFormat="1" ht="48" customHeight="1" x14ac:dyDescent="0.2">
      <c r="A127" s="2118"/>
      <c r="C127" s="2091"/>
      <c r="F127" s="2091"/>
      <c r="G127" s="2584"/>
      <c r="H127" s="2584"/>
      <c r="I127" s="2742"/>
      <c r="J127" s="2742"/>
      <c r="K127" s="2584"/>
      <c r="L127" s="2584"/>
      <c r="M127" s="2722"/>
      <c r="N127" s="2584"/>
      <c r="O127" s="3346"/>
      <c r="P127" s="3348"/>
      <c r="Q127" s="3191"/>
      <c r="R127" s="2698"/>
      <c r="S127" s="3340"/>
      <c r="T127" s="2133" t="s">
        <v>1726</v>
      </c>
      <c r="U127" s="2422">
        <f>7466667</f>
        <v>7466667</v>
      </c>
      <c r="V127" s="2421">
        <f>7466667</f>
        <v>7466667</v>
      </c>
      <c r="W127" s="2421">
        <f>7466667</f>
        <v>7466667</v>
      </c>
      <c r="X127" s="2060">
        <v>20</v>
      </c>
      <c r="Y127" s="2211" t="s">
        <v>85</v>
      </c>
      <c r="Z127" s="3202"/>
      <c r="AA127" s="3342"/>
      <c r="AB127" s="3338"/>
      <c r="AC127" s="3342"/>
      <c r="AD127" s="3338"/>
      <c r="AE127" s="3342"/>
      <c r="AF127" s="3338"/>
      <c r="AG127" s="3338"/>
      <c r="AH127" s="3342"/>
      <c r="AI127" s="3342"/>
      <c r="AJ127" s="3342"/>
      <c r="AK127" s="3342"/>
      <c r="AL127" s="3342"/>
      <c r="AM127" s="3342"/>
      <c r="AN127" s="3342"/>
      <c r="AO127" s="3342"/>
      <c r="AP127" s="3342"/>
      <c r="AQ127" s="3342"/>
      <c r="AR127" s="3342"/>
      <c r="AS127" s="3342"/>
      <c r="AT127" s="3342"/>
      <c r="AU127" s="3342"/>
      <c r="AV127" s="3342"/>
      <c r="AW127" s="3342"/>
      <c r="AX127" s="3342"/>
      <c r="AY127" s="3342"/>
      <c r="AZ127" s="3342"/>
      <c r="BA127" s="3342"/>
      <c r="BB127" s="3342"/>
      <c r="BC127" s="3342"/>
      <c r="BD127" s="3338"/>
      <c r="BE127" s="3338"/>
      <c r="BF127" s="3338"/>
      <c r="BG127" s="3180"/>
      <c r="BH127" s="3180"/>
      <c r="BI127" s="3182"/>
      <c r="BJ127" s="3198"/>
      <c r="BK127" s="3202"/>
      <c r="BL127" s="3172"/>
      <c r="BM127" s="3172"/>
      <c r="BN127" s="3172"/>
      <c r="BO127" s="3172"/>
      <c r="BP127" s="2584"/>
      <c r="BQ127" s="2132"/>
    </row>
    <row r="128" spans="1:85" s="366" customFormat="1" ht="57.75" customHeight="1" x14ac:dyDescent="0.2">
      <c r="A128" s="2118"/>
      <c r="C128" s="2091"/>
      <c r="F128" s="2091"/>
      <c r="G128" s="2584"/>
      <c r="H128" s="2584"/>
      <c r="I128" s="2742"/>
      <c r="J128" s="2742"/>
      <c r="K128" s="2584"/>
      <c r="L128" s="2584"/>
      <c r="M128" s="2722"/>
      <c r="N128" s="2584"/>
      <c r="O128" s="3346"/>
      <c r="P128" s="3348"/>
      <c r="Q128" s="3191"/>
      <c r="R128" s="2698"/>
      <c r="S128" s="3340"/>
      <c r="T128" s="2133" t="s">
        <v>1741</v>
      </c>
      <c r="U128" s="2422">
        <f>0+49000000</f>
        <v>49000000</v>
      </c>
      <c r="V128" s="2421">
        <f>10311556+8281537+5642259</f>
        <v>24235352</v>
      </c>
      <c r="W128" s="2421">
        <f>10311556+8281537+5642259</f>
        <v>24235352</v>
      </c>
      <c r="X128" s="2060">
        <v>88</v>
      </c>
      <c r="Y128" s="2211" t="s">
        <v>411</v>
      </c>
      <c r="Z128" s="3202"/>
      <c r="AA128" s="3342"/>
      <c r="AB128" s="3338"/>
      <c r="AC128" s="3342"/>
      <c r="AD128" s="3338"/>
      <c r="AE128" s="3342"/>
      <c r="AF128" s="3338"/>
      <c r="AG128" s="3338"/>
      <c r="AH128" s="3342"/>
      <c r="AI128" s="3342"/>
      <c r="AJ128" s="3342"/>
      <c r="AK128" s="3342"/>
      <c r="AL128" s="3342"/>
      <c r="AM128" s="3342"/>
      <c r="AN128" s="3342"/>
      <c r="AO128" s="3342"/>
      <c r="AP128" s="3342"/>
      <c r="AQ128" s="3342"/>
      <c r="AR128" s="3342"/>
      <c r="AS128" s="3342"/>
      <c r="AT128" s="3342"/>
      <c r="AU128" s="3342"/>
      <c r="AV128" s="3342"/>
      <c r="AW128" s="3342"/>
      <c r="AX128" s="3342"/>
      <c r="AY128" s="3342"/>
      <c r="AZ128" s="3342"/>
      <c r="BA128" s="3342"/>
      <c r="BB128" s="3342"/>
      <c r="BC128" s="3342"/>
      <c r="BD128" s="3338"/>
      <c r="BE128" s="3338"/>
      <c r="BF128" s="3338"/>
      <c r="BG128" s="3180"/>
      <c r="BH128" s="3180"/>
      <c r="BI128" s="3182"/>
      <c r="BJ128" s="3198"/>
      <c r="BK128" s="3202"/>
      <c r="BL128" s="3172"/>
      <c r="BM128" s="3172"/>
      <c r="BN128" s="3172"/>
      <c r="BO128" s="3172"/>
      <c r="BP128" s="2584"/>
      <c r="BQ128" s="2132"/>
    </row>
    <row r="129" spans="1:85" s="366" customFormat="1" ht="48" customHeight="1" x14ac:dyDescent="0.2">
      <c r="A129" s="2118"/>
      <c r="C129" s="2091"/>
      <c r="F129" s="2091"/>
      <c r="G129" s="2584"/>
      <c r="H129" s="2584"/>
      <c r="I129" s="2742"/>
      <c r="J129" s="2742"/>
      <c r="K129" s="2584"/>
      <c r="L129" s="2584"/>
      <c r="M129" s="2722"/>
      <c r="N129" s="2584"/>
      <c r="O129" s="3346"/>
      <c r="P129" s="3348"/>
      <c r="Q129" s="3191"/>
      <c r="R129" s="2698"/>
      <c r="S129" s="3340"/>
      <c r="T129" s="2133" t="s">
        <v>1742</v>
      </c>
      <c r="U129" s="2422">
        <v>13300000</v>
      </c>
      <c r="V129" s="2421">
        <v>13300000</v>
      </c>
      <c r="W129" s="2421">
        <v>13300000</v>
      </c>
      <c r="X129" s="2060">
        <v>88</v>
      </c>
      <c r="Y129" s="2211" t="s">
        <v>411</v>
      </c>
      <c r="Z129" s="3202"/>
      <c r="AA129" s="3342"/>
      <c r="AB129" s="3338"/>
      <c r="AC129" s="3342"/>
      <c r="AD129" s="3338"/>
      <c r="AE129" s="3342"/>
      <c r="AF129" s="3338"/>
      <c r="AG129" s="3338"/>
      <c r="AH129" s="3342"/>
      <c r="AI129" s="3342"/>
      <c r="AJ129" s="3342"/>
      <c r="AK129" s="3342"/>
      <c r="AL129" s="3342"/>
      <c r="AM129" s="3342"/>
      <c r="AN129" s="3342"/>
      <c r="AO129" s="3342"/>
      <c r="AP129" s="3342"/>
      <c r="AQ129" s="3342"/>
      <c r="AR129" s="3342"/>
      <c r="AS129" s="3342"/>
      <c r="AT129" s="3342"/>
      <c r="AU129" s="3342"/>
      <c r="AV129" s="3342"/>
      <c r="AW129" s="3342"/>
      <c r="AX129" s="3342"/>
      <c r="AY129" s="3342"/>
      <c r="AZ129" s="3342"/>
      <c r="BA129" s="3342"/>
      <c r="BB129" s="3342"/>
      <c r="BC129" s="3342"/>
      <c r="BD129" s="3338"/>
      <c r="BE129" s="3338"/>
      <c r="BF129" s="3338"/>
      <c r="BG129" s="3180"/>
      <c r="BH129" s="3180"/>
      <c r="BI129" s="3182"/>
      <c r="BJ129" s="3198"/>
      <c r="BK129" s="3202"/>
      <c r="BL129" s="3172"/>
      <c r="BM129" s="3172"/>
      <c r="BN129" s="3172"/>
      <c r="BO129" s="3172"/>
      <c r="BP129" s="2584"/>
      <c r="BQ129" s="2132"/>
    </row>
    <row r="130" spans="1:85" s="366" customFormat="1" ht="51" customHeight="1" x14ac:dyDescent="0.2">
      <c r="A130" s="2118"/>
      <c r="C130" s="2091"/>
      <c r="F130" s="2091"/>
      <c r="G130" s="2584"/>
      <c r="H130" s="2584"/>
      <c r="I130" s="2742"/>
      <c r="J130" s="2742"/>
      <c r="K130" s="2584"/>
      <c r="L130" s="2584"/>
      <c r="M130" s="2722"/>
      <c r="N130" s="2584"/>
      <c r="O130" s="3346"/>
      <c r="P130" s="3348"/>
      <c r="Q130" s="3191"/>
      <c r="R130" s="2698"/>
      <c r="S130" s="3340"/>
      <c r="T130" s="2133" t="s">
        <v>1743</v>
      </c>
      <c r="U130" s="2422">
        <f>82264+2000000</f>
        <v>2082264</v>
      </c>
      <c r="V130" s="2421"/>
      <c r="W130" s="2421"/>
      <c r="X130" s="2060">
        <v>88</v>
      </c>
      <c r="Y130" s="2211" t="s">
        <v>411</v>
      </c>
      <c r="Z130" s="3202"/>
      <c r="AA130" s="3342"/>
      <c r="AB130" s="3338"/>
      <c r="AC130" s="3342"/>
      <c r="AD130" s="3338"/>
      <c r="AE130" s="3342"/>
      <c r="AF130" s="3338"/>
      <c r="AG130" s="3338"/>
      <c r="AH130" s="3342"/>
      <c r="AI130" s="3342"/>
      <c r="AJ130" s="3342"/>
      <c r="AK130" s="3342"/>
      <c r="AL130" s="3342"/>
      <c r="AM130" s="3342"/>
      <c r="AN130" s="3342"/>
      <c r="AO130" s="3342"/>
      <c r="AP130" s="3342"/>
      <c r="AQ130" s="3342"/>
      <c r="AR130" s="3342"/>
      <c r="AS130" s="3342"/>
      <c r="AT130" s="3342"/>
      <c r="AU130" s="3342"/>
      <c r="AV130" s="3342"/>
      <c r="AW130" s="3342"/>
      <c r="AX130" s="3342"/>
      <c r="AY130" s="3342"/>
      <c r="AZ130" s="3342"/>
      <c r="BA130" s="3342"/>
      <c r="BB130" s="3342"/>
      <c r="BC130" s="3342"/>
      <c r="BD130" s="3338"/>
      <c r="BE130" s="3338"/>
      <c r="BF130" s="3338"/>
      <c r="BG130" s="3180"/>
      <c r="BH130" s="3180"/>
      <c r="BI130" s="3182"/>
      <c r="BJ130" s="3198"/>
      <c r="BK130" s="3202"/>
      <c r="BL130" s="3172"/>
      <c r="BM130" s="3172"/>
      <c r="BN130" s="3172"/>
      <c r="BO130" s="3172"/>
      <c r="BP130" s="2584"/>
      <c r="BQ130" s="2132"/>
    </row>
    <row r="131" spans="1:85" s="366" customFormat="1" ht="43.5" customHeight="1" x14ac:dyDescent="0.2">
      <c r="A131" s="2118"/>
      <c r="C131" s="2091"/>
      <c r="F131" s="2091"/>
      <c r="G131" s="2584"/>
      <c r="H131" s="2584"/>
      <c r="I131" s="2742"/>
      <c r="J131" s="2742"/>
      <c r="K131" s="2584"/>
      <c r="L131" s="2584"/>
      <c r="M131" s="2722"/>
      <c r="N131" s="2584"/>
      <c r="O131" s="3346"/>
      <c r="P131" s="3348"/>
      <c r="Q131" s="3191"/>
      <c r="R131" s="2698"/>
      <c r="S131" s="3340"/>
      <c r="T131" s="3351" t="s">
        <v>1744</v>
      </c>
      <c r="U131" s="2422">
        <v>12792000</v>
      </c>
      <c r="V131" s="2421">
        <v>12792000</v>
      </c>
      <c r="W131" s="2421">
        <v>12792000</v>
      </c>
      <c r="X131" s="2060">
        <v>20</v>
      </c>
      <c r="Y131" s="2211" t="s">
        <v>85</v>
      </c>
      <c r="Z131" s="3202"/>
      <c r="AA131" s="3342"/>
      <c r="AB131" s="3338"/>
      <c r="AC131" s="3342"/>
      <c r="AD131" s="3338"/>
      <c r="AE131" s="3342"/>
      <c r="AF131" s="3338"/>
      <c r="AG131" s="3338"/>
      <c r="AH131" s="3342"/>
      <c r="AI131" s="3342"/>
      <c r="AJ131" s="3342"/>
      <c r="AK131" s="3342"/>
      <c r="AL131" s="3342"/>
      <c r="AM131" s="3342"/>
      <c r="AN131" s="3342"/>
      <c r="AO131" s="3342"/>
      <c r="AP131" s="3342"/>
      <c r="AQ131" s="3342"/>
      <c r="AR131" s="3342"/>
      <c r="AS131" s="3342"/>
      <c r="AT131" s="3342"/>
      <c r="AU131" s="3342"/>
      <c r="AV131" s="3342"/>
      <c r="AW131" s="3342"/>
      <c r="AX131" s="3342"/>
      <c r="AY131" s="3342"/>
      <c r="AZ131" s="3342"/>
      <c r="BA131" s="3342"/>
      <c r="BB131" s="3342"/>
      <c r="BC131" s="3342"/>
      <c r="BD131" s="3338"/>
      <c r="BE131" s="3338"/>
      <c r="BF131" s="3338"/>
      <c r="BG131" s="3180"/>
      <c r="BH131" s="3180"/>
      <c r="BI131" s="3182"/>
      <c r="BJ131" s="3198"/>
      <c r="BK131" s="3202"/>
      <c r="BL131" s="3172"/>
      <c r="BM131" s="3172"/>
      <c r="BN131" s="3172"/>
      <c r="BO131" s="3172"/>
      <c r="BP131" s="2584"/>
      <c r="BQ131" s="2132"/>
    </row>
    <row r="132" spans="1:85" s="366" customFormat="1" ht="43.5" customHeight="1" x14ac:dyDescent="0.2">
      <c r="A132" s="2118"/>
      <c r="C132" s="2091"/>
      <c r="F132" s="2091"/>
      <c r="G132" s="2584"/>
      <c r="H132" s="2584"/>
      <c r="I132" s="2742"/>
      <c r="J132" s="2742"/>
      <c r="K132" s="2584"/>
      <c r="L132" s="2584"/>
      <c r="M132" s="2722"/>
      <c r="N132" s="2584"/>
      <c r="O132" s="3346"/>
      <c r="P132" s="3348"/>
      <c r="Q132" s="3191"/>
      <c r="R132" s="2698"/>
      <c r="S132" s="3340"/>
      <c r="T132" s="3352"/>
      <c r="U132" s="2422">
        <f>0+16800000</f>
        <v>16800000</v>
      </c>
      <c r="V132" s="2421">
        <f>2833333+379553+5642259</f>
        <v>8855145</v>
      </c>
      <c r="W132" s="2421">
        <f>2833333+379553+5642259</f>
        <v>8855145</v>
      </c>
      <c r="X132" s="2060">
        <v>88</v>
      </c>
      <c r="Y132" s="2211" t="s">
        <v>411</v>
      </c>
      <c r="Z132" s="3202"/>
      <c r="AA132" s="3342"/>
      <c r="AB132" s="3338"/>
      <c r="AC132" s="3342"/>
      <c r="AD132" s="3338"/>
      <c r="AE132" s="3342"/>
      <c r="AF132" s="3338"/>
      <c r="AG132" s="3338"/>
      <c r="AH132" s="3342"/>
      <c r="AI132" s="3342"/>
      <c r="AJ132" s="3342"/>
      <c r="AK132" s="3342"/>
      <c r="AL132" s="3342"/>
      <c r="AM132" s="3342"/>
      <c r="AN132" s="3342"/>
      <c r="AO132" s="3342"/>
      <c r="AP132" s="3342"/>
      <c r="AQ132" s="3342"/>
      <c r="AR132" s="3342"/>
      <c r="AS132" s="3342"/>
      <c r="AT132" s="3342"/>
      <c r="AU132" s="3342"/>
      <c r="AV132" s="3342"/>
      <c r="AW132" s="3342"/>
      <c r="AX132" s="3342"/>
      <c r="AY132" s="3342"/>
      <c r="AZ132" s="3342"/>
      <c r="BA132" s="3342"/>
      <c r="BB132" s="3342"/>
      <c r="BC132" s="3342"/>
      <c r="BD132" s="3338"/>
      <c r="BE132" s="3338"/>
      <c r="BF132" s="3338"/>
      <c r="BG132" s="3180"/>
      <c r="BH132" s="3180"/>
      <c r="BI132" s="3182"/>
      <c r="BJ132" s="3198"/>
      <c r="BK132" s="3202"/>
      <c r="BL132" s="3172"/>
      <c r="BM132" s="3172"/>
      <c r="BN132" s="3172"/>
      <c r="BO132" s="3172"/>
      <c r="BP132" s="2584"/>
      <c r="BQ132" s="2132"/>
    </row>
    <row r="133" spans="1:85" s="366" customFormat="1" ht="43.5" customHeight="1" x14ac:dyDescent="0.2">
      <c r="A133" s="2118"/>
      <c r="C133" s="2091"/>
      <c r="F133" s="2091"/>
      <c r="G133" s="2584"/>
      <c r="H133" s="2584"/>
      <c r="I133" s="2742"/>
      <c r="J133" s="2742"/>
      <c r="K133" s="2584"/>
      <c r="L133" s="2584"/>
      <c r="M133" s="2722"/>
      <c r="N133" s="2584"/>
      <c r="O133" s="3346"/>
      <c r="P133" s="3348"/>
      <c r="Q133" s="3191"/>
      <c r="R133" s="2698"/>
      <c r="S133" s="3340"/>
      <c r="T133" s="3351" t="s">
        <v>1745</v>
      </c>
      <c r="U133" s="2422">
        <v>10833333</v>
      </c>
      <c r="V133" s="2421">
        <v>10833333</v>
      </c>
      <c r="W133" s="2421">
        <v>10833333</v>
      </c>
      <c r="X133" s="2060">
        <v>20</v>
      </c>
      <c r="Y133" s="2211" t="s">
        <v>85</v>
      </c>
      <c r="Z133" s="3202"/>
      <c r="AA133" s="3342"/>
      <c r="AB133" s="3338"/>
      <c r="AC133" s="3342"/>
      <c r="AD133" s="3338"/>
      <c r="AE133" s="3342"/>
      <c r="AF133" s="3338"/>
      <c r="AG133" s="3338"/>
      <c r="AH133" s="3342"/>
      <c r="AI133" s="3342"/>
      <c r="AJ133" s="3342"/>
      <c r="AK133" s="3342"/>
      <c r="AL133" s="3342"/>
      <c r="AM133" s="3342"/>
      <c r="AN133" s="3342"/>
      <c r="AO133" s="3342"/>
      <c r="AP133" s="3342"/>
      <c r="AQ133" s="3342"/>
      <c r="AR133" s="3342"/>
      <c r="AS133" s="3342"/>
      <c r="AT133" s="3342"/>
      <c r="AU133" s="3342"/>
      <c r="AV133" s="3342"/>
      <c r="AW133" s="3342"/>
      <c r="AX133" s="3342"/>
      <c r="AY133" s="3342"/>
      <c r="AZ133" s="3342"/>
      <c r="BA133" s="3342"/>
      <c r="BB133" s="3342"/>
      <c r="BC133" s="3342"/>
      <c r="BD133" s="3338"/>
      <c r="BE133" s="3338"/>
      <c r="BF133" s="3338"/>
      <c r="BG133" s="3180"/>
      <c r="BH133" s="3180"/>
      <c r="BI133" s="3182"/>
      <c r="BJ133" s="3198"/>
      <c r="BK133" s="3202"/>
      <c r="BL133" s="3172"/>
      <c r="BM133" s="3172"/>
      <c r="BN133" s="3172"/>
      <c r="BO133" s="3172"/>
      <c r="BP133" s="2584"/>
      <c r="BQ133" s="2134"/>
      <c r="BR133" s="2135"/>
      <c r="BS133" s="2136"/>
    </row>
    <row r="134" spans="1:85" s="366" customFormat="1" ht="43.5" customHeight="1" x14ac:dyDescent="0.2">
      <c r="A134" s="2118"/>
      <c r="C134" s="2091"/>
      <c r="F134" s="2091"/>
      <c r="G134" s="2584"/>
      <c r="H134" s="2584"/>
      <c r="I134" s="2742"/>
      <c r="J134" s="2742"/>
      <c r="K134" s="2584"/>
      <c r="L134" s="2584"/>
      <c r="M134" s="2722"/>
      <c r="N134" s="2584"/>
      <c r="O134" s="3346"/>
      <c r="P134" s="3348"/>
      <c r="Q134" s="3191"/>
      <c r="R134" s="2698"/>
      <c r="S134" s="3340"/>
      <c r="T134" s="3352"/>
      <c r="U134" s="2422">
        <v>15126666</v>
      </c>
      <c r="V134" s="2422">
        <v>15126666</v>
      </c>
      <c r="W134" s="2422">
        <v>15126666</v>
      </c>
      <c r="X134" s="2060">
        <v>88</v>
      </c>
      <c r="Y134" s="2211" t="s">
        <v>411</v>
      </c>
      <c r="Z134" s="3202"/>
      <c r="AA134" s="3342"/>
      <c r="AB134" s="3338"/>
      <c r="AC134" s="3342"/>
      <c r="AD134" s="3338"/>
      <c r="AE134" s="3342"/>
      <c r="AF134" s="3338"/>
      <c r="AG134" s="3338"/>
      <c r="AH134" s="3342"/>
      <c r="AI134" s="3342"/>
      <c r="AJ134" s="3342"/>
      <c r="AK134" s="3342"/>
      <c r="AL134" s="3342"/>
      <c r="AM134" s="3342"/>
      <c r="AN134" s="3342"/>
      <c r="AO134" s="3342"/>
      <c r="AP134" s="3342"/>
      <c r="AQ134" s="3342"/>
      <c r="AR134" s="3342"/>
      <c r="AS134" s="3342"/>
      <c r="AT134" s="3342"/>
      <c r="AU134" s="3342"/>
      <c r="AV134" s="3342"/>
      <c r="AW134" s="3342"/>
      <c r="AX134" s="3342"/>
      <c r="AY134" s="3342"/>
      <c r="AZ134" s="3342"/>
      <c r="BA134" s="3342"/>
      <c r="BB134" s="3342"/>
      <c r="BC134" s="3342"/>
      <c r="BD134" s="3338"/>
      <c r="BE134" s="3338"/>
      <c r="BF134" s="3338"/>
      <c r="BG134" s="3180"/>
      <c r="BH134" s="3180"/>
      <c r="BI134" s="3182"/>
      <c r="BJ134" s="3198"/>
      <c r="BK134" s="3202"/>
      <c r="BL134" s="3172"/>
      <c r="BM134" s="3172"/>
      <c r="BN134" s="3172"/>
      <c r="BO134" s="3172"/>
      <c r="BP134" s="2584"/>
      <c r="BQ134" s="2134"/>
      <c r="BR134" s="2137"/>
    </row>
    <row r="135" spans="1:85" s="366" customFormat="1" ht="46.5" customHeight="1" x14ac:dyDescent="0.2">
      <c r="A135" s="2118"/>
      <c r="C135" s="2091"/>
      <c r="F135" s="2091"/>
      <c r="G135" s="2584"/>
      <c r="H135" s="2584"/>
      <c r="I135" s="2742"/>
      <c r="J135" s="2742"/>
      <c r="K135" s="2584"/>
      <c r="L135" s="2584"/>
      <c r="M135" s="2722"/>
      <c r="N135" s="2584"/>
      <c r="O135" s="3346"/>
      <c r="P135" s="3348"/>
      <c r="Q135" s="3191"/>
      <c r="R135" s="2698"/>
      <c r="S135" s="3340"/>
      <c r="T135" s="3351" t="s">
        <v>1746</v>
      </c>
      <c r="U135" s="2422">
        <v>37733335</v>
      </c>
      <c r="V135" s="2421">
        <v>37733335</v>
      </c>
      <c r="W135" s="2421">
        <v>37733335</v>
      </c>
      <c r="X135" s="2060">
        <v>20</v>
      </c>
      <c r="Y135" s="2211" t="s">
        <v>85</v>
      </c>
      <c r="Z135" s="3202"/>
      <c r="AA135" s="3342"/>
      <c r="AB135" s="3338"/>
      <c r="AC135" s="3342"/>
      <c r="AD135" s="3338"/>
      <c r="AE135" s="3342"/>
      <c r="AF135" s="3338"/>
      <c r="AG135" s="3338"/>
      <c r="AH135" s="3342"/>
      <c r="AI135" s="3342"/>
      <c r="AJ135" s="3342"/>
      <c r="AK135" s="3342"/>
      <c r="AL135" s="3342"/>
      <c r="AM135" s="3342"/>
      <c r="AN135" s="3342"/>
      <c r="AO135" s="3342"/>
      <c r="AP135" s="3342"/>
      <c r="AQ135" s="3342"/>
      <c r="AR135" s="3342"/>
      <c r="AS135" s="3342"/>
      <c r="AT135" s="3342"/>
      <c r="AU135" s="3342"/>
      <c r="AV135" s="3342"/>
      <c r="AW135" s="3342"/>
      <c r="AX135" s="3342"/>
      <c r="AY135" s="3342"/>
      <c r="AZ135" s="3342"/>
      <c r="BA135" s="3342"/>
      <c r="BB135" s="3342"/>
      <c r="BC135" s="3342"/>
      <c r="BD135" s="3338"/>
      <c r="BE135" s="3338"/>
      <c r="BF135" s="3338"/>
      <c r="BG135" s="3180"/>
      <c r="BH135" s="3180"/>
      <c r="BI135" s="3182"/>
      <c r="BJ135" s="3198"/>
      <c r="BK135" s="3202"/>
      <c r="BL135" s="3172"/>
      <c r="BM135" s="3172"/>
      <c r="BN135" s="3172"/>
      <c r="BO135" s="3172"/>
      <c r="BP135" s="2584"/>
      <c r="BQ135" s="2134"/>
      <c r="BR135" s="2134"/>
      <c r="BS135" s="2135"/>
      <c r="BT135" s="2135"/>
    </row>
    <row r="136" spans="1:85" s="366" customFormat="1" ht="43.5" customHeight="1" x14ac:dyDescent="0.2">
      <c r="A136" s="2118"/>
      <c r="C136" s="2091"/>
      <c r="F136" s="2091"/>
      <c r="G136" s="2584"/>
      <c r="H136" s="2584"/>
      <c r="I136" s="2742"/>
      <c r="J136" s="2742"/>
      <c r="K136" s="2584"/>
      <c r="L136" s="2584"/>
      <c r="M136" s="2722"/>
      <c r="N136" s="2584"/>
      <c r="O136" s="3346"/>
      <c r="P136" s="3348"/>
      <c r="Q136" s="3191"/>
      <c r="R136" s="2698"/>
      <c r="S136" s="3340"/>
      <c r="T136" s="3352"/>
      <c r="U136" s="2422">
        <f>15040000+1979598-2619598</f>
        <v>14400000</v>
      </c>
      <c r="V136" s="2421">
        <v>14400000</v>
      </c>
      <c r="W136" s="2427">
        <v>14400000</v>
      </c>
      <c r="X136" s="2060">
        <v>88</v>
      </c>
      <c r="Y136" s="2211" t="s">
        <v>411</v>
      </c>
      <c r="Z136" s="3202"/>
      <c r="AA136" s="3342"/>
      <c r="AB136" s="3338"/>
      <c r="AC136" s="3342"/>
      <c r="AD136" s="3338"/>
      <c r="AE136" s="3342"/>
      <c r="AF136" s="3338"/>
      <c r="AG136" s="3338"/>
      <c r="AH136" s="3342"/>
      <c r="AI136" s="3342"/>
      <c r="AJ136" s="3342"/>
      <c r="AK136" s="3342"/>
      <c r="AL136" s="3342"/>
      <c r="AM136" s="3342"/>
      <c r="AN136" s="3342"/>
      <c r="AO136" s="3342"/>
      <c r="AP136" s="3342"/>
      <c r="AQ136" s="3342"/>
      <c r="AR136" s="3342"/>
      <c r="AS136" s="3342"/>
      <c r="AT136" s="3342"/>
      <c r="AU136" s="3342"/>
      <c r="AV136" s="3342"/>
      <c r="AW136" s="3342"/>
      <c r="AX136" s="3342"/>
      <c r="AY136" s="3342"/>
      <c r="AZ136" s="3342"/>
      <c r="BA136" s="3342"/>
      <c r="BB136" s="3342"/>
      <c r="BC136" s="3342"/>
      <c r="BD136" s="3338"/>
      <c r="BE136" s="3338"/>
      <c r="BF136" s="3338"/>
      <c r="BG136" s="3180"/>
      <c r="BH136" s="3180"/>
      <c r="BI136" s="3182"/>
      <c r="BJ136" s="3198"/>
      <c r="BK136" s="3202"/>
      <c r="BL136" s="3172"/>
      <c r="BM136" s="3172"/>
      <c r="BN136" s="3172"/>
      <c r="BO136" s="3172"/>
      <c r="BP136" s="2584"/>
      <c r="BQ136" s="2134"/>
      <c r="BR136" s="2134"/>
      <c r="BS136" s="2135"/>
      <c r="BT136" s="2135"/>
    </row>
    <row r="137" spans="1:85" s="366" customFormat="1" ht="42.75" customHeight="1" x14ac:dyDescent="0.2">
      <c r="A137" s="2118"/>
      <c r="C137" s="2091"/>
      <c r="F137" s="2091"/>
      <c r="G137" s="2584"/>
      <c r="H137" s="2584"/>
      <c r="I137" s="2742"/>
      <c r="J137" s="2742"/>
      <c r="K137" s="2584"/>
      <c r="L137" s="2584"/>
      <c r="M137" s="2722"/>
      <c r="N137" s="2584"/>
      <c r="O137" s="3346"/>
      <c r="P137" s="3348"/>
      <c r="Q137" s="3191"/>
      <c r="R137" s="2698"/>
      <c r="S137" s="3340"/>
      <c r="T137" s="2133" t="s">
        <v>1747</v>
      </c>
      <c r="U137" s="2422">
        <f>0+27200000</f>
        <v>27200000</v>
      </c>
      <c r="V137" s="2447">
        <v>11925642</v>
      </c>
      <c r="W137" s="2448">
        <v>11925642</v>
      </c>
      <c r="X137" s="2060">
        <v>88</v>
      </c>
      <c r="Y137" s="2211" t="s">
        <v>411</v>
      </c>
      <c r="Z137" s="3202"/>
      <c r="AA137" s="3342"/>
      <c r="AB137" s="3338"/>
      <c r="AC137" s="3342"/>
      <c r="AD137" s="3338"/>
      <c r="AE137" s="3342"/>
      <c r="AF137" s="3338"/>
      <c r="AG137" s="3338"/>
      <c r="AH137" s="3342"/>
      <c r="AI137" s="3342"/>
      <c r="AJ137" s="3342"/>
      <c r="AK137" s="3342"/>
      <c r="AL137" s="3342"/>
      <c r="AM137" s="3342"/>
      <c r="AN137" s="3342"/>
      <c r="AO137" s="3342"/>
      <c r="AP137" s="3342"/>
      <c r="AQ137" s="3342"/>
      <c r="AR137" s="3342"/>
      <c r="AS137" s="3342"/>
      <c r="AT137" s="3342"/>
      <c r="AU137" s="3342"/>
      <c r="AV137" s="3342"/>
      <c r="AW137" s="3342"/>
      <c r="AX137" s="3342"/>
      <c r="AY137" s="3342"/>
      <c r="AZ137" s="3342"/>
      <c r="BA137" s="3342"/>
      <c r="BB137" s="3342"/>
      <c r="BC137" s="3342"/>
      <c r="BD137" s="3338"/>
      <c r="BE137" s="3338"/>
      <c r="BF137" s="3338"/>
      <c r="BG137" s="3180"/>
      <c r="BH137" s="3180"/>
      <c r="BI137" s="3182"/>
      <c r="BJ137" s="3198"/>
      <c r="BK137" s="3202"/>
      <c r="BL137" s="3172"/>
      <c r="BM137" s="3172"/>
      <c r="BN137" s="3172"/>
      <c r="BO137" s="3172"/>
      <c r="BP137" s="2584"/>
      <c r="BQ137" s="2134"/>
      <c r="BR137" s="2134"/>
      <c r="BS137" s="2135"/>
      <c r="BT137" s="2135"/>
    </row>
    <row r="138" spans="1:85" s="366" customFormat="1" ht="33.75" customHeight="1" x14ac:dyDescent="0.2">
      <c r="A138" s="2118"/>
      <c r="C138" s="2091"/>
      <c r="F138" s="2091"/>
      <c r="G138" s="2584"/>
      <c r="H138" s="2584"/>
      <c r="I138" s="2742"/>
      <c r="J138" s="2742"/>
      <c r="K138" s="2584"/>
      <c r="L138" s="2584"/>
      <c r="M138" s="2722"/>
      <c r="N138" s="2584"/>
      <c r="O138" s="3346"/>
      <c r="P138" s="3348"/>
      <c r="Q138" s="3191"/>
      <c r="R138" s="2698"/>
      <c r="S138" s="3340"/>
      <c r="T138" s="2133" t="s">
        <v>1690</v>
      </c>
      <c r="U138" s="2422">
        <f>0+10000000</f>
        <v>10000000</v>
      </c>
      <c r="V138" s="2421"/>
      <c r="W138" s="2431"/>
      <c r="X138" s="2060">
        <v>88</v>
      </c>
      <c r="Y138" s="2211" t="s">
        <v>411</v>
      </c>
      <c r="Z138" s="3202"/>
      <c r="AA138" s="3342"/>
      <c r="AB138" s="3338"/>
      <c r="AC138" s="3342"/>
      <c r="AD138" s="3338"/>
      <c r="AE138" s="3342"/>
      <c r="AF138" s="3338"/>
      <c r="AG138" s="3338"/>
      <c r="AH138" s="3342"/>
      <c r="AI138" s="3342"/>
      <c r="AJ138" s="3342"/>
      <c r="AK138" s="3342"/>
      <c r="AL138" s="3342"/>
      <c r="AM138" s="3342"/>
      <c r="AN138" s="3342"/>
      <c r="AO138" s="3342"/>
      <c r="AP138" s="3342"/>
      <c r="AQ138" s="3342"/>
      <c r="AR138" s="3342"/>
      <c r="AS138" s="3342"/>
      <c r="AT138" s="3342"/>
      <c r="AU138" s="3342"/>
      <c r="AV138" s="3342"/>
      <c r="AW138" s="3342"/>
      <c r="AX138" s="3342"/>
      <c r="AY138" s="3342"/>
      <c r="AZ138" s="3342"/>
      <c r="BA138" s="3342"/>
      <c r="BB138" s="3342"/>
      <c r="BC138" s="3342"/>
      <c r="BD138" s="3338"/>
      <c r="BE138" s="3338"/>
      <c r="BF138" s="3338"/>
      <c r="BG138" s="3180"/>
      <c r="BH138" s="3180"/>
      <c r="BI138" s="3182"/>
      <c r="BJ138" s="3198"/>
      <c r="BK138" s="3202"/>
      <c r="BL138" s="3172"/>
      <c r="BM138" s="3172"/>
      <c r="BN138" s="3172"/>
      <c r="BO138" s="3172"/>
      <c r="BP138" s="2584"/>
      <c r="BQ138" s="2134"/>
      <c r="BR138" s="2135"/>
      <c r="BS138" s="2135"/>
      <c r="BT138" s="2135"/>
    </row>
    <row r="139" spans="1:85" s="366" customFormat="1" ht="51" customHeight="1" x14ac:dyDescent="0.2">
      <c r="A139" s="2118"/>
      <c r="C139" s="2091"/>
      <c r="F139" s="2091"/>
      <c r="G139" s="2584"/>
      <c r="H139" s="2584"/>
      <c r="I139" s="2742"/>
      <c r="J139" s="2742"/>
      <c r="K139" s="2584"/>
      <c r="L139" s="2584"/>
      <c r="M139" s="2722"/>
      <c r="N139" s="2584"/>
      <c r="O139" s="3346"/>
      <c r="P139" s="3348"/>
      <c r="Q139" s="3191"/>
      <c r="R139" s="2698"/>
      <c r="S139" s="3340"/>
      <c r="T139" s="2133" t="s">
        <v>1748</v>
      </c>
      <c r="U139" s="2422">
        <f>0+24000000+17792932</f>
        <v>41792932</v>
      </c>
      <c r="V139" s="2421">
        <f>24000000+5642260</f>
        <v>29642260</v>
      </c>
      <c r="W139" s="2421">
        <f>24000000+5642260</f>
        <v>29642260</v>
      </c>
      <c r="X139" s="2060">
        <v>88</v>
      </c>
      <c r="Y139" s="2211" t="s">
        <v>411</v>
      </c>
      <c r="Z139" s="3202"/>
      <c r="AA139" s="3342"/>
      <c r="AB139" s="3338"/>
      <c r="AC139" s="3342"/>
      <c r="AD139" s="3338"/>
      <c r="AE139" s="3342"/>
      <c r="AF139" s="3338"/>
      <c r="AG139" s="3338"/>
      <c r="AH139" s="3342"/>
      <c r="AI139" s="3342"/>
      <c r="AJ139" s="3342"/>
      <c r="AK139" s="3342"/>
      <c r="AL139" s="3342"/>
      <c r="AM139" s="3342"/>
      <c r="AN139" s="3342"/>
      <c r="AO139" s="3342"/>
      <c r="AP139" s="3342"/>
      <c r="AQ139" s="3342"/>
      <c r="AR139" s="3342"/>
      <c r="AS139" s="3342"/>
      <c r="AT139" s="3342"/>
      <c r="AU139" s="3342"/>
      <c r="AV139" s="3342"/>
      <c r="AW139" s="3342"/>
      <c r="AX139" s="3342"/>
      <c r="AY139" s="3342"/>
      <c r="AZ139" s="3342"/>
      <c r="BA139" s="3342"/>
      <c r="BB139" s="3342"/>
      <c r="BC139" s="3342"/>
      <c r="BD139" s="3338"/>
      <c r="BE139" s="3338"/>
      <c r="BF139" s="3338"/>
      <c r="BG139" s="3180"/>
      <c r="BH139" s="3180"/>
      <c r="BI139" s="3182"/>
      <c r="BJ139" s="3198"/>
      <c r="BK139" s="3202"/>
      <c r="BL139" s="3172"/>
      <c r="BM139" s="3172"/>
      <c r="BN139" s="3172"/>
      <c r="BO139" s="3172"/>
      <c r="BP139" s="2584"/>
      <c r="BQ139" s="2132"/>
      <c r="BR139" s="2138"/>
      <c r="BS139" s="2136"/>
    </row>
    <row r="140" spans="1:85" s="366" customFormat="1" ht="62.25" customHeight="1" x14ac:dyDescent="0.2">
      <c r="A140" s="2118"/>
      <c r="C140" s="2091"/>
      <c r="F140" s="2091"/>
      <c r="G140" s="2720"/>
      <c r="H140" s="2720"/>
      <c r="I140" s="2743"/>
      <c r="J140" s="2743"/>
      <c r="K140" s="2720"/>
      <c r="L140" s="3349"/>
      <c r="M140" s="2723"/>
      <c r="N140" s="2720"/>
      <c r="O140" s="3347"/>
      <c r="P140" s="3265"/>
      <c r="Q140" s="3191"/>
      <c r="R140" s="2698"/>
      <c r="S140" s="3340"/>
      <c r="T140" s="2139" t="s">
        <v>1749</v>
      </c>
      <c r="U140" s="2422">
        <f>0+10000000</f>
        <v>10000000</v>
      </c>
      <c r="V140" s="2421">
        <v>10000000</v>
      </c>
      <c r="W140" s="2421">
        <v>10000000</v>
      </c>
      <c r="X140" s="2060">
        <v>88</v>
      </c>
      <c r="Y140" s="2211" t="s">
        <v>411</v>
      </c>
      <c r="Z140" s="3350"/>
      <c r="AA140" s="3342"/>
      <c r="AB140" s="3343"/>
      <c r="AC140" s="3342"/>
      <c r="AD140" s="3343"/>
      <c r="AE140" s="3342"/>
      <c r="AF140" s="3343"/>
      <c r="AG140" s="3332"/>
      <c r="AH140" s="3342"/>
      <c r="AI140" s="3342"/>
      <c r="AJ140" s="3342"/>
      <c r="AK140" s="3342"/>
      <c r="AL140" s="3342"/>
      <c r="AM140" s="3342"/>
      <c r="AN140" s="3342"/>
      <c r="AO140" s="3342"/>
      <c r="AP140" s="3342"/>
      <c r="AQ140" s="3342"/>
      <c r="AR140" s="3342"/>
      <c r="AS140" s="3342"/>
      <c r="AT140" s="3342"/>
      <c r="AU140" s="3342"/>
      <c r="AV140" s="3342"/>
      <c r="AW140" s="3342"/>
      <c r="AX140" s="3342"/>
      <c r="AY140" s="3342"/>
      <c r="AZ140" s="3342"/>
      <c r="BA140" s="3342"/>
      <c r="BB140" s="3342"/>
      <c r="BC140" s="3342"/>
      <c r="BD140" s="3343"/>
      <c r="BE140" s="3332"/>
      <c r="BF140" s="3332"/>
      <c r="BG140" s="3288"/>
      <c r="BH140" s="3288"/>
      <c r="BI140" s="3289"/>
      <c r="BJ140" s="3327"/>
      <c r="BK140" s="3202"/>
      <c r="BL140" s="3172"/>
      <c r="BM140" s="3172"/>
      <c r="BN140" s="3172"/>
      <c r="BO140" s="3172"/>
      <c r="BP140" s="2584"/>
      <c r="BQ140" s="2132"/>
    </row>
    <row r="141" spans="1:85" s="366" customFormat="1" ht="43.5" customHeight="1" x14ac:dyDescent="0.2">
      <c r="A141" s="2118"/>
      <c r="C141" s="2091"/>
      <c r="F141" s="2091"/>
      <c r="G141" s="2626">
        <v>4503004</v>
      </c>
      <c r="H141" s="2626" t="s">
        <v>1750</v>
      </c>
      <c r="I141" s="2698" t="s">
        <v>1751</v>
      </c>
      <c r="J141" s="2698" t="s">
        <v>1752</v>
      </c>
      <c r="K141" s="2626">
        <v>1</v>
      </c>
      <c r="L141" s="3167">
        <v>1</v>
      </c>
      <c r="M141" s="2626" t="s">
        <v>1753</v>
      </c>
      <c r="N141" s="3264" t="s">
        <v>1754</v>
      </c>
      <c r="O141" s="2698" t="s">
        <v>1755</v>
      </c>
      <c r="P141" s="3298">
        <f>SUM(U141:U143)/Q141</f>
        <v>1</v>
      </c>
      <c r="Q141" s="3269">
        <f>SUM(U141:U143)</f>
        <v>73229610.299999997</v>
      </c>
      <c r="R141" s="2821" t="s">
        <v>1756</v>
      </c>
      <c r="S141" s="2724" t="s">
        <v>1757</v>
      </c>
      <c r="T141" s="3341" t="s">
        <v>1758</v>
      </c>
      <c r="U141" s="1481">
        <f>5000000+5000000</f>
        <v>10000000</v>
      </c>
      <c r="V141" s="2449">
        <f>7000000-333334</f>
        <v>6666666</v>
      </c>
      <c r="W141" s="2449">
        <f>7000000-333334</f>
        <v>6666666</v>
      </c>
      <c r="X141" s="2057">
        <v>88</v>
      </c>
      <c r="Y141" s="2211" t="s">
        <v>411</v>
      </c>
      <c r="Z141" s="2890">
        <v>763</v>
      </c>
      <c r="AA141" s="3356">
        <v>196</v>
      </c>
      <c r="AB141" s="2890">
        <v>737</v>
      </c>
      <c r="AC141" s="3356">
        <v>175</v>
      </c>
      <c r="AD141" s="2890">
        <v>350</v>
      </c>
      <c r="AE141" s="3356">
        <v>78</v>
      </c>
      <c r="AF141" s="2890">
        <v>114</v>
      </c>
      <c r="AG141" s="3356">
        <v>36</v>
      </c>
      <c r="AH141" s="2862">
        <v>797</v>
      </c>
      <c r="AI141" s="2861">
        <v>211</v>
      </c>
      <c r="AJ141" s="2862">
        <v>239</v>
      </c>
      <c r="AK141" s="2861">
        <v>46</v>
      </c>
      <c r="AL141" s="2862">
        <v>0</v>
      </c>
      <c r="AM141" s="3356"/>
      <c r="AN141" s="2890">
        <v>0</v>
      </c>
      <c r="AO141" s="3356"/>
      <c r="AP141" s="2890">
        <v>0</v>
      </c>
      <c r="AQ141" s="3356"/>
      <c r="AR141" s="2890">
        <v>0</v>
      </c>
      <c r="AS141" s="3356"/>
      <c r="AT141" s="2890">
        <v>0</v>
      </c>
      <c r="AU141" s="3356"/>
      <c r="AV141" s="2890">
        <v>0</v>
      </c>
      <c r="AW141" s="3356"/>
      <c r="AX141" s="2890">
        <v>0</v>
      </c>
      <c r="AY141" s="3356"/>
      <c r="AZ141" s="2890">
        <v>0</v>
      </c>
      <c r="BA141" s="3356"/>
      <c r="BB141" s="2890">
        <v>0</v>
      </c>
      <c r="BC141" s="3356"/>
      <c r="BD141" s="2890">
        <f>+Z141+AB141</f>
        <v>1500</v>
      </c>
      <c r="BE141" s="3356">
        <f>+AA141+AC141</f>
        <v>371</v>
      </c>
      <c r="BF141" s="3359">
        <v>2</v>
      </c>
      <c r="BG141" s="3179">
        <f>SUM(V141:V143)</f>
        <v>72547626</v>
      </c>
      <c r="BH141" s="3179">
        <f>SUM(W141:W143)</f>
        <v>72547626</v>
      </c>
      <c r="BI141" s="3181">
        <f>+BH141/BG141</f>
        <v>1</v>
      </c>
      <c r="BJ141" s="3197" t="s">
        <v>301</v>
      </c>
      <c r="BK141" s="3202"/>
      <c r="BL141" s="3172"/>
      <c r="BM141" s="3172"/>
      <c r="BN141" s="3172"/>
      <c r="BO141" s="3172"/>
      <c r="BP141" s="2584"/>
      <c r="BQ141" s="2140"/>
    </row>
    <row r="142" spans="1:85" s="366" customFormat="1" ht="40.5" customHeight="1" x14ac:dyDescent="0.2">
      <c r="A142" s="2118"/>
      <c r="C142" s="2091"/>
      <c r="G142" s="2626"/>
      <c r="H142" s="2626"/>
      <c r="I142" s="2698"/>
      <c r="J142" s="2698"/>
      <c r="K142" s="2626"/>
      <c r="L142" s="3019"/>
      <c r="M142" s="2626"/>
      <c r="N142" s="3264"/>
      <c r="O142" s="2698"/>
      <c r="P142" s="3298"/>
      <c r="Q142" s="3269"/>
      <c r="R142" s="2698"/>
      <c r="S142" s="2787"/>
      <c r="T142" s="3196"/>
      <c r="U142" s="2434">
        <v>5000000</v>
      </c>
      <c r="V142" s="2450">
        <v>5000000</v>
      </c>
      <c r="W142" s="2450">
        <v>5000000</v>
      </c>
      <c r="X142" s="2057">
        <v>20</v>
      </c>
      <c r="Y142" s="2211" t="s">
        <v>85</v>
      </c>
      <c r="Z142" s="2890"/>
      <c r="AA142" s="2861"/>
      <c r="AB142" s="2890"/>
      <c r="AC142" s="2861"/>
      <c r="AD142" s="2890"/>
      <c r="AE142" s="2861"/>
      <c r="AF142" s="2890"/>
      <c r="AG142" s="2861"/>
      <c r="AH142" s="2890"/>
      <c r="AI142" s="2861"/>
      <c r="AJ142" s="2890"/>
      <c r="AK142" s="2861"/>
      <c r="AL142" s="2890"/>
      <c r="AM142" s="2861"/>
      <c r="AN142" s="2890"/>
      <c r="AO142" s="2861"/>
      <c r="AP142" s="2890"/>
      <c r="AQ142" s="2861"/>
      <c r="AR142" s="2890"/>
      <c r="AS142" s="2861"/>
      <c r="AT142" s="2890"/>
      <c r="AU142" s="2861"/>
      <c r="AV142" s="2890"/>
      <c r="AW142" s="2861"/>
      <c r="AX142" s="2890"/>
      <c r="AY142" s="2861"/>
      <c r="AZ142" s="2890"/>
      <c r="BA142" s="2861"/>
      <c r="BB142" s="2890"/>
      <c r="BC142" s="2861"/>
      <c r="BD142" s="2890"/>
      <c r="BE142" s="2861"/>
      <c r="BF142" s="3360"/>
      <c r="BG142" s="3180"/>
      <c r="BH142" s="3180"/>
      <c r="BI142" s="3182"/>
      <c r="BJ142" s="3198"/>
      <c r="BK142" s="3202"/>
      <c r="BL142" s="3172"/>
      <c r="BM142" s="3172"/>
      <c r="BN142" s="3172"/>
      <c r="BO142" s="3172"/>
      <c r="BP142" s="2584"/>
      <c r="BQ142" s="2132"/>
    </row>
    <row r="143" spans="1:85" s="366" customFormat="1" ht="72.75" customHeight="1" x14ac:dyDescent="0.2">
      <c r="A143" s="2141"/>
      <c r="B143" s="2142"/>
      <c r="C143" s="2143"/>
      <c r="G143" s="2626"/>
      <c r="H143" s="2626"/>
      <c r="I143" s="2698"/>
      <c r="J143" s="2698"/>
      <c r="K143" s="2626"/>
      <c r="L143" s="3020"/>
      <c r="M143" s="2626"/>
      <c r="N143" s="3264"/>
      <c r="O143" s="2698"/>
      <c r="P143" s="3298"/>
      <c r="Q143" s="3269"/>
      <c r="R143" s="2698"/>
      <c r="S143" s="2698"/>
      <c r="T143" s="2071" t="s">
        <v>1759</v>
      </c>
      <c r="U143" s="2422">
        <f>3229610.3+55000000</f>
        <v>58229610.299999997</v>
      </c>
      <c r="V143" s="2450">
        <f>54530660+6350300</f>
        <v>60880960</v>
      </c>
      <c r="W143" s="2450">
        <f>54530660+6350300</f>
        <v>60880960</v>
      </c>
      <c r="X143" s="2057">
        <v>88</v>
      </c>
      <c r="Y143" s="2211" t="s">
        <v>411</v>
      </c>
      <c r="Z143" s="2890"/>
      <c r="AA143" s="3357"/>
      <c r="AB143" s="2890"/>
      <c r="AC143" s="3357"/>
      <c r="AD143" s="2890"/>
      <c r="AE143" s="3357"/>
      <c r="AF143" s="2890"/>
      <c r="AG143" s="3357"/>
      <c r="AH143" s="2890"/>
      <c r="AI143" s="3357"/>
      <c r="AJ143" s="2890"/>
      <c r="AK143" s="3357"/>
      <c r="AL143" s="2890"/>
      <c r="AM143" s="3357"/>
      <c r="AN143" s="2890"/>
      <c r="AO143" s="3357"/>
      <c r="AP143" s="2890"/>
      <c r="AQ143" s="3357"/>
      <c r="AR143" s="2890"/>
      <c r="AS143" s="3357"/>
      <c r="AT143" s="2890"/>
      <c r="AU143" s="3357"/>
      <c r="AV143" s="2890"/>
      <c r="AW143" s="3357"/>
      <c r="AX143" s="2890"/>
      <c r="AY143" s="3357"/>
      <c r="AZ143" s="2890"/>
      <c r="BA143" s="3357"/>
      <c r="BB143" s="2890"/>
      <c r="BC143" s="3357"/>
      <c r="BD143" s="2890"/>
      <c r="BE143" s="3357"/>
      <c r="BF143" s="3361"/>
      <c r="BG143" s="3288"/>
      <c r="BH143" s="3288"/>
      <c r="BI143" s="3289"/>
      <c r="BJ143" s="3290"/>
      <c r="BK143" s="3358"/>
      <c r="BL143" s="3337"/>
      <c r="BM143" s="3337"/>
      <c r="BN143" s="3337"/>
      <c r="BO143" s="3337"/>
      <c r="BP143" s="2720"/>
    </row>
    <row r="144" spans="1:85" s="366" customFormat="1" ht="27" customHeight="1" x14ac:dyDescent="0.2">
      <c r="A144" s="31">
        <v>4</v>
      </c>
      <c r="B144" s="1894" t="s">
        <v>289</v>
      </c>
      <c r="C144" s="316"/>
      <c r="D144" s="206"/>
      <c r="E144" s="207"/>
      <c r="F144" s="207"/>
      <c r="G144" s="316"/>
      <c r="H144" s="316"/>
      <c r="I144" s="206"/>
      <c r="J144" s="206"/>
      <c r="K144" s="207"/>
      <c r="L144" s="207"/>
      <c r="M144" s="1797"/>
      <c r="N144" s="316"/>
      <c r="O144" s="206"/>
      <c r="P144" s="2144"/>
      <c r="Q144" s="2459"/>
      <c r="R144" s="206"/>
      <c r="S144" s="206"/>
      <c r="T144" s="2039"/>
      <c r="U144" s="2441"/>
      <c r="V144" s="2442"/>
      <c r="W144" s="2443"/>
      <c r="X144" s="2145"/>
      <c r="Y144" s="1797"/>
      <c r="Z144" s="316"/>
      <c r="AA144" s="316"/>
      <c r="AB144" s="316"/>
      <c r="AC144" s="316"/>
      <c r="AD144" s="316"/>
      <c r="AE144" s="316"/>
      <c r="AF144" s="316"/>
      <c r="AG144" s="316"/>
      <c r="AH144" s="316"/>
      <c r="AI144" s="316"/>
      <c r="AJ144" s="316"/>
      <c r="AK144" s="316"/>
      <c r="AL144" s="316"/>
      <c r="AM144" s="316"/>
      <c r="AN144" s="316"/>
      <c r="AO144" s="316"/>
      <c r="AP144" s="316"/>
      <c r="AQ144" s="316"/>
      <c r="AR144" s="316"/>
      <c r="AS144" s="316"/>
      <c r="AT144" s="316"/>
      <c r="AU144" s="316"/>
      <c r="AV144" s="316"/>
      <c r="AW144" s="316"/>
      <c r="AX144" s="316"/>
      <c r="AY144" s="316"/>
      <c r="AZ144" s="316"/>
      <c r="BA144" s="316"/>
      <c r="BB144" s="316"/>
      <c r="BC144" s="316"/>
      <c r="BD144" s="316"/>
      <c r="BE144" s="316"/>
      <c r="BF144" s="316"/>
      <c r="BG144" s="316"/>
      <c r="BH144" s="316"/>
      <c r="BI144" s="316"/>
      <c r="BJ144" s="316"/>
      <c r="BK144" s="316"/>
      <c r="BL144" s="316"/>
      <c r="BM144" s="316"/>
      <c r="BN144" s="316"/>
      <c r="BO144" s="316"/>
      <c r="BP144" s="1045"/>
      <c r="BQ144" s="1555"/>
      <c r="BR144" s="1555"/>
      <c r="BS144" s="1555"/>
      <c r="BT144" s="1555"/>
      <c r="BU144" s="1555"/>
      <c r="BV144" s="1555"/>
      <c r="BW144" s="1555"/>
      <c r="BX144" s="1555"/>
      <c r="BY144" s="1555"/>
      <c r="BZ144" s="1555"/>
      <c r="CA144" s="1555"/>
      <c r="CB144" s="1555"/>
      <c r="CC144" s="1555"/>
      <c r="CD144" s="1555"/>
      <c r="CE144" s="1555"/>
      <c r="CF144" s="1555"/>
      <c r="CG144" s="1555"/>
    </row>
    <row r="145" spans="1:68" s="1555" customFormat="1" ht="27" customHeight="1" x14ac:dyDescent="0.2">
      <c r="A145" s="2044"/>
      <c r="B145" s="1912"/>
      <c r="C145" s="2045"/>
      <c r="D145" s="763">
        <v>42</v>
      </c>
      <c r="E145" s="788" t="s">
        <v>63</v>
      </c>
      <c r="F145" s="220"/>
      <c r="G145" s="221"/>
      <c r="H145" s="221"/>
      <c r="I145" s="222"/>
      <c r="J145" s="222"/>
      <c r="K145" s="223"/>
      <c r="L145" s="223"/>
      <c r="M145" s="1053"/>
      <c r="N145" s="287"/>
      <c r="O145" s="278"/>
      <c r="P145" s="1096"/>
      <c r="Q145" s="2457"/>
      <c r="R145" s="278"/>
      <c r="S145" s="278"/>
      <c r="T145" s="2081"/>
      <c r="U145" s="2423"/>
      <c r="V145" s="2424"/>
      <c r="W145" s="2451"/>
      <c r="X145" s="2052"/>
      <c r="Y145" s="204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c r="AW145" s="287"/>
      <c r="AX145" s="287"/>
      <c r="AY145" s="287"/>
      <c r="AZ145" s="287"/>
      <c r="BA145" s="287"/>
      <c r="BB145" s="287"/>
      <c r="BC145" s="287"/>
      <c r="BD145" s="287"/>
      <c r="BE145" s="287"/>
      <c r="BF145" s="287"/>
      <c r="BG145" s="287"/>
      <c r="BH145" s="287"/>
      <c r="BI145" s="287"/>
      <c r="BJ145" s="287"/>
      <c r="BK145" s="287"/>
      <c r="BL145" s="287"/>
      <c r="BM145" s="287"/>
      <c r="BN145" s="287"/>
      <c r="BO145" s="287"/>
      <c r="BP145" s="2146"/>
    </row>
    <row r="146" spans="1:68" s="366" customFormat="1" ht="50.25" customHeight="1" x14ac:dyDescent="0.2">
      <c r="A146" s="2118"/>
      <c r="C146" s="2091"/>
      <c r="D146" s="2129"/>
      <c r="E146" s="2129"/>
      <c r="F146" s="2147"/>
      <c r="G146" s="3362">
        <v>4502001</v>
      </c>
      <c r="H146" s="3362" t="s">
        <v>1760</v>
      </c>
      <c r="I146" s="2741" t="s">
        <v>996</v>
      </c>
      <c r="J146" s="2741" t="s">
        <v>1761</v>
      </c>
      <c r="K146" s="2583">
        <v>3</v>
      </c>
      <c r="L146" s="2583">
        <v>2</v>
      </c>
      <c r="M146" s="2583" t="s">
        <v>1762</v>
      </c>
      <c r="N146" s="3224" t="s">
        <v>1714</v>
      </c>
      <c r="O146" s="2741" t="s">
        <v>1715</v>
      </c>
      <c r="P146" s="3226">
        <f>SUM(U146:U156)/Q146</f>
        <v>0.6438408217988385</v>
      </c>
      <c r="Q146" s="3229">
        <f>SUM(U146:U161)</f>
        <v>98270667</v>
      </c>
      <c r="R146" s="2741" t="s">
        <v>1716</v>
      </c>
      <c r="S146" s="2741" t="s">
        <v>1717</v>
      </c>
      <c r="T146" s="3253" t="s">
        <v>1763</v>
      </c>
      <c r="U146" s="2422">
        <v>4000000</v>
      </c>
      <c r="V146" s="2421">
        <v>1660000</v>
      </c>
      <c r="W146" s="2421">
        <v>1660000</v>
      </c>
      <c r="X146" s="2057">
        <v>88</v>
      </c>
      <c r="Y146" s="2213" t="s">
        <v>411</v>
      </c>
      <c r="Z146" s="3369">
        <v>4835</v>
      </c>
      <c r="AA146" s="3362">
        <v>525</v>
      </c>
      <c r="AB146" s="3362">
        <v>4665</v>
      </c>
      <c r="AC146" s="3362">
        <v>480</v>
      </c>
      <c r="AD146" s="3362">
        <v>2214</v>
      </c>
      <c r="AE146" s="3362">
        <v>215</v>
      </c>
      <c r="AF146" s="3362">
        <v>723</v>
      </c>
      <c r="AG146" s="3362">
        <v>105</v>
      </c>
      <c r="AH146" s="3362">
        <v>5050</v>
      </c>
      <c r="AI146" s="3362">
        <v>320</v>
      </c>
      <c r="AJ146" s="3362">
        <v>1513</v>
      </c>
      <c r="AK146" s="3362">
        <v>365</v>
      </c>
      <c r="AL146" s="3175">
        <v>0</v>
      </c>
      <c r="AM146" s="3175"/>
      <c r="AN146" s="3175">
        <v>0</v>
      </c>
      <c r="AO146" s="3175"/>
      <c r="AP146" s="3175">
        <v>0</v>
      </c>
      <c r="AQ146" s="3175"/>
      <c r="AR146" s="3175">
        <v>0</v>
      </c>
      <c r="AS146" s="3175"/>
      <c r="AT146" s="3175">
        <v>0</v>
      </c>
      <c r="AU146" s="3175"/>
      <c r="AV146" s="3175">
        <v>0</v>
      </c>
      <c r="AW146" s="3175"/>
      <c r="AX146" s="3175">
        <v>0</v>
      </c>
      <c r="AY146" s="3175"/>
      <c r="AZ146" s="3175">
        <v>0</v>
      </c>
      <c r="BA146" s="3175"/>
      <c r="BB146" s="3175">
        <v>0</v>
      </c>
      <c r="BC146" s="3175"/>
      <c r="BD146" s="3381">
        <f>Z146+AB146</f>
        <v>9500</v>
      </c>
      <c r="BE146" s="3388">
        <f>+AA146+AC146</f>
        <v>1005</v>
      </c>
      <c r="BF146" s="2984">
        <v>6</v>
      </c>
      <c r="BG146" s="3372">
        <f>SUM(V146:V161)</f>
        <v>64650667</v>
      </c>
      <c r="BH146" s="3372">
        <f>SUM(W146:W161)</f>
        <v>64650667</v>
      </c>
      <c r="BI146" s="3375">
        <f>+BH146/BG146</f>
        <v>1</v>
      </c>
      <c r="BJ146" s="3197" t="s">
        <v>301</v>
      </c>
      <c r="BK146" s="3378" t="s">
        <v>1687</v>
      </c>
      <c r="BL146" s="3171">
        <v>44061</v>
      </c>
      <c r="BM146" s="3171">
        <v>44186</v>
      </c>
      <c r="BN146" s="3171">
        <v>44195</v>
      </c>
      <c r="BO146" s="3171">
        <v>44195</v>
      </c>
      <c r="BP146" s="2741" t="s">
        <v>1585</v>
      </c>
    </row>
    <row r="147" spans="1:68" s="366" customFormat="1" ht="50.25" customHeight="1" x14ac:dyDescent="0.2">
      <c r="A147" s="2118"/>
      <c r="C147" s="2091"/>
      <c r="F147" s="2091"/>
      <c r="G147" s="3363"/>
      <c r="H147" s="3363"/>
      <c r="I147" s="2742"/>
      <c r="J147" s="2742"/>
      <c r="K147" s="2584"/>
      <c r="L147" s="2584"/>
      <c r="M147" s="2584"/>
      <c r="N147" s="3225"/>
      <c r="O147" s="2742"/>
      <c r="P147" s="3227"/>
      <c r="Q147" s="3230"/>
      <c r="R147" s="2742"/>
      <c r="S147" s="2742"/>
      <c r="T147" s="3254"/>
      <c r="U147" s="2422">
        <v>17540001</v>
      </c>
      <c r="V147" s="2421">
        <v>17540001</v>
      </c>
      <c r="W147" s="2421">
        <v>17540001</v>
      </c>
      <c r="X147" s="2057">
        <v>20</v>
      </c>
      <c r="Y147" s="2213" t="s">
        <v>975</v>
      </c>
      <c r="Z147" s="3370"/>
      <c r="AA147" s="3363"/>
      <c r="AB147" s="3363"/>
      <c r="AC147" s="3363"/>
      <c r="AD147" s="3363"/>
      <c r="AE147" s="3363"/>
      <c r="AF147" s="3363"/>
      <c r="AG147" s="3363"/>
      <c r="AH147" s="3363"/>
      <c r="AI147" s="3363"/>
      <c r="AJ147" s="3363"/>
      <c r="AK147" s="3363"/>
      <c r="AL147" s="3176"/>
      <c r="AM147" s="3176"/>
      <c r="AN147" s="3176"/>
      <c r="AO147" s="3176"/>
      <c r="AP147" s="3176"/>
      <c r="AQ147" s="3176"/>
      <c r="AR147" s="3176"/>
      <c r="AS147" s="3176"/>
      <c r="AT147" s="3176"/>
      <c r="AU147" s="3176"/>
      <c r="AV147" s="3176"/>
      <c r="AW147" s="3176"/>
      <c r="AX147" s="3176"/>
      <c r="AY147" s="3176"/>
      <c r="AZ147" s="3176"/>
      <c r="BA147" s="3176"/>
      <c r="BB147" s="3176"/>
      <c r="BC147" s="3176"/>
      <c r="BD147" s="3382"/>
      <c r="BE147" s="3363"/>
      <c r="BF147" s="2984"/>
      <c r="BG147" s="3373"/>
      <c r="BH147" s="3373"/>
      <c r="BI147" s="3376"/>
      <c r="BJ147" s="3198"/>
      <c r="BK147" s="3379"/>
      <c r="BL147" s="3172"/>
      <c r="BM147" s="3172"/>
      <c r="BN147" s="3172"/>
      <c r="BO147" s="3172"/>
      <c r="BP147" s="2742"/>
    </row>
    <row r="148" spans="1:68" s="366" customFormat="1" ht="50.25" customHeight="1" x14ac:dyDescent="0.2">
      <c r="A148" s="2118"/>
      <c r="C148" s="2091"/>
      <c r="F148" s="2091"/>
      <c r="G148" s="3363"/>
      <c r="H148" s="3363"/>
      <c r="I148" s="2742"/>
      <c r="J148" s="2742"/>
      <c r="K148" s="2584"/>
      <c r="L148" s="2584"/>
      <c r="M148" s="2584"/>
      <c r="N148" s="3225"/>
      <c r="O148" s="2742"/>
      <c r="P148" s="3227"/>
      <c r="Q148" s="3230"/>
      <c r="R148" s="2742"/>
      <c r="S148" s="2742"/>
      <c r="T148" s="2087" t="s">
        <v>1764</v>
      </c>
      <c r="U148" s="2422">
        <v>800000</v>
      </c>
      <c r="V148" s="2421"/>
      <c r="W148" s="2421"/>
      <c r="X148" s="2057">
        <v>88</v>
      </c>
      <c r="Y148" s="2213" t="s">
        <v>411</v>
      </c>
      <c r="Z148" s="3370"/>
      <c r="AA148" s="3363"/>
      <c r="AB148" s="3363"/>
      <c r="AC148" s="3363"/>
      <c r="AD148" s="3363"/>
      <c r="AE148" s="3363"/>
      <c r="AF148" s="3363"/>
      <c r="AG148" s="3363"/>
      <c r="AH148" s="3363"/>
      <c r="AI148" s="3363"/>
      <c r="AJ148" s="3363"/>
      <c r="AK148" s="3363"/>
      <c r="AL148" s="3176"/>
      <c r="AM148" s="3176"/>
      <c r="AN148" s="3176"/>
      <c r="AO148" s="3176"/>
      <c r="AP148" s="3176"/>
      <c r="AQ148" s="3176"/>
      <c r="AR148" s="3176"/>
      <c r="AS148" s="3176"/>
      <c r="AT148" s="3176"/>
      <c r="AU148" s="3176"/>
      <c r="AV148" s="3176"/>
      <c r="AW148" s="3176"/>
      <c r="AX148" s="3176"/>
      <c r="AY148" s="3176"/>
      <c r="AZ148" s="3176"/>
      <c r="BA148" s="3176"/>
      <c r="BB148" s="3176"/>
      <c r="BC148" s="3176"/>
      <c r="BD148" s="3382"/>
      <c r="BE148" s="3363"/>
      <c r="BF148" s="2984"/>
      <c r="BG148" s="3373"/>
      <c r="BH148" s="3373"/>
      <c r="BI148" s="3376"/>
      <c r="BJ148" s="3198"/>
      <c r="BK148" s="3379"/>
      <c r="BL148" s="3172"/>
      <c r="BM148" s="3172"/>
      <c r="BN148" s="3172"/>
      <c r="BO148" s="3172"/>
      <c r="BP148" s="2742"/>
    </row>
    <row r="149" spans="1:68" s="366" customFormat="1" ht="50.25" customHeight="1" x14ac:dyDescent="0.2">
      <c r="A149" s="2118"/>
      <c r="C149" s="2091"/>
      <c r="F149" s="2091"/>
      <c r="G149" s="3363"/>
      <c r="H149" s="3363"/>
      <c r="I149" s="2742"/>
      <c r="J149" s="2742"/>
      <c r="K149" s="2584"/>
      <c r="L149" s="2584"/>
      <c r="M149" s="2584"/>
      <c r="N149" s="3225"/>
      <c r="O149" s="2742"/>
      <c r="P149" s="3227"/>
      <c r="Q149" s="3230"/>
      <c r="R149" s="2742"/>
      <c r="S149" s="2742"/>
      <c r="T149" s="2087" t="s">
        <v>1765</v>
      </c>
      <c r="U149" s="2426">
        <v>0</v>
      </c>
      <c r="V149" s="2421"/>
      <c r="W149" s="2421"/>
      <c r="X149" s="2057"/>
      <c r="Y149" s="2213"/>
      <c r="Z149" s="3370"/>
      <c r="AA149" s="3363"/>
      <c r="AB149" s="3363"/>
      <c r="AC149" s="3363"/>
      <c r="AD149" s="3363"/>
      <c r="AE149" s="3363"/>
      <c r="AF149" s="3363"/>
      <c r="AG149" s="3363"/>
      <c r="AH149" s="3363"/>
      <c r="AI149" s="3363"/>
      <c r="AJ149" s="3363"/>
      <c r="AK149" s="3363"/>
      <c r="AL149" s="3176"/>
      <c r="AM149" s="3176"/>
      <c r="AN149" s="3176"/>
      <c r="AO149" s="3176"/>
      <c r="AP149" s="3176"/>
      <c r="AQ149" s="3176"/>
      <c r="AR149" s="3176"/>
      <c r="AS149" s="3176"/>
      <c r="AT149" s="3176"/>
      <c r="AU149" s="3176"/>
      <c r="AV149" s="3176"/>
      <c r="AW149" s="3176"/>
      <c r="AX149" s="3176"/>
      <c r="AY149" s="3176"/>
      <c r="AZ149" s="3176"/>
      <c r="BA149" s="3176"/>
      <c r="BB149" s="3176"/>
      <c r="BC149" s="3176"/>
      <c r="BD149" s="3382"/>
      <c r="BE149" s="3363"/>
      <c r="BF149" s="2984"/>
      <c r="BG149" s="3373"/>
      <c r="BH149" s="3373"/>
      <c r="BI149" s="3376"/>
      <c r="BJ149" s="3198"/>
      <c r="BK149" s="3379"/>
      <c r="BL149" s="3172"/>
      <c r="BM149" s="3172"/>
      <c r="BN149" s="3172"/>
      <c r="BO149" s="3172"/>
      <c r="BP149" s="2742"/>
    </row>
    <row r="150" spans="1:68" s="366" customFormat="1" ht="50.25" customHeight="1" x14ac:dyDescent="0.2">
      <c r="A150" s="2118"/>
      <c r="C150" s="2091"/>
      <c r="F150" s="2091"/>
      <c r="G150" s="3363"/>
      <c r="H150" s="3363"/>
      <c r="I150" s="2742"/>
      <c r="J150" s="2742"/>
      <c r="K150" s="2584"/>
      <c r="L150" s="2584"/>
      <c r="M150" s="2584"/>
      <c r="N150" s="3225"/>
      <c r="O150" s="2742"/>
      <c r="P150" s="3227"/>
      <c r="Q150" s="3230"/>
      <c r="R150" s="2742"/>
      <c r="S150" s="2742"/>
      <c r="T150" s="2087" t="s">
        <v>1766</v>
      </c>
      <c r="U150" s="2422">
        <v>200000</v>
      </c>
      <c r="V150" s="2421"/>
      <c r="W150" s="2421"/>
      <c r="X150" s="2057">
        <v>88</v>
      </c>
      <c r="Y150" s="2213" t="s">
        <v>411</v>
      </c>
      <c r="Z150" s="3370"/>
      <c r="AA150" s="3363"/>
      <c r="AB150" s="3363"/>
      <c r="AC150" s="3363"/>
      <c r="AD150" s="3363"/>
      <c r="AE150" s="3363"/>
      <c r="AF150" s="3363"/>
      <c r="AG150" s="3363"/>
      <c r="AH150" s="3363"/>
      <c r="AI150" s="3363"/>
      <c r="AJ150" s="3363"/>
      <c r="AK150" s="3363"/>
      <c r="AL150" s="3176"/>
      <c r="AM150" s="3176"/>
      <c r="AN150" s="3176"/>
      <c r="AO150" s="3176"/>
      <c r="AP150" s="3176"/>
      <c r="AQ150" s="3176"/>
      <c r="AR150" s="3176"/>
      <c r="AS150" s="3176"/>
      <c r="AT150" s="3176"/>
      <c r="AU150" s="3176"/>
      <c r="AV150" s="3176"/>
      <c r="AW150" s="3176"/>
      <c r="AX150" s="3176"/>
      <c r="AY150" s="3176"/>
      <c r="AZ150" s="3176"/>
      <c r="BA150" s="3176"/>
      <c r="BB150" s="3176"/>
      <c r="BC150" s="3176"/>
      <c r="BD150" s="3382"/>
      <c r="BE150" s="3363"/>
      <c r="BF150" s="2984"/>
      <c r="BG150" s="3373"/>
      <c r="BH150" s="3373"/>
      <c r="BI150" s="3376"/>
      <c r="BJ150" s="3198"/>
      <c r="BK150" s="3379"/>
      <c r="BL150" s="3172"/>
      <c r="BM150" s="3172"/>
      <c r="BN150" s="3172"/>
      <c r="BO150" s="3172"/>
      <c r="BP150" s="2742"/>
    </row>
    <row r="151" spans="1:68" s="366" customFormat="1" ht="50.25" customHeight="1" x14ac:dyDescent="0.2">
      <c r="A151" s="2118"/>
      <c r="C151" s="2091"/>
      <c r="F151" s="2091"/>
      <c r="G151" s="3363"/>
      <c r="H151" s="3363"/>
      <c r="I151" s="2742"/>
      <c r="J151" s="2742"/>
      <c r="K151" s="2584"/>
      <c r="L151" s="2584"/>
      <c r="M151" s="2584"/>
      <c r="N151" s="3225"/>
      <c r="O151" s="2742"/>
      <c r="P151" s="3227"/>
      <c r="Q151" s="3230"/>
      <c r="R151" s="2742"/>
      <c r="S151" s="2742"/>
      <c r="T151" s="2087" t="s">
        <v>1767</v>
      </c>
      <c r="U151" s="2426">
        <v>0</v>
      </c>
      <c r="V151" s="2421"/>
      <c r="W151" s="2421"/>
      <c r="X151" s="2057"/>
      <c r="Y151" s="2213"/>
      <c r="Z151" s="3370"/>
      <c r="AA151" s="3363"/>
      <c r="AB151" s="3363"/>
      <c r="AC151" s="3363"/>
      <c r="AD151" s="3363"/>
      <c r="AE151" s="3363"/>
      <c r="AF151" s="3363"/>
      <c r="AG151" s="3363"/>
      <c r="AH151" s="3363"/>
      <c r="AI151" s="3363"/>
      <c r="AJ151" s="3363"/>
      <c r="AK151" s="3363"/>
      <c r="AL151" s="3176"/>
      <c r="AM151" s="3176"/>
      <c r="AN151" s="3176"/>
      <c r="AO151" s="3176"/>
      <c r="AP151" s="3176"/>
      <c r="AQ151" s="3176"/>
      <c r="AR151" s="3176"/>
      <c r="AS151" s="3176"/>
      <c r="AT151" s="3176"/>
      <c r="AU151" s="3176"/>
      <c r="AV151" s="3176"/>
      <c r="AW151" s="3176"/>
      <c r="AX151" s="3176"/>
      <c r="AY151" s="3176"/>
      <c r="AZ151" s="3176"/>
      <c r="BA151" s="3176"/>
      <c r="BB151" s="3176"/>
      <c r="BC151" s="3176"/>
      <c r="BD151" s="3382"/>
      <c r="BE151" s="3363"/>
      <c r="BF151" s="2984"/>
      <c r="BG151" s="3373"/>
      <c r="BH151" s="3373"/>
      <c r="BI151" s="3376"/>
      <c r="BJ151" s="3198"/>
      <c r="BK151" s="3379"/>
      <c r="BL151" s="3172"/>
      <c r="BM151" s="3172"/>
      <c r="BN151" s="3172"/>
      <c r="BO151" s="3172"/>
      <c r="BP151" s="2742"/>
    </row>
    <row r="152" spans="1:68" s="366" customFormat="1" ht="50.25" customHeight="1" x14ac:dyDescent="0.2">
      <c r="A152" s="2118"/>
      <c r="C152" s="2091"/>
      <c r="F152" s="2091"/>
      <c r="G152" s="3363"/>
      <c r="H152" s="3363"/>
      <c r="I152" s="2742"/>
      <c r="J152" s="2742"/>
      <c r="K152" s="2584"/>
      <c r="L152" s="2584"/>
      <c r="M152" s="2584"/>
      <c r="N152" s="3225"/>
      <c r="O152" s="2742"/>
      <c r="P152" s="3227"/>
      <c r="Q152" s="3230"/>
      <c r="R152" s="2742"/>
      <c r="S152" s="2742"/>
      <c r="T152" s="2087" t="s">
        <v>1768</v>
      </c>
      <c r="U152" s="2426">
        <v>0</v>
      </c>
      <c r="V152" s="2421"/>
      <c r="W152" s="2421"/>
      <c r="X152" s="2057"/>
      <c r="Y152" s="2213"/>
      <c r="Z152" s="3370"/>
      <c r="AA152" s="3363"/>
      <c r="AB152" s="3363"/>
      <c r="AC152" s="3363"/>
      <c r="AD152" s="3363"/>
      <c r="AE152" s="3363"/>
      <c r="AF152" s="3363"/>
      <c r="AG152" s="3363"/>
      <c r="AH152" s="3363"/>
      <c r="AI152" s="3363"/>
      <c r="AJ152" s="3363"/>
      <c r="AK152" s="3363"/>
      <c r="AL152" s="3176"/>
      <c r="AM152" s="3176"/>
      <c r="AN152" s="3176"/>
      <c r="AO152" s="3176"/>
      <c r="AP152" s="3176"/>
      <c r="AQ152" s="3176"/>
      <c r="AR152" s="3176"/>
      <c r="AS152" s="3176"/>
      <c r="AT152" s="3176"/>
      <c r="AU152" s="3176"/>
      <c r="AV152" s="3176"/>
      <c r="AW152" s="3176"/>
      <c r="AX152" s="3176"/>
      <c r="AY152" s="3176"/>
      <c r="AZ152" s="3176"/>
      <c r="BA152" s="3176"/>
      <c r="BB152" s="3176"/>
      <c r="BC152" s="3176"/>
      <c r="BD152" s="3382"/>
      <c r="BE152" s="3363"/>
      <c r="BF152" s="2984"/>
      <c r="BG152" s="3373"/>
      <c r="BH152" s="3373"/>
      <c r="BI152" s="3376"/>
      <c r="BJ152" s="3198"/>
      <c r="BK152" s="3379"/>
      <c r="BL152" s="3172"/>
      <c r="BM152" s="3172"/>
      <c r="BN152" s="3172"/>
      <c r="BO152" s="3172"/>
      <c r="BP152" s="2742"/>
    </row>
    <row r="153" spans="1:68" s="366" customFormat="1" ht="50.25" customHeight="1" x14ac:dyDescent="0.2">
      <c r="A153" s="2118"/>
      <c r="C153" s="2091"/>
      <c r="F153" s="2091"/>
      <c r="G153" s="3363"/>
      <c r="H153" s="3363"/>
      <c r="I153" s="2742"/>
      <c r="J153" s="2742"/>
      <c r="K153" s="2584"/>
      <c r="L153" s="2584"/>
      <c r="M153" s="2584"/>
      <c r="N153" s="3225"/>
      <c r="O153" s="2742"/>
      <c r="P153" s="3227"/>
      <c r="Q153" s="3230"/>
      <c r="R153" s="2742"/>
      <c r="S153" s="2742"/>
      <c r="T153" s="2087" t="s">
        <v>1769</v>
      </c>
      <c r="U153" s="2422">
        <v>3730666</v>
      </c>
      <c r="V153" s="2421">
        <v>3730666</v>
      </c>
      <c r="W153" s="2421">
        <v>3730666</v>
      </c>
      <c r="X153" s="2057">
        <v>20</v>
      </c>
      <c r="Y153" s="2213" t="s">
        <v>975</v>
      </c>
      <c r="Z153" s="3370"/>
      <c r="AA153" s="3363"/>
      <c r="AB153" s="3363"/>
      <c r="AC153" s="3363"/>
      <c r="AD153" s="3363"/>
      <c r="AE153" s="3363"/>
      <c r="AF153" s="3363"/>
      <c r="AG153" s="3363"/>
      <c r="AH153" s="3363"/>
      <c r="AI153" s="3363"/>
      <c r="AJ153" s="3363"/>
      <c r="AK153" s="3363"/>
      <c r="AL153" s="3176"/>
      <c r="AM153" s="3176"/>
      <c r="AN153" s="3176"/>
      <c r="AO153" s="3176"/>
      <c r="AP153" s="3176"/>
      <c r="AQ153" s="3176"/>
      <c r="AR153" s="3176"/>
      <c r="AS153" s="3176"/>
      <c r="AT153" s="3176"/>
      <c r="AU153" s="3176"/>
      <c r="AV153" s="3176"/>
      <c r="AW153" s="3176"/>
      <c r="AX153" s="3176"/>
      <c r="AY153" s="3176"/>
      <c r="AZ153" s="3176"/>
      <c r="BA153" s="3176"/>
      <c r="BB153" s="3176"/>
      <c r="BC153" s="3176"/>
      <c r="BD153" s="3382"/>
      <c r="BE153" s="3363"/>
      <c r="BF153" s="2984"/>
      <c r="BG153" s="3373"/>
      <c r="BH153" s="3373"/>
      <c r="BI153" s="3376"/>
      <c r="BJ153" s="3198"/>
      <c r="BK153" s="3379"/>
      <c r="BL153" s="3172"/>
      <c r="BM153" s="3172"/>
      <c r="BN153" s="3172"/>
      <c r="BO153" s="3172"/>
      <c r="BP153" s="2742"/>
    </row>
    <row r="154" spans="1:68" s="366" customFormat="1" ht="50.25" customHeight="1" x14ac:dyDescent="0.2">
      <c r="A154" s="2118"/>
      <c r="C154" s="2091"/>
      <c r="F154" s="2091"/>
      <c r="G154" s="3363"/>
      <c r="H154" s="3363"/>
      <c r="I154" s="2742"/>
      <c r="J154" s="2742"/>
      <c r="K154" s="2584"/>
      <c r="L154" s="2584"/>
      <c r="M154" s="2584"/>
      <c r="N154" s="3225"/>
      <c r="O154" s="2742"/>
      <c r="P154" s="3227"/>
      <c r="Q154" s="3230"/>
      <c r="R154" s="2742"/>
      <c r="S154" s="2742"/>
      <c r="T154" s="3253" t="s">
        <v>1770</v>
      </c>
      <c r="U154" s="2422">
        <f>0+35000000</f>
        <v>35000000</v>
      </c>
      <c r="V154" s="2421">
        <f>12000000+8066666</f>
        <v>20066666</v>
      </c>
      <c r="W154" s="2421">
        <f>12000000+8066666</f>
        <v>20066666</v>
      </c>
      <c r="X154" s="2057">
        <v>88</v>
      </c>
      <c r="Y154" s="2213" t="s">
        <v>411</v>
      </c>
      <c r="Z154" s="3370"/>
      <c r="AA154" s="3363"/>
      <c r="AB154" s="3363"/>
      <c r="AC154" s="3363"/>
      <c r="AD154" s="3363"/>
      <c r="AE154" s="3363"/>
      <c r="AF154" s="3363"/>
      <c r="AG154" s="3363"/>
      <c r="AH154" s="3363"/>
      <c r="AI154" s="3363"/>
      <c r="AJ154" s="3363"/>
      <c r="AK154" s="3363"/>
      <c r="AL154" s="3176"/>
      <c r="AM154" s="3176"/>
      <c r="AN154" s="3176"/>
      <c r="AO154" s="3176"/>
      <c r="AP154" s="3176"/>
      <c r="AQ154" s="3176"/>
      <c r="AR154" s="3176"/>
      <c r="AS154" s="3176"/>
      <c r="AT154" s="3176"/>
      <c r="AU154" s="3176"/>
      <c r="AV154" s="3176"/>
      <c r="AW154" s="3176"/>
      <c r="AX154" s="3176"/>
      <c r="AY154" s="3176"/>
      <c r="AZ154" s="3176"/>
      <c r="BA154" s="3176"/>
      <c r="BB154" s="3176"/>
      <c r="BC154" s="3176"/>
      <c r="BD154" s="3382"/>
      <c r="BE154" s="3363"/>
      <c r="BF154" s="2984"/>
      <c r="BG154" s="3373"/>
      <c r="BH154" s="3373"/>
      <c r="BI154" s="3376"/>
      <c r="BJ154" s="3198"/>
      <c r="BK154" s="3379"/>
      <c r="BL154" s="3172"/>
      <c r="BM154" s="3172"/>
      <c r="BN154" s="3172"/>
      <c r="BO154" s="3172"/>
      <c r="BP154" s="2742"/>
    </row>
    <row r="155" spans="1:68" s="366" customFormat="1" ht="75.75" customHeight="1" x14ac:dyDescent="0.2">
      <c r="A155" s="2118"/>
      <c r="C155" s="2091"/>
      <c r="F155" s="2091"/>
      <c r="G155" s="3363"/>
      <c r="H155" s="3363"/>
      <c r="I155" s="2742"/>
      <c r="J155" s="2742"/>
      <c r="K155" s="2584"/>
      <c r="L155" s="2584"/>
      <c r="M155" s="2584"/>
      <c r="N155" s="3225"/>
      <c r="O155" s="2742"/>
      <c r="P155" s="3227"/>
      <c r="Q155" s="3230"/>
      <c r="R155" s="2742"/>
      <c r="S155" s="2742"/>
      <c r="T155" s="3254"/>
      <c r="U155" s="2422">
        <v>2000000</v>
      </c>
      <c r="V155" s="2421">
        <v>2000000</v>
      </c>
      <c r="W155" s="2421">
        <v>2000000</v>
      </c>
      <c r="X155" s="2057">
        <v>20</v>
      </c>
      <c r="Y155" s="2213" t="s">
        <v>975</v>
      </c>
      <c r="Z155" s="3370"/>
      <c r="AA155" s="3363"/>
      <c r="AB155" s="3363"/>
      <c r="AC155" s="3363"/>
      <c r="AD155" s="3363"/>
      <c r="AE155" s="3363"/>
      <c r="AF155" s="3363"/>
      <c r="AG155" s="3363"/>
      <c r="AH155" s="3363"/>
      <c r="AI155" s="3363"/>
      <c r="AJ155" s="3363"/>
      <c r="AK155" s="3363"/>
      <c r="AL155" s="3176"/>
      <c r="AM155" s="3176"/>
      <c r="AN155" s="3176"/>
      <c r="AO155" s="3176"/>
      <c r="AP155" s="3176"/>
      <c r="AQ155" s="3176"/>
      <c r="AR155" s="3176"/>
      <c r="AS155" s="3176"/>
      <c r="AT155" s="3176"/>
      <c r="AU155" s="3176"/>
      <c r="AV155" s="3176"/>
      <c r="AW155" s="3176"/>
      <c r="AX155" s="3176"/>
      <c r="AY155" s="3176"/>
      <c r="AZ155" s="3176"/>
      <c r="BA155" s="3176"/>
      <c r="BB155" s="3176"/>
      <c r="BC155" s="3176"/>
      <c r="BD155" s="3382"/>
      <c r="BE155" s="3363"/>
      <c r="BF155" s="2984"/>
      <c r="BG155" s="3373"/>
      <c r="BH155" s="3373"/>
      <c r="BI155" s="3376"/>
      <c r="BJ155" s="3198"/>
      <c r="BK155" s="3379"/>
      <c r="BL155" s="3172"/>
      <c r="BM155" s="3172"/>
      <c r="BN155" s="3172"/>
      <c r="BO155" s="3172"/>
      <c r="BP155" s="2742"/>
    </row>
    <row r="156" spans="1:68" s="366" customFormat="1" ht="78.75" customHeight="1" x14ac:dyDescent="0.2">
      <c r="A156" s="2118"/>
      <c r="C156" s="2091"/>
      <c r="F156" s="2091"/>
      <c r="G156" s="3364"/>
      <c r="H156" s="3364"/>
      <c r="I156" s="2743"/>
      <c r="J156" s="2743"/>
      <c r="K156" s="2720"/>
      <c r="L156" s="2720"/>
      <c r="M156" s="2584"/>
      <c r="N156" s="3225"/>
      <c r="O156" s="2742"/>
      <c r="P156" s="3228"/>
      <c r="Q156" s="3230"/>
      <c r="R156" s="2742"/>
      <c r="S156" s="2742"/>
      <c r="T156" s="2087" t="s">
        <v>1771</v>
      </c>
      <c r="U156" s="2426">
        <v>0</v>
      </c>
      <c r="V156" s="2421"/>
      <c r="W156" s="2421"/>
      <c r="X156" s="2100"/>
      <c r="Y156" s="2246"/>
      <c r="Z156" s="3370"/>
      <c r="AA156" s="3363"/>
      <c r="AB156" s="3363"/>
      <c r="AC156" s="3363"/>
      <c r="AD156" s="3363"/>
      <c r="AE156" s="3363"/>
      <c r="AF156" s="3363"/>
      <c r="AG156" s="3363"/>
      <c r="AH156" s="3363"/>
      <c r="AI156" s="3363"/>
      <c r="AJ156" s="3363"/>
      <c r="AK156" s="3363"/>
      <c r="AL156" s="3176"/>
      <c r="AM156" s="3176"/>
      <c r="AN156" s="3176"/>
      <c r="AO156" s="3176"/>
      <c r="AP156" s="3176"/>
      <c r="AQ156" s="3176"/>
      <c r="AR156" s="3176"/>
      <c r="AS156" s="3176"/>
      <c r="AT156" s="3176"/>
      <c r="AU156" s="3176"/>
      <c r="AV156" s="3176"/>
      <c r="AW156" s="3176"/>
      <c r="AX156" s="3176"/>
      <c r="AY156" s="3176"/>
      <c r="AZ156" s="3176"/>
      <c r="BA156" s="3176"/>
      <c r="BB156" s="3176"/>
      <c r="BC156" s="3176"/>
      <c r="BD156" s="3382"/>
      <c r="BE156" s="3363"/>
      <c r="BF156" s="2984"/>
      <c r="BG156" s="3373"/>
      <c r="BH156" s="3373"/>
      <c r="BI156" s="3376"/>
      <c r="BJ156" s="3198"/>
      <c r="BK156" s="3379"/>
      <c r="BL156" s="3172"/>
      <c r="BM156" s="3172"/>
      <c r="BN156" s="3172"/>
      <c r="BO156" s="3172"/>
      <c r="BP156" s="2742"/>
    </row>
    <row r="157" spans="1:68" s="366" customFormat="1" ht="50.25" customHeight="1" x14ac:dyDescent="0.2">
      <c r="A157" s="2118"/>
      <c r="C157" s="2091"/>
      <c r="F157" s="2091"/>
      <c r="G157" s="2583" t="s">
        <v>603</v>
      </c>
      <c r="H157" s="2583" t="s">
        <v>1772</v>
      </c>
      <c r="I157" s="2741" t="s">
        <v>1773</v>
      </c>
      <c r="J157" s="2741" t="s">
        <v>1774</v>
      </c>
      <c r="K157" s="2583">
        <v>1</v>
      </c>
      <c r="L157" s="2583">
        <v>0.8</v>
      </c>
      <c r="M157" s="2584"/>
      <c r="N157" s="3225"/>
      <c r="O157" s="2742"/>
      <c r="P157" s="3385">
        <f>SUM(U157:U161)/Q146</f>
        <v>0.3561591782011615</v>
      </c>
      <c r="Q157" s="3230"/>
      <c r="R157" s="2742"/>
      <c r="S157" s="2742"/>
      <c r="T157" s="2087" t="s">
        <v>1775</v>
      </c>
      <c r="U157" s="2422">
        <v>20000000</v>
      </c>
      <c r="V157" s="2421">
        <v>9193334</v>
      </c>
      <c r="W157" s="2421">
        <v>9193334</v>
      </c>
      <c r="X157" s="2057">
        <v>88</v>
      </c>
      <c r="Y157" s="2213" t="s">
        <v>411</v>
      </c>
      <c r="Z157" s="3370"/>
      <c r="AA157" s="3363"/>
      <c r="AB157" s="3363"/>
      <c r="AC157" s="3363"/>
      <c r="AD157" s="3363"/>
      <c r="AE157" s="3363"/>
      <c r="AF157" s="3363"/>
      <c r="AG157" s="3363"/>
      <c r="AH157" s="3363"/>
      <c r="AI157" s="3363"/>
      <c r="AJ157" s="3363"/>
      <c r="AK157" s="3363"/>
      <c r="AL157" s="3176"/>
      <c r="AM157" s="3176"/>
      <c r="AN157" s="3176"/>
      <c r="AO157" s="3176"/>
      <c r="AP157" s="3176"/>
      <c r="AQ157" s="3176"/>
      <c r="AR157" s="3176"/>
      <c r="AS157" s="3176"/>
      <c r="AT157" s="3176"/>
      <c r="AU157" s="3176"/>
      <c r="AV157" s="3176"/>
      <c r="AW157" s="3176"/>
      <c r="AX157" s="3176"/>
      <c r="AY157" s="3176"/>
      <c r="AZ157" s="3176"/>
      <c r="BA157" s="3176"/>
      <c r="BB157" s="3176"/>
      <c r="BC157" s="3176"/>
      <c r="BD157" s="3382"/>
      <c r="BE157" s="3363"/>
      <c r="BF157" s="2984"/>
      <c r="BG157" s="3373"/>
      <c r="BH157" s="3373"/>
      <c r="BI157" s="3376"/>
      <c r="BJ157" s="3198"/>
      <c r="BK157" s="3379"/>
      <c r="BL157" s="3172"/>
      <c r="BM157" s="3172"/>
      <c r="BN157" s="3172"/>
      <c r="BO157" s="3172"/>
      <c r="BP157" s="2742"/>
    </row>
    <row r="158" spans="1:68" s="366" customFormat="1" ht="66.75" customHeight="1" x14ac:dyDescent="0.2">
      <c r="A158" s="2118"/>
      <c r="C158" s="2091"/>
      <c r="F158" s="2091"/>
      <c r="G158" s="2584"/>
      <c r="H158" s="2584"/>
      <c r="I158" s="2742"/>
      <c r="J158" s="2742"/>
      <c r="K158" s="2584"/>
      <c r="L158" s="2584"/>
      <c r="M158" s="2584"/>
      <c r="N158" s="3225"/>
      <c r="O158" s="2742"/>
      <c r="P158" s="3386"/>
      <c r="Q158" s="3230"/>
      <c r="R158" s="2742"/>
      <c r="S158" s="2742"/>
      <c r="T158" s="2087" t="s">
        <v>1776</v>
      </c>
      <c r="U158" s="2422">
        <f>45000000-35000000</f>
        <v>10000000</v>
      </c>
      <c r="V158" s="2421">
        <f>5460000</f>
        <v>5460000</v>
      </c>
      <c r="W158" s="2421">
        <f>5460000</f>
        <v>5460000</v>
      </c>
      <c r="X158" s="2057">
        <v>88</v>
      </c>
      <c r="Y158" s="2213" t="s">
        <v>411</v>
      </c>
      <c r="Z158" s="3370"/>
      <c r="AA158" s="3363"/>
      <c r="AB158" s="3363"/>
      <c r="AC158" s="3363"/>
      <c r="AD158" s="3363"/>
      <c r="AE158" s="3363"/>
      <c r="AF158" s="3363"/>
      <c r="AG158" s="3363"/>
      <c r="AH158" s="3363"/>
      <c r="AI158" s="3363"/>
      <c r="AJ158" s="3363"/>
      <c r="AK158" s="3363"/>
      <c r="AL158" s="3176"/>
      <c r="AM158" s="3176"/>
      <c r="AN158" s="3176"/>
      <c r="AO158" s="3176"/>
      <c r="AP158" s="3176"/>
      <c r="AQ158" s="3176"/>
      <c r="AR158" s="3176"/>
      <c r="AS158" s="3176"/>
      <c r="AT158" s="3176"/>
      <c r="AU158" s="3176"/>
      <c r="AV158" s="3176"/>
      <c r="AW158" s="3176"/>
      <c r="AX158" s="3176"/>
      <c r="AY158" s="3176"/>
      <c r="AZ158" s="3176"/>
      <c r="BA158" s="3176"/>
      <c r="BB158" s="3176"/>
      <c r="BC158" s="3176"/>
      <c r="BD158" s="3382"/>
      <c r="BE158" s="3363"/>
      <c r="BF158" s="2984"/>
      <c r="BG158" s="3373"/>
      <c r="BH158" s="3373"/>
      <c r="BI158" s="3376"/>
      <c r="BJ158" s="3198"/>
      <c r="BK158" s="3379"/>
      <c r="BL158" s="3172"/>
      <c r="BM158" s="3172"/>
      <c r="BN158" s="3172"/>
      <c r="BO158" s="3172"/>
      <c r="BP158" s="2742"/>
    </row>
    <row r="159" spans="1:68" s="366" customFormat="1" ht="50.25" customHeight="1" x14ac:dyDescent="0.2">
      <c r="A159" s="2118"/>
      <c r="C159" s="2091"/>
      <c r="F159" s="2091"/>
      <c r="G159" s="2584"/>
      <c r="H159" s="2584"/>
      <c r="I159" s="2742"/>
      <c r="J159" s="2742"/>
      <c r="K159" s="2584"/>
      <c r="L159" s="2584"/>
      <c r="M159" s="2584"/>
      <c r="N159" s="3225"/>
      <c r="O159" s="2742"/>
      <c r="P159" s="3386"/>
      <c r="Q159" s="3230"/>
      <c r="R159" s="2742"/>
      <c r="S159" s="2742"/>
      <c r="T159" s="2087" t="s">
        <v>1777</v>
      </c>
      <c r="U159" s="2422">
        <v>5000000</v>
      </c>
      <c r="V159" s="2421">
        <v>5000000</v>
      </c>
      <c r="W159" s="2421">
        <v>5000000</v>
      </c>
      <c r="X159" s="2057">
        <v>88</v>
      </c>
      <c r="Y159" s="2213" t="s">
        <v>411</v>
      </c>
      <c r="Z159" s="3370"/>
      <c r="AA159" s="3363"/>
      <c r="AB159" s="3363"/>
      <c r="AC159" s="3363"/>
      <c r="AD159" s="3363"/>
      <c r="AE159" s="3363"/>
      <c r="AF159" s="3363"/>
      <c r="AG159" s="3363"/>
      <c r="AH159" s="3363"/>
      <c r="AI159" s="3363"/>
      <c r="AJ159" s="3363"/>
      <c r="AK159" s="3363"/>
      <c r="AL159" s="3176"/>
      <c r="AM159" s="3176"/>
      <c r="AN159" s="3176"/>
      <c r="AO159" s="3176"/>
      <c r="AP159" s="3176"/>
      <c r="AQ159" s="3176"/>
      <c r="AR159" s="3176"/>
      <c r="AS159" s="3176"/>
      <c r="AT159" s="3176"/>
      <c r="AU159" s="3176"/>
      <c r="AV159" s="3176"/>
      <c r="AW159" s="3176"/>
      <c r="AX159" s="3176"/>
      <c r="AY159" s="3176"/>
      <c r="AZ159" s="3176"/>
      <c r="BA159" s="3176"/>
      <c r="BB159" s="3176"/>
      <c r="BC159" s="3176"/>
      <c r="BD159" s="3382"/>
      <c r="BE159" s="3363"/>
      <c r="BF159" s="2984"/>
      <c r="BG159" s="3373"/>
      <c r="BH159" s="3373"/>
      <c r="BI159" s="3376"/>
      <c r="BJ159" s="3198"/>
      <c r="BK159" s="3379"/>
      <c r="BL159" s="3172"/>
      <c r="BM159" s="3172"/>
      <c r="BN159" s="3172"/>
      <c r="BO159" s="3172"/>
      <c r="BP159" s="2742"/>
    </row>
    <row r="160" spans="1:68" s="366" customFormat="1" ht="50.25" customHeight="1" x14ac:dyDescent="0.2">
      <c r="A160" s="2118"/>
      <c r="C160" s="2091"/>
      <c r="F160" s="2091"/>
      <c r="G160" s="2584"/>
      <c r="H160" s="2584"/>
      <c r="I160" s="2742"/>
      <c r="J160" s="2742"/>
      <c r="K160" s="2584"/>
      <c r="L160" s="2584"/>
      <c r="M160" s="2584"/>
      <c r="N160" s="3225"/>
      <c r="O160" s="2742"/>
      <c r="P160" s="3386"/>
      <c r="Q160" s="3230"/>
      <c r="R160" s="2742"/>
      <c r="S160" s="2742"/>
      <c r="T160" s="2087" t="s">
        <v>1778</v>
      </c>
      <c r="U160" s="2426">
        <v>0</v>
      </c>
      <c r="V160" s="2421"/>
      <c r="W160" s="2421"/>
      <c r="X160" s="2057"/>
      <c r="Y160" s="2213"/>
      <c r="Z160" s="3370"/>
      <c r="AA160" s="3363"/>
      <c r="AB160" s="3363"/>
      <c r="AC160" s="3363"/>
      <c r="AD160" s="3363"/>
      <c r="AE160" s="3363"/>
      <c r="AF160" s="3363"/>
      <c r="AG160" s="3363"/>
      <c r="AH160" s="3363"/>
      <c r="AI160" s="3363"/>
      <c r="AJ160" s="3363"/>
      <c r="AK160" s="3363"/>
      <c r="AL160" s="3176"/>
      <c r="AM160" s="3176"/>
      <c r="AN160" s="3176"/>
      <c r="AO160" s="3176"/>
      <c r="AP160" s="3176"/>
      <c r="AQ160" s="3176"/>
      <c r="AR160" s="3176"/>
      <c r="AS160" s="3176"/>
      <c r="AT160" s="3176"/>
      <c r="AU160" s="3176"/>
      <c r="AV160" s="3176"/>
      <c r="AW160" s="3176"/>
      <c r="AX160" s="3176"/>
      <c r="AY160" s="3176"/>
      <c r="AZ160" s="3176"/>
      <c r="BA160" s="3176"/>
      <c r="BB160" s="3176"/>
      <c r="BC160" s="3176"/>
      <c r="BD160" s="3382"/>
      <c r="BE160" s="3363"/>
      <c r="BF160" s="2984"/>
      <c r="BG160" s="3373"/>
      <c r="BH160" s="3373"/>
      <c r="BI160" s="3376"/>
      <c r="BJ160" s="3198"/>
      <c r="BK160" s="3379"/>
      <c r="BL160" s="3172"/>
      <c r="BM160" s="3172"/>
      <c r="BN160" s="3172"/>
      <c r="BO160" s="3172"/>
      <c r="BP160" s="2742"/>
    </row>
    <row r="161" spans="1:68" s="366" customFormat="1" ht="50.25" customHeight="1" x14ac:dyDescent="0.2">
      <c r="A161" s="2118"/>
      <c r="C161" s="2091"/>
      <c r="F161" s="2091"/>
      <c r="G161" s="2720"/>
      <c r="H161" s="2584"/>
      <c r="I161" s="2743"/>
      <c r="J161" s="2743"/>
      <c r="K161" s="3349"/>
      <c r="L161" s="3349"/>
      <c r="M161" s="2584"/>
      <c r="N161" s="3384"/>
      <c r="O161" s="2743"/>
      <c r="P161" s="3387"/>
      <c r="Q161" s="3231"/>
      <c r="R161" s="2743"/>
      <c r="S161" s="2743"/>
      <c r="T161" s="2087" t="s">
        <v>1779</v>
      </c>
      <c r="U161" s="2426">
        <v>0</v>
      </c>
      <c r="V161" s="2421"/>
      <c r="W161" s="2421"/>
      <c r="X161" s="2148"/>
      <c r="Y161" s="2213"/>
      <c r="Z161" s="3371"/>
      <c r="AA161" s="3364"/>
      <c r="AB161" s="3364"/>
      <c r="AC161" s="3364"/>
      <c r="AD161" s="3364"/>
      <c r="AE161" s="3364"/>
      <c r="AF161" s="3364"/>
      <c r="AG161" s="3364"/>
      <c r="AH161" s="3364"/>
      <c r="AI161" s="3364"/>
      <c r="AJ161" s="3364"/>
      <c r="AK161" s="3364"/>
      <c r="AL161" s="3365"/>
      <c r="AM161" s="3365"/>
      <c r="AN161" s="3365"/>
      <c r="AO161" s="3365"/>
      <c r="AP161" s="3365"/>
      <c r="AQ161" s="3365"/>
      <c r="AR161" s="3365"/>
      <c r="AS161" s="3365"/>
      <c r="AT161" s="3365"/>
      <c r="AU161" s="3365"/>
      <c r="AV161" s="3365"/>
      <c r="AW161" s="3365"/>
      <c r="AX161" s="3365"/>
      <c r="AY161" s="3365"/>
      <c r="AZ161" s="3365"/>
      <c r="BA161" s="3365"/>
      <c r="BB161" s="3365"/>
      <c r="BC161" s="3365"/>
      <c r="BD161" s="3383"/>
      <c r="BE161" s="3364"/>
      <c r="BF161" s="2984"/>
      <c r="BG161" s="3374"/>
      <c r="BH161" s="3374"/>
      <c r="BI161" s="3377"/>
      <c r="BJ161" s="3327"/>
      <c r="BK161" s="3380"/>
      <c r="BL161" s="3337"/>
      <c r="BM161" s="3337"/>
      <c r="BN161" s="3337"/>
      <c r="BO161" s="3337"/>
      <c r="BP161" s="2743"/>
    </row>
    <row r="162" spans="1:68" s="366" customFormat="1" ht="50.25" customHeight="1" x14ac:dyDescent="0.2">
      <c r="A162" s="2118"/>
      <c r="C162" s="2091"/>
      <c r="F162" s="2091"/>
      <c r="G162" s="2748" t="s">
        <v>603</v>
      </c>
      <c r="H162" s="2626" t="s">
        <v>1780</v>
      </c>
      <c r="I162" s="3366" t="s">
        <v>1781</v>
      </c>
      <c r="J162" s="3345" t="s">
        <v>1782</v>
      </c>
      <c r="K162" s="3188">
        <v>12</v>
      </c>
      <c r="L162" s="3167">
        <v>12</v>
      </c>
      <c r="M162" s="2626" t="s">
        <v>1783</v>
      </c>
      <c r="N162" s="3395" t="s">
        <v>1784</v>
      </c>
      <c r="O162" s="2741" t="s">
        <v>1785</v>
      </c>
      <c r="P162" s="3385">
        <f>SUM(U162:U167)/Q162</f>
        <v>0.66555183946488294</v>
      </c>
      <c r="Q162" s="3229">
        <f>SUM(U162:U168)</f>
        <v>29900000</v>
      </c>
      <c r="R162" s="2741" t="s">
        <v>1786</v>
      </c>
      <c r="S162" s="3345" t="s">
        <v>1787</v>
      </c>
      <c r="T162" s="3403" t="s">
        <v>1788</v>
      </c>
      <c r="U162" s="2422">
        <v>11900000</v>
      </c>
      <c r="V162" s="2421">
        <v>11900000</v>
      </c>
      <c r="W162" s="2421">
        <v>11900000</v>
      </c>
      <c r="X162" s="2097">
        <v>20</v>
      </c>
      <c r="Y162" s="2252" t="s">
        <v>975</v>
      </c>
      <c r="Z162" s="2583">
        <v>2290</v>
      </c>
      <c r="AA162" s="2583">
        <v>762</v>
      </c>
      <c r="AB162" s="2583">
        <v>2210</v>
      </c>
      <c r="AC162" s="2583">
        <v>360</v>
      </c>
      <c r="AD162" s="2583">
        <v>0</v>
      </c>
      <c r="AE162" s="2583"/>
      <c r="AF162" s="2583">
        <v>0</v>
      </c>
      <c r="AG162" s="2583"/>
      <c r="AH162" s="2583">
        <v>4500</v>
      </c>
      <c r="AI162" s="2583">
        <v>1122</v>
      </c>
      <c r="AJ162" s="2583">
        <v>0</v>
      </c>
      <c r="AK162" s="2583"/>
      <c r="AL162" s="2583">
        <v>0</v>
      </c>
      <c r="AM162" s="2583"/>
      <c r="AN162" s="2583">
        <v>0</v>
      </c>
      <c r="AO162" s="2583"/>
      <c r="AP162" s="2583">
        <v>0</v>
      </c>
      <c r="AQ162" s="2583"/>
      <c r="AR162" s="2583">
        <v>0</v>
      </c>
      <c r="AS162" s="2583"/>
      <c r="AT162" s="2583">
        <v>0</v>
      </c>
      <c r="AU162" s="2583"/>
      <c r="AV162" s="2583">
        <v>0</v>
      </c>
      <c r="AW162" s="2583"/>
      <c r="AX162" s="2583">
        <v>0</v>
      </c>
      <c r="AY162" s="2583"/>
      <c r="AZ162" s="2583">
        <v>0</v>
      </c>
      <c r="BA162" s="2583"/>
      <c r="BB162" s="2583">
        <v>0</v>
      </c>
      <c r="BC162" s="2583"/>
      <c r="BD162" s="2583">
        <f>Z162+AB162</f>
        <v>4500</v>
      </c>
      <c r="BE162" s="2583">
        <f>AA162+AC162</f>
        <v>1122</v>
      </c>
      <c r="BF162" s="2583">
        <v>4</v>
      </c>
      <c r="BG162" s="3372">
        <f>SUM(V162:V168)</f>
        <v>25416599</v>
      </c>
      <c r="BH162" s="3372">
        <f>SUM(W162:W168)</f>
        <v>25416599</v>
      </c>
      <c r="BI162" s="3391">
        <f>+BH162/BG162</f>
        <v>1</v>
      </c>
      <c r="BJ162" s="3183" t="s">
        <v>301</v>
      </c>
      <c r="BK162" s="2741" t="s">
        <v>1687</v>
      </c>
      <c r="BL162" s="3171">
        <v>44061</v>
      </c>
      <c r="BM162" s="3171">
        <v>44186</v>
      </c>
      <c r="BN162" s="3171">
        <v>44195</v>
      </c>
      <c r="BO162" s="3171">
        <v>44195</v>
      </c>
      <c r="BP162" s="2741" t="s">
        <v>1585</v>
      </c>
    </row>
    <row r="163" spans="1:68" s="366" customFormat="1" ht="32.25" customHeight="1" x14ac:dyDescent="0.2">
      <c r="A163" s="2118"/>
      <c r="C163" s="2091"/>
      <c r="F163" s="2091"/>
      <c r="G163" s="2749"/>
      <c r="H163" s="2626"/>
      <c r="I163" s="3367"/>
      <c r="J163" s="3346"/>
      <c r="K163" s="3188"/>
      <c r="L163" s="3019"/>
      <c r="M163" s="2626"/>
      <c r="N163" s="3396"/>
      <c r="O163" s="2742"/>
      <c r="P163" s="3386"/>
      <c r="Q163" s="3230"/>
      <c r="R163" s="2742"/>
      <c r="S163" s="3346"/>
      <c r="T163" s="3403"/>
      <c r="U163" s="2422">
        <v>2000000</v>
      </c>
      <c r="V163" s="2421">
        <v>1260000</v>
      </c>
      <c r="W163" s="2421">
        <v>1260000</v>
      </c>
      <c r="X163" s="2057">
        <v>88</v>
      </c>
      <c r="Y163" s="2213" t="s">
        <v>411</v>
      </c>
      <c r="Z163" s="2584"/>
      <c r="AA163" s="2584"/>
      <c r="AB163" s="2584"/>
      <c r="AC163" s="2584"/>
      <c r="AD163" s="2584"/>
      <c r="AE163" s="2584"/>
      <c r="AF163" s="2584"/>
      <c r="AG163" s="2584"/>
      <c r="AH163" s="2584"/>
      <c r="AI163" s="2584"/>
      <c r="AJ163" s="2584"/>
      <c r="AK163" s="2584"/>
      <c r="AL163" s="2584"/>
      <c r="AM163" s="2584"/>
      <c r="AN163" s="2584"/>
      <c r="AO163" s="2584"/>
      <c r="AP163" s="2584"/>
      <c r="AQ163" s="2584"/>
      <c r="AR163" s="2584"/>
      <c r="AS163" s="2584"/>
      <c r="AT163" s="2584"/>
      <c r="AU163" s="2584"/>
      <c r="AV163" s="2584"/>
      <c r="AW163" s="2584"/>
      <c r="AX163" s="2584"/>
      <c r="AY163" s="2584"/>
      <c r="AZ163" s="2584"/>
      <c r="BA163" s="2584"/>
      <c r="BB163" s="2584"/>
      <c r="BC163" s="2584"/>
      <c r="BD163" s="2584"/>
      <c r="BE163" s="2584"/>
      <c r="BF163" s="2584"/>
      <c r="BG163" s="3373"/>
      <c r="BH163" s="3373"/>
      <c r="BI163" s="3392"/>
      <c r="BJ163" s="3176"/>
      <c r="BK163" s="2742"/>
      <c r="BL163" s="3172"/>
      <c r="BM163" s="3172"/>
      <c r="BN163" s="3172"/>
      <c r="BO163" s="3172"/>
      <c r="BP163" s="2742"/>
    </row>
    <row r="164" spans="1:68" s="366" customFormat="1" ht="51.75" customHeight="1" x14ac:dyDescent="0.2">
      <c r="A164" s="2118"/>
      <c r="C164" s="2091"/>
      <c r="F164" s="2091"/>
      <c r="G164" s="2749"/>
      <c r="H164" s="2626"/>
      <c r="I164" s="3367"/>
      <c r="J164" s="3346"/>
      <c r="K164" s="3188"/>
      <c r="L164" s="3019"/>
      <c r="M164" s="2626"/>
      <c r="N164" s="3396"/>
      <c r="O164" s="2742"/>
      <c r="P164" s="3386"/>
      <c r="Q164" s="3230"/>
      <c r="R164" s="2742"/>
      <c r="S164" s="3346"/>
      <c r="T164" s="2071" t="s">
        <v>1789</v>
      </c>
      <c r="U164" s="2422">
        <v>2000000</v>
      </c>
      <c r="V164" s="2421">
        <v>2000000</v>
      </c>
      <c r="W164" s="2421">
        <v>2000000</v>
      </c>
      <c r="X164" s="2057">
        <v>88</v>
      </c>
      <c r="Y164" s="2213" t="s">
        <v>411</v>
      </c>
      <c r="Z164" s="2584"/>
      <c r="AA164" s="2584"/>
      <c r="AB164" s="2584"/>
      <c r="AC164" s="2584"/>
      <c r="AD164" s="2584"/>
      <c r="AE164" s="2584"/>
      <c r="AF164" s="2584"/>
      <c r="AG164" s="2584"/>
      <c r="AH164" s="2584"/>
      <c r="AI164" s="2584"/>
      <c r="AJ164" s="2584"/>
      <c r="AK164" s="2584"/>
      <c r="AL164" s="2584"/>
      <c r="AM164" s="2584"/>
      <c r="AN164" s="2584"/>
      <c r="AO164" s="2584"/>
      <c r="AP164" s="2584"/>
      <c r="AQ164" s="2584"/>
      <c r="AR164" s="2584"/>
      <c r="AS164" s="2584"/>
      <c r="AT164" s="2584"/>
      <c r="AU164" s="2584"/>
      <c r="AV164" s="2584"/>
      <c r="AW164" s="2584"/>
      <c r="AX164" s="2584"/>
      <c r="AY164" s="2584"/>
      <c r="AZ164" s="2584"/>
      <c r="BA164" s="2584"/>
      <c r="BB164" s="2584"/>
      <c r="BC164" s="2584"/>
      <c r="BD164" s="2584"/>
      <c r="BE164" s="2584"/>
      <c r="BF164" s="2584"/>
      <c r="BG164" s="3373"/>
      <c r="BH164" s="3373"/>
      <c r="BI164" s="3392"/>
      <c r="BJ164" s="3176"/>
      <c r="BK164" s="2742"/>
      <c r="BL164" s="3172"/>
      <c r="BM164" s="3172"/>
      <c r="BN164" s="3172"/>
      <c r="BO164" s="3172"/>
      <c r="BP164" s="2742"/>
    </row>
    <row r="165" spans="1:68" s="366" customFormat="1" ht="38.25" customHeight="1" x14ac:dyDescent="0.2">
      <c r="A165" s="2118"/>
      <c r="C165" s="2091"/>
      <c r="F165" s="2091"/>
      <c r="G165" s="2749"/>
      <c r="H165" s="2626"/>
      <c r="I165" s="3367"/>
      <c r="J165" s="3346"/>
      <c r="K165" s="3188"/>
      <c r="L165" s="3019"/>
      <c r="M165" s="2626"/>
      <c r="N165" s="3396"/>
      <c r="O165" s="2742"/>
      <c r="P165" s="3386"/>
      <c r="Q165" s="3230"/>
      <c r="R165" s="2742"/>
      <c r="S165" s="3346"/>
      <c r="T165" s="2071" t="s">
        <v>1790</v>
      </c>
      <c r="U165" s="2422">
        <v>1000000</v>
      </c>
      <c r="V165" s="2421"/>
      <c r="W165" s="2421"/>
      <c r="X165" s="2057">
        <v>88</v>
      </c>
      <c r="Y165" s="2213" t="s">
        <v>411</v>
      </c>
      <c r="Z165" s="2584"/>
      <c r="AA165" s="2584"/>
      <c r="AB165" s="2584"/>
      <c r="AC165" s="2584"/>
      <c r="AD165" s="2584"/>
      <c r="AE165" s="2584"/>
      <c r="AF165" s="2584"/>
      <c r="AG165" s="2584"/>
      <c r="AH165" s="2584"/>
      <c r="AI165" s="2584"/>
      <c r="AJ165" s="2584"/>
      <c r="AK165" s="2584"/>
      <c r="AL165" s="2584"/>
      <c r="AM165" s="2584"/>
      <c r="AN165" s="2584"/>
      <c r="AO165" s="2584"/>
      <c r="AP165" s="2584"/>
      <c r="AQ165" s="2584"/>
      <c r="AR165" s="2584"/>
      <c r="AS165" s="2584"/>
      <c r="AT165" s="2584"/>
      <c r="AU165" s="2584"/>
      <c r="AV165" s="2584"/>
      <c r="AW165" s="2584"/>
      <c r="AX165" s="2584"/>
      <c r="AY165" s="2584"/>
      <c r="AZ165" s="2584"/>
      <c r="BA165" s="2584"/>
      <c r="BB165" s="2584"/>
      <c r="BC165" s="2584"/>
      <c r="BD165" s="2584"/>
      <c r="BE165" s="2584"/>
      <c r="BF165" s="2584"/>
      <c r="BG165" s="3373"/>
      <c r="BH165" s="3373"/>
      <c r="BI165" s="3392"/>
      <c r="BJ165" s="3176"/>
      <c r="BK165" s="2742"/>
      <c r="BL165" s="3172"/>
      <c r="BM165" s="3172"/>
      <c r="BN165" s="3172"/>
      <c r="BO165" s="3172"/>
      <c r="BP165" s="2742"/>
    </row>
    <row r="166" spans="1:68" s="366" customFormat="1" ht="57.75" customHeight="1" x14ac:dyDescent="0.2">
      <c r="A166" s="2118"/>
      <c r="C166" s="2091"/>
      <c r="F166" s="2091"/>
      <c r="G166" s="2749"/>
      <c r="H166" s="2626"/>
      <c r="I166" s="3367"/>
      <c r="J166" s="3346"/>
      <c r="K166" s="3188"/>
      <c r="L166" s="3019"/>
      <c r="M166" s="2626"/>
      <c r="N166" s="3396"/>
      <c r="O166" s="2742"/>
      <c r="P166" s="3386"/>
      <c r="Q166" s="3230"/>
      <c r="R166" s="2742"/>
      <c r="S166" s="3346"/>
      <c r="T166" s="2108" t="s">
        <v>1791</v>
      </c>
      <c r="U166" s="2422">
        <v>1000000</v>
      </c>
      <c r="V166" s="2421">
        <v>1133333</v>
      </c>
      <c r="W166" s="2421">
        <v>1133333</v>
      </c>
      <c r="X166" s="2057">
        <v>88</v>
      </c>
      <c r="Y166" s="2213" t="s">
        <v>411</v>
      </c>
      <c r="Z166" s="2584"/>
      <c r="AA166" s="2584"/>
      <c r="AB166" s="2584"/>
      <c r="AC166" s="2584"/>
      <c r="AD166" s="2584"/>
      <c r="AE166" s="2584"/>
      <c r="AF166" s="2584"/>
      <c r="AG166" s="2584"/>
      <c r="AH166" s="2584"/>
      <c r="AI166" s="2584"/>
      <c r="AJ166" s="2584"/>
      <c r="AK166" s="2584"/>
      <c r="AL166" s="2584"/>
      <c r="AM166" s="2584"/>
      <c r="AN166" s="2584"/>
      <c r="AO166" s="2584"/>
      <c r="AP166" s="2584"/>
      <c r="AQ166" s="2584"/>
      <c r="AR166" s="2584"/>
      <c r="AS166" s="2584"/>
      <c r="AT166" s="2584"/>
      <c r="AU166" s="2584"/>
      <c r="AV166" s="2584"/>
      <c r="AW166" s="2584"/>
      <c r="AX166" s="2584"/>
      <c r="AY166" s="2584"/>
      <c r="AZ166" s="2584"/>
      <c r="BA166" s="2584"/>
      <c r="BB166" s="2584"/>
      <c r="BC166" s="2584"/>
      <c r="BD166" s="2584"/>
      <c r="BE166" s="2584"/>
      <c r="BF166" s="2584"/>
      <c r="BG166" s="3373"/>
      <c r="BH166" s="3373"/>
      <c r="BI166" s="3392"/>
      <c r="BJ166" s="3176"/>
      <c r="BK166" s="2742"/>
      <c r="BL166" s="3172"/>
      <c r="BM166" s="3172"/>
      <c r="BN166" s="3172"/>
      <c r="BO166" s="3172"/>
      <c r="BP166" s="2742"/>
    </row>
    <row r="167" spans="1:68" s="366" customFormat="1" ht="63.75" customHeight="1" x14ac:dyDescent="0.2">
      <c r="A167" s="2118"/>
      <c r="C167" s="2091"/>
      <c r="F167" s="2091"/>
      <c r="G167" s="2750"/>
      <c r="H167" s="2626"/>
      <c r="I167" s="3368"/>
      <c r="J167" s="3347"/>
      <c r="K167" s="3188"/>
      <c r="L167" s="3168"/>
      <c r="M167" s="2626"/>
      <c r="N167" s="3396"/>
      <c r="O167" s="2742"/>
      <c r="P167" s="3387"/>
      <c r="Q167" s="3230"/>
      <c r="R167" s="2742"/>
      <c r="S167" s="3346"/>
      <c r="T167" s="2071" t="s">
        <v>1792</v>
      </c>
      <c r="U167" s="2422">
        <v>2000000</v>
      </c>
      <c r="V167" s="2421"/>
      <c r="W167" s="2421"/>
      <c r="X167" s="2057">
        <v>88</v>
      </c>
      <c r="Y167" s="2213" t="s">
        <v>411</v>
      </c>
      <c r="Z167" s="2584"/>
      <c r="AA167" s="2584"/>
      <c r="AB167" s="2584"/>
      <c r="AC167" s="2584"/>
      <c r="AD167" s="2584"/>
      <c r="AE167" s="2584"/>
      <c r="AF167" s="2584"/>
      <c r="AG167" s="2584"/>
      <c r="AH167" s="2584"/>
      <c r="AI167" s="2584"/>
      <c r="AJ167" s="2584"/>
      <c r="AK167" s="2584"/>
      <c r="AL167" s="2584"/>
      <c r="AM167" s="2584"/>
      <c r="AN167" s="2584"/>
      <c r="AO167" s="2584"/>
      <c r="AP167" s="2584"/>
      <c r="AQ167" s="2584"/>
      <c r="AR167" s="2584"/>
      <c r="AS167" s="2584"/>
      <c r="AT167" s="2584"/>
      <c r="AU167" s="2584"/>
      <c r="AV167" s="2584"/>
      <c r="AW167" s="2584"/>
      <c r="AX167" s="2584"/>
      <c r="AY167" s="2584"/>
      <c r="AZ167" s="2584"/>
      <c r="BA167" s="2584"/>
      <c r="BB167" s="2584"/>
      <c r="BC167" s="2584"/>
      <c r="BD167" s="2584"/>
      <c r="BE167" s="2584"/>
      <c r="BF167" s="2584"/>
      <c r="BG167" s="3373"/>
      <c r="BH167" s="3373"/>
      <c r="BI167" s="3392"/>
      <c r="BJ167" s="3176"/>
      <c r="BK167" s="2742"/>
      <c r="BL167" s="3172"/>
      <c r="BM167" s="3172"/>
      <c r="BN167" s="3172"/>
      <c r="BO167" s="3172"/>
      <c r="BP167" s="2742"/>
    </row>
    <row r="168" spans="1:68" s="366" customFormat="1" ht="117.75" customHeight="1" x14ac:dyDescent="0.2">
      <c r="A168" s="2118"/>
      <c r="C168" s="2091"/>
      <c r="F168" s="2091"/>
      <c r="G168" s="1876" t="s">
        <v>603</v>
      </c>
      <c r="H168" s="1886" t="s">
        <v>1793</v>
      </c>
      <c r="I168" s="1883" t="s">
        <v>1794</v>
      </c>
      <c r="J168" s="1907" t="s">
        <v>1795</v>
      </c>
      <c r="K168" s="1884">
        <v>0.2</v>
      </c>
      <c r="L168" s="2149">
        <v>0.2</v>
      </c>
      <c r="M168" s="2626"/>
      <c r="N168" s="3397"/>
      <c r="O168" s="2743"/>
      <c r="P168" s="777">
        <f>(U168)/(Q162)</f>
        <v>0.33444816053511706</v>
      </c>
      <c r="Q168" s="3231"/>
      <c r="R168" s="2743"/>
      <c r="S168" s="2743"/>
      <c r="T168" s="2122" t="s">
        <v>1794</v>
      </c>
      <c r="U168" s="2422">
        <v>10000000</v>
      </c>
      <c r="V168" s="2438">
        <f>9986666-863400</f>
        <v>9123266</v>
      </c>
      <c r="W168" s="2438">
        <f>9986666-863400</f>
        <v>9123266</v>
      </c>
      <c r="X168" s="2100">
        <v>88</v>
      </c>
      <c r="Y168" s="2246" t="s">
        <v>411</v>
      </c>
      <c r="Z168" s="2584"/>
      <c r="AA168" s="2720"/>
      <c r="AB168" s="2720"/>
      <c r="AC168" s="2720"/>
      <c r="AD168" s="2720"/>
      <c r="AE168" s="2720"/>
      <c r="AF168" s="2720"/>
      <c r="AG168" s="2720"/>
      <c r="AH168" s="2720"/>
      <c r="AI168" s="2720"/>
      <c r="AJ168" s="2720"/>
      <c r="AK168" s="2720"/>
      <c r="AL168" s="2720"/>
      <c r="AM168" s="2720"/>
      <c r="AN168" s="2720"/>
      <c r="AO168" s="2720"/>
      <c r="AP168" s="2720"/>
      <c r="AQ168" s="2720"/>
      <c r="AR168" s="2720"/>
      <c r="AS168" s="2720"/>
      <c r="AT168" s="2720"/>
      <c r="AU168" s="2720"/>
      <c r="AV168" s="2720"/>
      <c r="AW168" s="2720"/>
      <c r="AX168" s="2720"/>
      <c r="AY168" s="2720"/>
      <c r="AZ168" s="2720"/>
      <c r="BA168" s="2720"/>
      <c r="BB168" s="2720"/>
      <c r="BC168" s="2720"/>
      <c r="BD168" s="2720"/>
      <c r="BE168" s="2720"/>
      <c r="BF168" s="2720"/>
      <c r="BG168" s="3374"/>
      <c r="BH168" s="3374"/>
      <c r="BI168" s="3393"/>
      <c r="BJ168" s="3394"/>
      <c r="BK168" s="2743"/>
      <c r="BL168" s="3337"/>
      <c r="BM168" s="3337"/>
      <c r="BN168" s="3337"/>
      <c r="BO168" s="3337"/>
      <c r="BP168" s="2743"/>
    </row>
    <row r="169" spans="1:68" s="366" customFormat="1" ht="45.75" customHeight="1" x14ac:dyDescent="0.2">
      <c r="A169" s="3389"/>
      <c r="B169" s="3262"/>
      <c r="C169" s="3263"/>
      <c r="D169" s="3261"/>
      <c r="E169" s="3262"/>
      <c r="F169" s="3263"/>
      <c r="G169" s="3232">
        <v>4502001</v>
      </c>
      <c r="H169" s="3404" t="s">
        <v>1760</v>
      </c>
      <c r="I169" s="2698" t="s">
        <v>996</v>
      </c>
      <c r="J169" s="2698" t="s">
        <v>1761</v>
      </c>
      <c r="K169" s="3407">
        <v>3</v>
      </c>
      <c r="L169" s="2583">
        <v>2</v>
      </c>
      <c r="M169" s="2794" t="s">
        <v>1796</v>
      </c>
      <c r="N169" s="2583" t="s">
        <v>1797</v>
      </c>
      <c r="O169" s="2741" t="s">
        <v>1798</v>
      </c>
      <c r="P169" s="3226">
        <f>SUM(U169:U174)/Q169</f>
        <v>1</v>
      </c>
      <c r="Q169" s="2762">
        <f>SUM(U169:U174)</f>
        <v>22000000</v>
      </c>
      <c r="R169" s="2741" t="s">
        <v>1786</v>
      </c>
      <c r="S169" s="2741" t="s">
        <v>1799</v>
      </c>
      <c r="T169" s="3255" t="s">
        <v>1800</v>
      </c>
      <c r="U169" s="2422">
        <v>12000000</v>
      </c>
      <c r="V169" s="2452">
        <v>10390000</v>
      </c>
      <c r="W169" s="2452">
        <v>10390000</v>
      </c>
      <c r="X169" s="2150">
        <v>88</v>
      </c>
      <c r="Y169" s="2213" t="s">
        <v>411</v>
      </c>
      <c r="Z169" s="3167">
        <v>357</v>
      </c>
      <c r="AA169" s="3398">
        <v>292</v>
      </c>
      <c r="AB169" s="3400">
        <v>343</v>
      </c>
      <c r="AC169" s="3224">
        <v>269</v>
      </c>
      <c r="AD169" s="3224">
        <v>0</v>
      </c>
      <c r="AE169" s="3224"/>
      <c r="AF169" s="3224">
        <v>0</v>
      </c>
      <c r="AG169" s="3224"/>
      <c r="AH169" s="3224">
        <v>700</v>
      </c>
      <c r="AI169" s="3224">
        <v>561</v>
      </c>
      <c r="AJ169" s="3224">
        <v>0</v>
      </c>
      <c r="AK169" s="3224"/>
      <c r="AL169" s="3224">
        <v>0</v>
      </c>
      <c r="AM169" s="3224"/>
      <c r="AN169" s="3224">
        <v>0</v>
      </c>
      <c r="AO169" s="3224"/>
      <c r="AP169" s="3224">
        <v>0</v>
      </c>
      <c r="AQ169" s="3224"/>
      <c r="AR169" s="3224">
        <v>0</v>
      </c>
      <c r="AS169" s="3224"/>
      <c r="AT169" s="3224">
        <v>0</v>
      </c>
      <c r="AU169" s="3224"/>
      <c r="AV169" s="3224">
        <v>0</v>
      </c>
      <c r="AW169" s="3224"/>
      <c r="AX169" s="3224">
        <v>0</v>
      </c>
      <c r="AY169" s="3224"/>
      <c r="AZ169" s="3224">
        <v>0</v>
      </c>
      <c r="BA169" s="3224"/>
      <c r="BB169" s="3224">
        <v>0</v>
      </c>
      <c r="BC169" s="3224"/>
      <c r="BD169" s="3224">
        <f>Z169+AB169</f>
        <v>700</v>
      </c>
      <c r="BE169" s="3224">
        <f>AA169+AC169</f>
        <v>561</v>
      </c>
      <c r="BF169" s="2583">
        <v>3</v>
      </c>
      <c r="BG169" s="3372">
        <f>SUM(V169:V174)</f>
        <v>14390000</v>
      </c>
      <c r="BH169" s="3372">
        <f>SUM(W169:W174)</f>
        <v>14390000</v>
      </c>
      <c r="BI169" s="3409">
        <f>+BH169/BG169</f>
        <v>1</v>
      </c>
      <c r="BJ169" s="3208" t="s">
        <v>301</v>
      </c>
      <c r="BK169" s="2741" t="s">
        <v>1687</v>
      </c>
      <c r="BL169" s="3171">
        <v>44061</v>
      </c>
      <c r="BM169" s="3171">
        <v>44186</v>
      </c>
      <c r="BN169" s="3171">
        <v>44195</v>
      </c>
      <c r="BO169" s="3171">
        <v>44195</v>
      </c>
      <c r="BP169" s="2583" t="s">
        <v>1585</v>
      </c>
    </row>
    <row r="170" spans="1:68" s="366" customFormat="1" ht="45.75" customHeight="1" x14ac:dyDescent="0.2">
      <c r="A170" s="3389"/>
      <c r="B170" s="3262"/>
      <c r="C170" s="3263"/>
      <c r="D170" s="3261"/>
      <c r="E170" s="3262"/>
      <c r="F170" s="3263"/>
      <c r="G170" s="3233"/>
      <c r="H170" s="3405"/>
      <c r="I170" s="2698"/>
      <c r="J170" s="2698"/>
      <c r="K170" s="3407"/>
      <c r="L170" s="2584"/>
      <c r="M170" s="2794"/>
      <c r="N170" s="2584"/>
      <c r="O170" s="2742"/>
      <c r="P170" s="3227"/>
      <c r="Q170" s="2763"/>
      <c r="R170" s="2742"/>
      <c r="S170" s="2742"/>
      <c r="T170" s="3256"/>
      <c r="U170" s="2422">
        <v>4000000</v>
      </c>
      <c r="V170" s="2452">
        <v>4000000</v>
      </c>
      <c r="W170" s="2452">
        <v>4000000</v>
      </c>
      <c r="X170" s="2150">
        <v>20</v>
      </c>
      <c r="Y170" s="2213" t="s">
        <v>1801</v>
      </c>
      <c r="Z170" s="3019"/>
      <c r="AA170" s="3399"/>
      <c r="AB170" s="3401"/>
      <c r="AC170" s="3225"/>
      <c r="AD170" s="3225"/>
      <c r="AE170" s="3225"/>
      <c r="AF170" s="3225"/>
      <c r="AG170" s="3225"/>
      <c r="AH170" s="3225"/>
      <c r="AI170" s="3225"/>
      <c r="AJ170" s="3225"/>
      <c r="AK170" s="3225"/>
      <c r="AL170" s="3225"/>
      <c r="AM170" s="3225"/>
      <c r="AN170" s="3225"/>
      <c r="AO170" s="3225"/>
      <c r="AP170" s="3225"/>
      <c r="AQ170" s="3225"/>
      <c r="AR170" s="3225"/>
      <c r="AS170" s="3225"/>
      <c r="AT170" s="3225"/>
      <c r="AU170" s="3225"/>
      <c r="AV170" s="3225"/>
      <c r="AW170" s="3225"/>
      <c r="AX170" s="3225"/>
      <c r="AY170" s="3225"/>
      <c r="AZ170" s="3225"/>
      <c r="BA170" s="3225"/>
      <c r="BB170" s="3225"/>
      <c r="BC170" s="3225"/>
      <c r="BD170" s="3225"/>
      <c r="BE170" s="3225"/>
      <c r="BF170" s="2584"/>
      <c r="BG170" s="3373"/>
      <c r="BH170" s="3373"/>
      <c r="BI170" s="3410"/>
      <c r="BJ170" s="3178"/>
      <c r="BK170" s="2742"/>
      <c r="BL170" s="3172"/>
      <c r="BM170" s="3172"/>
      <c r="BN170" s="3172"/>
      <c r="BO170" s="3172"/>
      <c r="BP170" s="2584"/>
    </row>
    <row r="171" spans="1:68" s="366" customFormat="1" ht="45.75" customHeight="1" x14ac:dyDescent="0.2">
      <c r="A171" s="3389"/>
      <c r="B171" s="3262"/>
      <c r="C171" s="3263"/>
      <c r="D171" s="3261"/>
      <c r="E171" s="3262"/>
      <c r="F171" s="3263"/>
      <c r="G171" s="3233"/>
      <c r="H171" s="3405"/>
      <c r="I171" s="2698"/>
      <c r="J171" s="2698"/>
      <c r="K171" s="3188"/>
      <c r="L171" s="2584"/>
      <c r="M171" s="2794"/>
      <c r="N171" s="2584"/>
      <c r="O171" s="2742"/>
      <c r="P171" s="3227"/>
      <c r="Q171" s="2763"/>
      <c r="R171" s="2742"/>
      <c r="S171" s="2742"/>
      <c r="T171" s="2151" t="s">
        <v>1802</v>
      </c>
      <c r="U171" s="2426">
        <v>0</v>
      </c>
      <c r="V171" s="2452"/>
      <c r="W171" s="2452"/>
      <c r="X171" s="2150"/>
      <c r="Y171" s="2213"/>
      <c r="Z171" s="3019"/>
      <c r="AA171" s="3399"/>
      <c r="AB171" s="3401"/>
      <c r="AC171" s="3225"/>
      <c r="AD171" s="3225"/>
      <c r="AE171" s="3225"/>
      <c r="AF171" s="3225"/>
      <c r="AG171" s="3225"/>
      <c r="AH171" s="3225"/>
      <c r="AI171" s="3225"/>
      <c r="AJ171" s="3225"/>
      <c r="AK171" s="3225"/>
      <c r="AL171" s="3225"/>
      <c r="AM171" s="3225"/>
      <c r="AN171" s="3225"/>
      <c r="AO171" s="3225"/>
      <c r="AP171" s="3225"/>
      <c r="AQ171" s="3225"/>
      <c r="AR171" s="3225"/>
      <c r="AS171" s="3225"/>
      <c r="AT171" s="3225"/>
      <c r="AU171" s="3225"/>
      <c r="AV171" s="3225"/>
      <c r="AW171" s="3225"/>
      <c r="AX171" s="3225"/>
      <c r="AY171" s="3225"/>
      <c r="AZ171" s="3225"/>
      <c r="BA171" s="3225"/>
      <c r="BB171" s="3225"/>
      <c r="BC171" s="3225"/>
      <c r="BD171" s="3225"/>
      <c r="BE171" s="3225"/>
      <c r="BF171" s="2584"/>
      <c r="BG171" s="3373"/>
      <c r="BH171" s="3373"/>
      <c r="BI171" s="3410"/>
      <c r="BJ171" s="3178"/>
      <c r="BK171" s="2742"/>
      <c r="BL171" s="3172"/>
      <c r="BM171" s="3172"/>
      <c r="BN171" s="3172"/>
      <c r="BO171" s="3172"/>
      <c r="BP171" s="2584"/>
    </row>
    <row r="172" spans="1:68" s="366" customFormat="1" ht="98.25" customHeight="1" x14ac:dyDescent="0.2">
      <c r="A172" s="3389"/>
      <c r="B172" s="3262"/>
      <c r="C172" s="3263"/>
      <c r="D172" s="3261"/>
      <c r="E172" s="3262"/>
      <c r="F172" s="3263"/>
      <c r="G172" s="3233"/>
      <c r="H172" s="3405"/>
      <c r="I172" s="2698"/>
      <c r="J172" s="2698"/>
      <c r="K172" s="3188"/>
      <c r="L172" s="2584"/>
      <c r="M172" s="2794"/>
      <c r="N172" s="2584"/>
      <c r="O172" s="2742"/>
      <c r="P172" s="3227"/>
      <c r="Q172" s="2763"/>
      <c r="R172" s="2742"/>
      <c r="S172" s="2742"/>
      <c r="T172" s="2151" t="s">
        <v>1803</v>
      </c>
      <c r="U172" s="2422">
        <v>4000000</v>
      </c>
      <c r="V172" s="2452"/>
      <c r="W172" s="2452"/>
      <c r="X172" s="2150">
        <v>88</v>
      </c>
      <c r="Y172" s="2213" t="s">
        <v>411</v>
      </c>
      <c r="Z172" s="3019"/>
      <c r="AA172" s="3399"/>
      <c r="AB172" s="3401"/>
      <c r="AC172" s="3225"/>
      <c r="AD172" s="3225"/>
      <c r="AE172" s="3225"/>
      <c r="AF172" s="3225"/>
      <c r="AG172" s="3225"/>
      <c r="AH172" s="3225"/>
      <c r="AI172" s="3225"/>
      <c r="AJ172" s="3225"/>
      <c r="AK172" s="3225"/>
      <c r="AL172" s="3225"/>
      <c r="AM172" s="3225"/>
      <c r="AN172" s="3225"/>
      <c r="AO172" s="3225"/>
      <c r="AP172" s="3225"/>
      <c r="AQ172" s="3225"/>
      <c r="AR172" s="3225"/>
      <c r="AS172" s="3225"/>
      <c r="AT172" s="3225"/>
      <c r="AU172" s="3225"/>
      <c r="AV172" s="3225"/>
      <c r="AW172" s="3225"/>
      <c r="AX172" s="3225"/>
      <c r="AY172" s="3225"/>
      <c r="AZ172" s="3225"/>
      <c r="BA172" s="3225"/>
      <c r="BB172" s="3225"/>
      <c r="BC172" s="3225"/>
      <c r="BD172" s="3225"/>
      <c r="BE172" s="3225"/>
      <c r="BF172" s="2584"/>
      <c r="BG172" s="3373"/>
      <c r="BH172" s="3373"/>
      <c r="BI172" s="3410"/>
      <c r="BJ172" s="3178"/>
      <c r="BK172" s="2742"/>
      <c r="BL172" s="3172"/>
      <c r="BM172" s="3172"/>
      <c r="BN172" s="3172"/>
      <c r="BO172" s="3172"/>
      <c r="BP172" s="2584"/>
    </row>
    <row r="173" spans="1:68" s="366" customFormat="1" ht="83.25" customHeight="1" x14ac:dyDescent="0.2">
      <c r="A173" s="3389"/>
      <c r="B173" s="3262"/>
      <c r="C173" s="3263"/>
      <c r="D173" s="3261"/>
      <c r="E173" s="3262"/>
      <c r="F173" s="3263"/>
      <c r="G173" s="3233"/>
      <c r="H173" s="3405"/>
      <c r="I173" s="2698"/>
      <c r="J173" s="2698"/>
      <c r="K173" s="3188"/>
      <c r="L173" s="2584"/>
      <c r="M173" s="2794"/>
      <c r="N173" s="2584"/>
      <c r="O173" s="2742"/>
      <c r="P173" s="3227"/>
      <c r="Q173" s="2763"/>
      <c r="R173" s="2742"/>
      <c r="S173" s="2742"/>
      <c r="T173" s="2151" t="s">
        <v>1804</v>
      </c>
      <c r="U173" s="2422">
        <v>2000000</v>
      </c>
      <c r="V173" s="2450"/>
      <c r="W173" s="2450"/>
      <c r="X173" s="2150">
        <v>88</v>
      </c>
      <c r="Y173" s="2213" t="s">
        <v>411</v>
      </c>
      <c r="Z173" s="3019"/>
      <c r="AA173" s="3399"/>
      <c r="AB173" s="3401"/>
      <c r="AC173" s="3225"/>
      <c r="AD173" s="3225"/>
      <c r="AE173" s="3225"/>
      <c r="AF173" s="3225"/>
      <c r="AG173" s="3225"/>
      <c r="AH173" s="3225"/>
      <c r="AI173" s="3225"/>
      <c r="AJ173" s="3225"/>
      <c r="AK173" s="3225"/>
      <c r="AL173" s="3225"/>
      <c r="AM173" s="3225"/>
      <c r="AN173" s="3225"/>
      <c r="AO173" s="3225"/>
      <c r="AP173" s="3225"/>
      <c r="AQ173" s="3225"/>
      <c r="AR173" s="3225"/>
      <c r="AS173" s="3225"/>
      <c r="AT173" s="3225"/>
      <c r="AU173" s="3225"/>
      <c r="AV173" s="3225"/>
      <c r="AW173" s="3225"/>
      <c r="AX173" s="3225"/>
      <c r="AY173" s="3225"/>
      <c r="AZ173" s="3225"/>
      <c r="BA173" s="3225"/>
      <c r="BB173" s="3225"/>
      <c r="BC173" s="3225"/>
      <c r="BD173" s="3225"/>
      <c r="BE173" s="3225"/>
      <c r="BF173" s="2584"/>
      <c r="BG173" s="3373"/>
      <c r="BH173" s="3373"/>
      <c r="BI173" s="3410"/>
      <c r="BJ173" s="3178"/>
      <c r="BK173" s="2742"/>
      <c r="BL173" s="3172"/>
      <c r="BM173" s="3172"/>
      <c r="BN173" s="3172"/>
      <c r="BO173" s="3172"/>
      <c r="BP173" s="2584"/>
    </row>
    <row r="174" spans="1:68" s="366" customFormat="1" ht="45.75" customHeight="1" x14ac:dyDescent="0.2">
      <c r="A174" s="3389"/>
      <c r="B174" s="3262"/>
      <c r="C174" s="3263"/>
      <c r="D174" s="3390"/>
      <c r="E174" s="3318"/>
      <c r="F174" s="3319"/>
      <c r="G174" s="3234"/>
      <c r="H174" s="3406"/>
      <c r="I174" s="2788"/>
      <c r="J174" s="2788"/>
      <c r="K174" s="3408"/>
      <c r="L174" s="2720"/>
      <c r="M174" s="2794"/>
      <c r="N174" s="2584"/>
      <c r="O174" s="2742"/>
      <c r="P174" s="3227"/>
      <c r="Q174" s="2763"/>
      <c r="R174" s="2742"/>
      <c r="S174" s="2742"/>
      <c r="T174" s="1899" t="s">
        <v>1805</v>
      </c>
      <c r="U174" s="2453">
        <v>0</v>
      </c>
      <c r="V174" s="2454"/>
      <c r="W174" s="2454"/>
      <c r="X174" s="1903"/>
      <c r="Y174" s="1881"/>
      <c r="Z174" s="3019"/>
      <c r="AA174" s="2963"/>
      <c r="AB174" s="3401"/>
      <c r="AC174" s="3402"/>
      <c r="AD174" s="3225"/>
      <c r="AE174" s="3402"/>
      <c r="AF174" s="3225"/>
      <c r="AG174" s="3402"/>
      <c r="AH174" s="3225"/>
      <c r="AI174" s="3402"/>
      <c r="AJ174" s="3225"/>
      <c r="AK174" s="3402"/>
      <c r="AL174" s="3225"/>
      <c r="AM174" s="3402"/>
      <c r="AN174" s="3225"/>
      <c r="AO174" s="3384"/>
      <c r="AP174" s="3384"/>
      <c r="AQ174" s="3384"/>
      <c r="AR174" s="3384"/>
      <c r="AS174" s="3384"/>
      <c r="AT174" s="3384"/>
      <c r="AU174" s="3384"/>
      <c r="AV174" s="3384"/>
      <c r="AW174" s="3384"/>
      <c r="AX174" s="3384"/>
      <c r="AY174" s="3384"/>
      <c r="AZ174" s="3384"/>
      <c r="BA174" s="3384"/>
      <c r="BB174" s="3384"/>
      <c r="BC174" s="3384"/>
      <c r="BD174" s="3384"/>
      <c r="BE174" s="3384"/>
      <c r="BF174" s="2720"/>
      <c r="BG174" s="3374"/>
      <c r="BH174" s="3374"/>
      <c r="BI174" s="3411"/>
      <c r="BJ174" s="3299"/>
      <c r="BK174" s="2743"/>
      <c r="BL174" s="3337"/>
      <c r="BM174" s="3337"/>
      <c r="BN174" s="3337"/>
      <c r="BO174" s="3337"/>
      <c r="BP174" s="2720"/>
    </row>
    <row r="175" spans="1:68" s="366" customFormat="1" ht="31.5" customHeight="1" x14ac:dyDescent="0.2">
      <c r="A175" s="2141"/>
      <c r="B175" s="2152"/>
      <c r="C175" s="2153"/>
      <c r="D175" s="2154"/>
      <c r="E175" s="2154"/>
      <c r="F175" s="2155"/>
      <c r="G175" s="2156"/>
      <c r="H175" s="2157"/>
      <c r="I175" s="1887"/>
      <c r="J175" s="1887"/>
      <c r="K175" s="2158"/>
      <c r="L175" s="2159"/>
      <c r="M175" s="1904"/>
      <c r="N175" s="2160"/>
      <c r="O175" s="1887"/>
      <c r="P175" s="2161"/>
      <c r="Q175" s="2455">
        <f>SUM(Q12:Q174)</f>
        <v>3830220594.3100004</v>
      </c>
      <c r="R175" s="1885"/>
      <c r="S175" s="1885"/>
      <c r="T175" s="2162"/>
      <c r="U175" s="2455">
        <f>SUM(U10:U174)</f>
        <v>3830220594.3100004</v>
      </c>
      <c r="V175" s="2456">
        <f t="shared" ref="V175" si="10">SUM(V10:V174)</f>
        <v>999910766</v>
      </c>
      <c r="W175" s="2456">
        <f>SUM(W12:W174)</f>
        <v>999910766</v>
      </c>
      <c r="X175" s="2164"/>
      <c r="Y175" s="1887"/>
      <c r="Z175" s="2165"/>
      <c r="AA175" s="2165"/>
      <c r="AB175" s="2165"/>
      <c r="AC175" s="2165"/>
      <c r="AD175" s="2165"/>
      <c r="AE175" s="2165"/>
      <c r="AF175" s="2165"/>
      <c r="AG175" s="2165"/>
      <c r="AH175" s="2165"/>
      <c r="AI175" s="2165"/>
      <c r="AJ175" s="2165"/>
      <c r="AK175" s="2165"/>
      <c r="AL175" s="2165"/>
      <c r="AM175" s="2165"/>
      <c r="AN175" s="2165"/>
      <c r="AO175" s="2166"/>
      <c r="AP175" s="2167"/>
      <c r="AQ175" s="2167"/>
      <c r="AR175" s="2156"/>
      <c r="AS175" s="2156"/>
      <c r="AT175" s="2156"/>
      <c r="AU175" s="2156"/>
      <c r="AV175" s="2156"/>
      <c r="AW175" s="2156"/>
      <c r="AX175" s="2156"/>
      <c r="AY175" s="2156"/>
      <c r="AZ175" s="2156"/>
      <c r="BA175" s="2156"/>
      <c r="BB175" s="2156"/>
      <c r="BC175" s="2156"/>
      <c r="BD175" s="2156"/>
      <c r="BE175" s="2156"/>
      <c r="BF175" s="2156"/>
      <c r="BG175" s="2163">
        <f>SUM(BG12:BG174)</f>
        <v>999910766</v>
      </c>
      <c r="BH175" s="2163">
        <f>SUM(BH12:BH174)</f>
        <v>999910766</v>
      </c>
      <c r="BI175" s="2156"/>
      <c r="BJ175" s="2156"/>
      <c r="BK175" s="2156"/>
      <c r="BL175" s="2168"/>
      <c r="BM175" s="2168"/>
      <c r="BN175" s="2169"/>
      <c r="BO175" s="2169"/>
      <c r="BP175" s="2170"/>
    </row>
    <row r="176" spans="1:68" s="366" customFormat="1" ht="27" customHeight="1" x14ac:dyDescent="0.2">
      <c r="A176" s="2086"/>
      <c r="G176" s="1558"/>
      <c r="H176" s="1558"/>
      <c r="I176" s="2104"/>
      <c r="J176" s="2104"/>
      <c r="K176" s="1555"/>
      <c r="L176" s="1555"/>
      <c r="M176" s="2056"/>
      <c r="N176" s="1554"/>
      <c r="O176" s="2104"/>
      <c r="P176" s="2171"/>
      <c r="Q176" s="2172"/>
      <c r="R176" s="2104"/>
      <c r="S176" s="2104"/>
      <c r="T176" s="2173"/>
      <c r="U176" s="2174"/>
      <c r="V176" s="2175"/>
      <c r="W176" s="2176"/>
      <c r="X176" s="2177"/>
      <c r="Y176" s="2104"/>
      <c r="Z176" s="1558"/>
      <c r="AA176" s="1558"/>
      <c r="AB176" s="1558"/>
      <c r="AC176" s="1558"/>
      <c r="AD176" s="1558"/>
      <c r="AE176" s="1558"/>
      <c r="AF176" s="1558"/>
      <c r="AG176" s="1558"/>
      <c r="AH176" s="1558"/>
      <c r="AI176" s="1558"/>
      <c r="AJ176" s="1558"/>
      <c r="AK176" s="1558"/>
      <c r="AL176" s="1558"/>
      <c r="AM176" s="1558"/>
      <c r="AN176" s="1558"/>
      <c r="AO176" s="1558"/>
      <c r="AP176" s="1558"/>
      <c r="AQ176" s="1558"/>
      <c r="AR176" s="1558"/>
      <c r="AS176" s="1558"/>
      <c r="AT176" s="1558"/>
      <c r="AU176" s="1558"/>
      <c r="AV176" s="1558"/>
      <c r="AW176" s="1558"/>
      <c r="AX176" s="1558"/>
      <c r="AY176" s="1558"/>
      <c r="AZ176" s="1558"/>
      <c r="BA176" s="1558"/>
      <c r="BB176" s="1558"/>
      <c r="BC176" s="1558"/>
      <c r="BD176" s="1558"/>
      <c r="BE176" s="1558"/>
      <c r="BF176" s="1558"/>
      <c r="BG176" s="1558"/>
      <c r="BH176" s="1558"/>
      <c r="BI176" s="1558"/>
      <c r="BJ176" s="1558"/>
      <c r="BK176" s="1558"/>
      <c r="BL176" s="2178"/>
      <c r="BM176" s="2178"/>
      <c r="BN176" s="2179"/>
      <c r="BO176" s="2179"/>
      <c r="BP176" s="2180"/>
    </row>
    <row r="177" spans="1:68" s="366" customFormat="1" ht="27" customHeight="1" x14ac:dyDescent="0.25">
      <c r="A177" s="2086"/>
      <c r="G177" s="1558"/>
      <c r="H177" s="1558"/>
      <c r="I177" s="2104"/>
      <c r="J177" s="2104"/>
      <c r="K177" s="1555"/>
      <c r="L177" s="1555"/>
      <c r="M177" s="2056"/>
      <c r="N177" s="1554"/>
      <c r="O177" s="1902"/>
      <c r="P177" s="2181"/>
      <c r="Q177" s="2182"/>
      <c r="R177" s="1902"/>
      <c r="S177" s="1902"/>
      <c r="T177" s="2183"/>
      <c r="U177" s="2174"/>
      <c r="V177" s="2174"/>
      <c r="W177" s="2174"/>
      <c r="X177" s="2174"/>
      <c r="Y177" s="2184"/>
      <c r="Z177" s="1558"/>
      <c r="AA177" s="1558"/>
      <c r="AB177" s="1558"/>
      <c r="AC177" s="1558"/>
      <c r="AD177" s="1558"/>
      <c r="AE177" s="1558"/>
      <c r="AF177" s="1558"/>
      <c r="AG177" s="1558"/>
      <c r="AH177" s="1558"/>
      <c r="AI177" s="1558"/>
      <c r="AJ177" s="1558"/>
      <c r="AK177" s="1558"/>
      <c r="AL177" s="1558"/>
      <c r="AM177" s="1558"/>
      <c r="AN177" s="1558"/>
      <c r="AO177" s="1558"/>
      <c r="AP177" s="1558"/>
      <c r="AQ177" s="1558"/>
      <c r="AR177" s="1558"/>
      <c r="AS177" s="1558"/>
      <c r="AT177" s="1558"/>
      <c r="AU177" s="1558"/>
      <c r="AV177" s="1558"/>
      <c r="AW177" s="1558"/>
      <c r="AX177" s="1558"/>
      <c r="AY177" s="1558"/>
      <c r="AZ177" s="1558"/>
      <c r="BA177" s="1558"/>
      <c r="BB177" s="1558"/>
      <c r="BC177" s="1558"/>
      <c r="BD177" s="1558"/>
      <c r="BE177" s="1558"/>
      <c r="BF177" s="1558"/>
      <c r="BG177" s="1558"/>
      <c r="BH177" s="1558"/>
      <c r="BI177" s="1558"/>
      <c r="BJ177" s="1558"/>
      <c r="BK177" s="1558"/>
      <c r="BL177" s="2178"/>
      <c r="BM177" s="2178"/>
      <c r="BN177" s="2179"/>
      <c r="BO177" s="2179"/>
      <c r="BP177" s="2180"/>
    </row>
    <row r="178" spans="1:68" s="366" customFormat="1" ht="27" customHeight="1" x14ac:dyDescent="0.2">
      <c r="A178" s="2086"/>
      <c r="G178" s="1558"/>
      <c r="H178" s="1558"/>
      <c r="I178" s="2104"/>
      <c r="J178" s="2104"/>
      <c r="K178" s="1555"/>
      <c r="L178" s="1555"/>
      <c r="M178" s="2056"/>
      <c r="N178" s="1554"/>
      <c r="O178" s="2183"/>
      <c r="P178" s="2181"/>
      <c r="Q178" s="2185"/>
      <c r="R178" s="1902"/>
      <c r="S178" s="1902"/>
      <c r="T178" s="2183"/>
      <c r="U178" s="2174"/>
      <c r="V178" s="2186"/>
      <c r="W178" s="2176"/>
      <c r="X178" s="2174"/>
      <c r="Y178" s="2104"/>
      <c r="Z178" s="1558"/>
      <c r="AA178" s="1558"/>
      <c r="AB178" s="1558"/>
      <c r="AC178" s="1558"/>
      <c r="AD178" s="1558"/>
      <c r="AE178" s="1558"/>
      <c r="AF178" s="1558"/>
      <c r="AG178" s="1558"/>
      <c r="AH178" s="1558"/>
      <c r="AI178" s="1558"/>
      <c r="AJ178" s="1558"/>
      <c r="AK178" s="1558"/>
      <c r="AL178" s="1558"/>
      <c r="AM178" s="1558"/>
      <c r="AN178" s="1558"/>
      <c r="AO178" s="1558"/>
      <c r="AP178" s="1558"/>
      <c r="AQ178" s="1558"/>
      <c r="AR178" s="1558"/>
      <c r="AS178" s="1558"/>
      <c r="AT178" s="1558"/>
      <c r="AU178" s="1558"/>
      <c r="AV178" s="1558"/>
      <c r="AW178" s="1558"/>
      <c r="AX178" s="1558"/>
      <c r="AY178" s="1558"/>
      <c r="AZ178" s="1558"/>
      <c r="BA178" s="1558"/>
      <c r="BB178" s="1558"/>
      <c r="BC178" s="1558"/>
      <c r="BD178" s="1558"/>
      <c r="BE178" s="1558"/>
      <c r="BF178" s="1558"/>
      <c r="BG178" s="1558"/>
      <c r="BH178" s="1558"/>
      <c r="BI178" s="1558"/>
      <c r="BJ178" s="1558"/>
      <c r="BK178" s="1558"/>
      <c r="BL178" s="2178"/>
      <c r="BM178" s="2178"/>
      <c r="BN178" s="2179"/>
      <c r="BO178" s="2179"/>
      <c r="BP178" s="2180"/>
    </row>
    <row r="179" spans="1:68" s="366" customFormat="1" ht="27" customHeight="1" x14ac:dyDescent="0.2">
      <c r="A179" s="2171"/>
      <c r="B179" s="2187"/>
      <c r="C179" s="2188"/>
      <c r="D179" s="2142"/>
      <c r="E179" s="2142"/>
      <c r="F179" s="2142"/>
      <c r="G179" s="2189"/>
      <c r="H179" s="1558"/>
      <c r="I179" s="2104"/>
      <c r="J179" s="2104"/>
      <c r="K179" s="1555"/>
      <c r="L179" s="1555"/>
      <c r="M179" s="2056"/>
      <c r="N179" s="1554"/>
      <c r="O179" s="2104"/>
      <c r="P179" s="2171"/>
      <c r="Q179" s="2172"/>
      <c r="R179" s="2104"/>
      <c r="S179" s="2104"/>
      <c r="T179" s="2173"/>
      <c r="U179" s="2174"/>
      <c r="V179" s="2175"/>
      <c r="W179" s="2190"/>
      <c r="X179" s="2174"/>
      <c r="Y179" s="2104"/>
      <c r="Z179" s="1558"/>
      <c r="AA179" s="1558"/>
      <c r="AB179" s="1558"/>
      <c r="AC179" s="1558"/>
      <c r="AD179" s="1558"/>
      <c r="AE179" s="1558"/>
      <c r="AF179" s="1558"/>
      <c r="AG179" s="1558"/>
      <c r="AH179" s="1558"/>
      <c r="AI179" s="1558"/>
      <c r="AJ179" s="1558"/>
      <c r="AK179" s="1558"/>
      <c r="AL179" s="1558"/>
      <c r="AM179" s="1558"/>
      <c r="AN179" s="1558"/>
      <c r="AO179" s="1558"/>
      <c r="AP179" s="1558"/>
      <c r="AQ179" s="1558"/>
      <c r="AR179" s="1558"/>
      <c r="AS179" s="1558"/>
      <c r="AT179" s="1558"/>
      <c r="AU179" s="1558"/>
      <c r="AV179" s="1558"/>
      <c r="AW179" s="1558"/>
      <c r="AX179" s="1558"/>
      <c r="AY179" s="1558"/>
      <c r="AZ179" s="1558"/>
      <c r="BA179" s="1558"/>
      <c r="BB179" s="1558"/>
      <c r="BC179" s="1558"/>
      <c r="BD179" s="1558"/>
      <c r="BE179" s="1558"/>
      <c r="BF179" s="1558"/>
      <c r="BG179" s="1558"/>
      <c r="BH179" s="1558"/>
      <c r="BI179" s="1558"/>
      <c r="BJ179" s="1558"/>
      <c r="BK179" s="1558"/>
      <c r="BL179" s="2178"/>
      <c r="BM179" s="2178"/>
      <c r="BN179" s="2179"/>
      <c r="BO179" s="2179"/>
      <c r="BP179" s="2180"/>
    </row>
    <row r="180" spans="1:68" s="366" customFormat="1" ht="27" customHeight="1" x14ac:dyDescent="0.25">
      <c r="A180" s="2171"/>
      <c r="B180" s="2191" t="s">
        <v>1806</v>
      </c>
      <c r="C180" s="2192"/>
      <c r="G180" s="1558"/>
      <c r="H180" s="1558"/>
      <c r="I180" s="2104"/>
      <c r="J180" s="2104"/>
      <c r="K180" s="1555"/>
      <c r="L180" s="1555"/>
      <c r="M180" s="2056"/>
      <c r="N180" s="1554"/>
      <c r="O180" s="2104"/>
      <c r="P180" s="2171"/>
      <c r="Q180" s="2172"/>
      <c r="R180" s="2104"/>
      <c r="S180" s="2104"/>
      <c r="T180" s="2173"/>
      <c r="U180" s="2174"/>
      <c r="V180" s="2175"/>
      <c r="W180" s="2190"/>
      <c r="X180" s="2174"/>
      <c r="Y180" s="2104"/>
      <c r="Z180" s="1558"/>
      <c r="AA180" s="1558"/>
      <c r="AB180" s="1558"/>
      <c r="AC180" s="1558"/>
      <c r="AD180" s="1558"/>
      <c r="AE180" s="1558"/>
      <c r="AF180" s="1558"/>
      <c r="AG180" s="1558"/>
      <c r="AH180" s="1558"/>
      <c r="AI180" s="1558"/>
      <c r="AJ180" s="1558"/>
      <c r="AK180" s="1558"/>
      <c r="AL180" s="1558"/>
      <c r="AM180" s="1558"/>
      <c r="AN180" s="1558"/>
      <c r="AO180" s="1558"/>
      <c r="AP180" s="1558"/>
      <c r="AQ180" s="1558"/>
      <c r="AR180" s="1558"/>
      <c r="AS180" s="1558"/>
      <c r="AT180" s="1558"/>
      <c r="AU180" s="1558"/>
      <c r="AV180" s="1558"/>
      <c r="AW180" s="1558"/>
      <c r="AX180" s="1558"/>
      <c r="AY180" s="1558"/>
      <c r="AZ180" s="1558"/>
      <c r="BA180" s="1558"/>
      <c r="BB180" s="1558"/>
      <c r="BC180" s="1558"/>
      <c r="BD180" s="1558"/>
      <c r="BE180" s="1558"/>
      <c r="BF180" s="1558"/>
      <c r="BG180" s="2193"/>
      <c r="BH180" s="2193"/>
      <c r="BI180" s="1558"/>
      <c r="BJ180" s="1558"/>
      <c r="BK180" s="1558"/>
      <c r="BL180" s="2178"/>
      <c r="BM180" s="2178"/>
      <c r="BN180" s="2179"/>
      <c r="BO180" s="2179"/>
      <c r="BP180" s="2180"/>
    </row>
    <row r="181" spans="1:68" s="366" customFormat="1" ht="24" customHeight="1" x14ac:dyDescent="0.25">
      <c r="A181" s="2171"/>
      <c r="B181" s="2191" t="s">
        <v>1807</v>
      </c>
      <c r="C181" s="2192"/>
      <c r="G181" s="1558"/>
      <c r="H181" s="1558"/>
      <c r="I181" s="2104"/>
      <c r="J181" s="2104"/>
      <c r="K181" s="1555"/>
      <c r="L181" s="1555"/>
      <c r="M181" s="2056"/>
      <c r="N181" s="1554"/>
      <c r="O181" s="2104"/>
      <c r="P181" s="2171"/>
      <c r="Q181" s="2172"/>
      <c r="R181" s="2104"/>
      <c r="S181" s="2104"/>
      <c r="T181" s="2173"/>
      <c r="U181" s="2174"/>
      <c r="V181" s="2175"/>
      <c r="W181" s="2175"/>
      <c r="X181" s="2174"/>
      <c r="Y181" s="2104"/>
      <c r="Z181" s="1558"/>
      <c r="AA181" s="1558"/>
      <c r="AB181" s="1558"/>
      <c r="AC181" s="1558"/>
      <c r="AD181" s="1558"/>
      <c r="AE181" s="1558"/>
      <c r="AF181" s="1558"/>
      <c r="AG181" s="1558"/>
      <c r="AH181" s="1558"/>
      <c r="AI181" s="1558"/>
      <c r="AJ181" s="1558"/>
      <c r="AK181" s="1558"/>
      <c r="AL181" s="1558"/>
      <c r="AM181" s="1558"/>
      <c r="AN181" s="1558"/>
      <c r="AO181" s="1558"/>
      <c r="AP181" s="1558"/>
      <c r="AQ181" s="1558"/>
      <c r="AR181" s="1558"/>
      <c r="AS181" s="1558"/>
      <c r="AT181" s="1558"/>
      <c r="AU181" s="1558"/>
      <c r="AV181" s="1558"/>
      <c r="AW181" s="1558"/>
      <c r="AX181" s="1558"/>
      <c r="AY181" s="1558"/>
      <c r="AZ181" s="1558"/>
      <c r="BA181" s="1558"/>
      <c r="BB181" s="1558"/>
      <c r="BC181" s="1558"/>
      <c r="BD181" s="1558"/>
      <c r="BE181" s="1558"/>
      <c r="BF181" s="1558"/>
      <c r="BG181" s="1558"/>
      <c r="BH181" s="1558"/>
      <c r="BI181" s="1558"/>
      <c r="BJ181" s="1558"/>
      <c r="BK181" s="1558"/>
      <c r="BL181" s="2178"/>
      <c r="BM181" s="2178"/>
      <c r="BN181" s="2179"/>
      <c r="BO181" s="2179"/>
      <c r="BP181" s="2180"/>
    </row>
    <row r="182" spans="1:68" s="366" customFormat="1" ht="27" customHeight="1" x14ac:dyDescent="0.2">
      <c r="A182" s="2171"/>
      <c r="B182" s="2194"/>
      <c r="C182" s="2192"/>
      <c r="G182" s="1558"/>
      <c r="H182" s="1558"/>
      <c r="I182" s="2104"/>
      <c r="J182" s="2104"/>
      <c r="K182" s="1555"/>
      <c r="L182" s="1555"/>
      <c r="M182" s="2056"/>
      <c r="N182" s="1554"/>
      <c r="O182" s="2104"/>
      <c r="P182" s="2171"/>
      <c r="Q182" s="2172"/>
      <c r="R182" s="2104"/>
      <c r="S182" s="2104"/>
      <c r="T182" s="2173"/>
      <c r="U182" s="2185"/>
      <c r="V182" s="2195"/>
      <c r="W182" s="2195"/>
      <c r="X182" s="2177"/>
      <c r="Y182" s="2104"/>
      <c r="Z182" s="1558"/>
      <c r="AA182" s="1558"/>
      <c r="AB182" s="1558"/>
      <c r="AC182" s="1558"/>
      <c r="AD182" s="1558"/>
      <c r="AE182" s="1558"/>
      <c r="AF182" s="1558"/>
      <c r="AG182" s="1558"/>
      <c r="AH182" s="1558"/>
      <c r="AI182" s="1558"/>
      <c r="AJ182" s="1558"/>
      <c r="AK182" s="1558"/>
      <c r="AL182" s="1558"/>
      <c r="AM182" s="1558"/>
      <c r="AN182" s="1558"/>
      <c r="AO182" s="1558"/>
      <c r="AP182" s="1558"/>
      <c r="AQ182" s="1558"/>
      <c r="AR182" s="1558"/>
      <c r="AS182" s="1558"/>
      <c r="AT182" s="1558"/>
      <c r="AU182" s="1558"/>
      <c r="AV182" s="1558"/>
      <c r="AW182" s="1558"/>
      <c r="AX182" s="1558"/>
      <c r="AY182" s="1558"/>
      <c r="AZ182" s="1558"/>
      <c r="BA182" s="1558"/>
      <c r="BB182" s="1558"/>
      <c r="BC182" s="1558"/>
      <c r="BD182" s="1558"/>
      <c r="BE182" s="1558"/>
      <c r="BF182" s="1558"/>
      <c r="BG182" s="2193"/>
      <c r="BH182" s="2193"/>
      <c r="BI182" s="1558"/>
      <c r="BJ182" s="1558"/>
      <c r="BK182" s="1558"/>
      <c r="BL182" s="2178"/>
      <c r="BM182" s="2178"/>
      <c r="BN182" s="2179"/>
      <c r="BO182" s="2179"/>
      <c r="BP182" s="2180"/>
    </row>
    <row r="183" spans="1:68" x14ac:dyDescent="0.2">
      <c r="U183" s="2204"/>
      <c r="V183" s="2205"/>
      <c r="W183" s="2205"/>
    </row>
  </sheetData>
  <sheetProtection password="A60F" sheet="1" objects="1" scenarios="1"/>
  <mergeCells count="1020">
    <mergeCell ref="BO169:BO174"/>
    <mergeCell ref="BP169:BP174"/>
    <mergeCell ref="BI169:BI174"/>
    <mergeCell ref="BJ169:BJ174"/>
    <mergeCell ref="BK169:BK174"/>
    <mergeCell ref="BL169:BL174"/>
    <mergeCell ref="BM169:BM174"/>
    <mergeCell ref="BN169:BN174"/>
    <mergeCell ref="BC169:BC174"/>
    <mergeCell ref="BD169:BD174"/>
    <mergeCell ref="BE169:BE174"/>
    <mergeCell ref="BF169:BF174"/>
    <mergeCell ref="BG169:BG174"/>
    <mergeCell ref="BH169:BH174"/>
    <mergeCell ref="AW169:AW174"/>
    <mergeCell ref="AX169:AX174"/>
    <mergeCell ref="AY169:AY174"/>
    <mergeCell ref="AZ169:AZ174"/>
    <mergeCell ref="BA169:BA174"/>
    <mergeCell ref="BB169:BB174"/>
    <mergeCell ref="H169:H174"/>
    <mergeCell ref="I169:I174"/>
    <mergeCell ref="J169:J174"/>
    <mergeCell ref="K169:K174"/>
    <mergeCell ref="L169:L174"/>
    <mergeCell ref="M169:M174"/>
    <mergeCell ref="AQ169:AQ174"/>
    <mergeCell ref="AR169:AR174"/>
    <mergeCell ref="AS169:AS174"/>
    <mergeCell ref="AT169:AT174"/>
    <mergeCell ref="AU169:AU174"/>
    <mergeCell ref="AV169:AV174"/>
    <mergeCell ref="AK169:AK174"/>
    <mergeCell ref="AL169:AL174"/>
    <mergeCell ref="AM169:AM174"/>
    <mergeCell ref="AN169:AN174"/>
    <mergeCell ref="AO169:AO174"/>
    <mergeCell ref="AP169:AP174"/>
    <mergeCell ref="AE169:AE174"/>
    <mergeCell ref="AF169:AF174"/>
    <mergeCell ref="AG169:AG174"/>
    <mergeCell ref="AH169:AH174"/>
    <mergeCell ref="AI169:AI174"/>
    <mergeCell ref="AJ169:AJ174"/>
    <mergeCell ref="BA162:BA168"/>
    <mergeCell ref="AP162:AP168"/>
    <mergeCell ref="AQ162:AQ168"/>
    <mergeCell ref="AR162:AR168"/>
    <mergeCell ref="AS162:AS168"/>
    <mergeCell ref="T169:T170"/>
    <mergeCell ref="Z169:Z174"/>
    <mergeCell ref="AA169:AA174"/>
    <mergeCell ref="AB169:AB174"/>
    <mergeCell ref="AC169:AC174"/>
    <mergeCell ref="AD169:AD174"/>
    <mergeCell ref="N169:N174"/>
    <mergeCell ref="O169:O174"/>
    <mergeCell ref="P169:P174"/>
    <mergeCell ref="Q169:Q174"/>
    <mergeCell ref="R169:R174"/>
    <mergeCell ref="S169:S174"/>
    <mergeCell ref="T162:T163"/>
    <mergeCell ref="Z162:Z168"/>
    <mergeCell ref="AA162:AA168"/>
    <mergeCell ref="AB162:AB168"/>
    <mergeCell ref="AC162:AC168"/>
    <mergeCell ref="R162:R168"/>
    <mergeCell ref="BN162:BN168"/>
    <mergeCell ref="BO162:BO168"/>
    <mergeCell ref="BP162:BP168"/>
    <mergeCell ref="A169:A174"/>
    <mergeCell ref="B169:B174"/>
    <mergeCell ref="C169:C174"/>
    <mergeCell ref="D169:D174"/>
    <mergeCell ref="E169:E174"/>
    <mergeCell ref="F169:F174"/>
    <mergeCell ref="G169:G174"/>
    <mergeCell ref="BH162:BH168"/>
    <mergeCell ref="BI162:BI168"/>
    <mergeCell ref="BJ162:BJ168"/>
    <mergeCell ref="BK162:BK168"/>
    <mergeCell ref="BL162:BL168"/>
    <mergeCell ref="BM162:BM168"/>
    <mergeCell ref="BB162:BB168"/>
    <mergeCell ref="BC162:BC168"/>
    <mergeCell ref="BD162:BD168"/>
    <mergeCell ref="BE162:BE168"/>
    <mergeCell ref="BF162:BF168"/>
    <mergeCell ref="BG162:BG168"/>
    <mergeCell ref="AV162:AV168"/>
    <mergeCell ref="AW162:AW168"/>
    <mergeCell ref="AX162:AX168"/>
    <mergeCell ref="AY162:AY168"/>
    <mergeCell ref="AZ162:AZ168"/>
    <mergeCell ref="M162:M168"/>
    <mergeCell ref="N162:N168"/>
    <mergeCell ref="O162:O168"/>
    <mergeCell ref="P162:P167"/>
    <mergeCell ref="Q162:Q168"/>
    <mergeCell ref="BO146:BO161"/>
    <mergeCell ref="BP146:BP161"/>
    <mergeCell ref="T154:T155"/>
    <mergeCell ref="G157:G161"/>
    <mergeCell ref="H157:H161"/>
    <mergeCell ref="I157:I161"/>
    <mergeCell ref="J157:J161"/>
    <mergeCell ref="K157:K161"/>
    <mergeCell ref="BG146:BG161"/>
    <mergeCell ref="BH146:BH161"/>
    <mergeCell ref="BI146:BI161"/>
    <mergeCell ref="BJ146:BJ161"/>
    <mergeCell ref="BK146:BK161"/>
    <mergeCell ref="BL146:BL161"/>
    <mergeCell ref="BA146:BA161"/>
    <mergeCell ref="BB146:BB161"/>
    <mergeCell ref="BC146:BC161"/>
    <mergeCell ref="BD146:BD161"/>
    <mergeCell ref="AL146:AL161"/>
    <mergeCell ref="AM146:AM161"/>
    <mergeCell ref="AN146:AN161"/>
    <mergeCell ref="N146:N161"/>
    <mergeCell ref="O146:O161"/>
    <mergeCell ref="P146:P156"/>
    <mergeCell ref="Q146:Q161"/>
    <mergeCell ref="L157:L161"/>
    <mergeCell ref="P157:P161"/>
    <mergeCell ref="BE146:BE161"/>
    <mergeCell ref="BF146:BF161"/>
    <mergeCell ref="AU146:AU161"/>
    <mergeCell ref="AV146:AV161"/>
    <mergeCell ref="AW146:AW161"/>
    <mergeCell ref="G162:G167"/>
    <mergeCell ref="H162:H167"/>
    <mergeCell ref="I162:I167"/>
    <mergeCell ref="J162:J167"/>
    <mergeCell ref="K162:K167"/>
    <mergeCell ref="L162:L167"/>
    <mergeCell ref="BM146:BM161"/>
    <mergeCell ref="BN146:BN161"/>
    <mergeCell ref="AT162:AT168"/>
    <mergeCell ref="AU162:AU168"/>
    <mergeCell ref="AJ162:AJ168"/>
    <mergeCell ref="AK162:AK168"/>
    <mergeCell ref="AL162:AL168"/>
    <mergeCell ref="AM162:AM168"/>
    <mergeCell ref="AN162:AN168"/>
    <mergeCell ref="AO162:AO168"/>
    <mergeCell ref="AD162:AD168"/>
    <mergeCell ref="AE162:AE168"/>
    <mergeCell ref="AF162:AF168"/>
    <mergeCell ref="AG162:AG168"/>
    <mergeCell ref="AH162:AH168"/>
    <mergeCell ref="AI162:AI168"/>
    <mergeCell ref="S162:S168"/>
    <mergeCell ref="AH146:AH161"/>
    <mergeCell ref="R146:R161"/>
    <mergeCell ref="S146:S161"/>
    <mergeCell ref="T146:T147"/>
    <mergeCell ref="Z146:Z161"/>
    <mergeCell ref="AA146:AA161"/>
    <mergeCell ref="AB146:AB161"/>
    <mergeCell ref="L146:L156"/>
    <mergeCell ref="M146:M161"/>
    <mergeCell ref="AP141:AP143"/>
    <mergeCell ref="AQ141:AQ143"/>
    <mergeCell ref="AR141:AR143"/>
    <mergeCell ref="AS141:AS143"/>
    <mergeCell ref="AX146:AX161"/>
    <mergeCell ref="AY146:AY161"/>
    <mergeCell ref="AZ146:AZ161"/>
    <mergeCell ref="AO146:AO161"/>
    <mergeCell ref="AP146:AP161"/>
    <mergeCell ref="AQ146:AQ161"/>
    <mergeCell ref="AR146:AR161"/>
    <mergeCell ref="AS146:AS161"/>
    <mergeCell ref="AT146:AT161"/>
    <mergeCell ref="AI146:AI161"/>
    <mergeCell ref="AJ146:AJ161"/>
    <mergeCell ref="AK146:AK161"/>
    <mergeCell ref="G146:G156"/>
    <mergeCell ref="H146:H156"/>
    <mergeCell ref="I146:I156"/>
    <mergeCell ref="J146:J156"/>
    <mergeCell ref="K146:K156"/>
    <mergeCell ref="AH141:AH143"/>
    <mergeCell ref="AI141:AI143"/>
    <mergeCell ref="AJ141:AJ143"/>
    <mergeCell ref="AK141:AK143"/>
    <mergeCell ref="AC146:AC161"/>
    <mergeCell ref="AD146:AD161"/>
    <mergeCell ref="AE146:AE161"/>
    <mergeCell ref="AF146:AF161"/>
    <mergeCell ref="AG146:AG161"/>
    <mergeCell ref="M141:M143"/>
    <mergeCell ref="N141:N143"/>
    <mergeCell ref="O141:O143"/>
    <mergeCell ref="P141:P143"/>
    <mergeCell ref="Q141:Q143"/>
    <mergeCell ref="R141:R143"/>
    <mergeCell ref="G141:G143"/>
    <mergeCell ref="H141:H143"/>
    <mergeCell ref="I141:I143"/>
    <mergeCell ref="J141:J143"/>
    <mergeCell ref="K141:K143"/>
    <mergeCell ref="L141:L143"/>
    <mergeCell ref="S141:S143"/>
    <mergeCell ref="T141:T142"/>
    <mergeCell ref="Z141:Z143"/>
    <mergeCell ref="AA141:AA143"/>
    <mergeCell ref="AB141:AB143"/>
    <mergeCell ref="AC141:AC143"/>
    <mergeCell ref="BF141:BF143"/>
    <mergeCell ref="BG141:BG143"/>
    <mergeCell ref="BH141:BH143"/>
    <mergeCell ref="BI141:BI143"/>
    <mergeCell ref="BJ141:BJ143"/>
    <mergeCell ref="BG125:BG140"/>
    <mergeCell ref="AV125:AV140"/>
    <mergeCell ref="AW125:AW140"/>
    <mergeCell ref="AX125:AX140"/>
    <mergeCell ref="AY125:AY140"/>
    <mergeCell ref="AZ125:AZ140"/>
    <mergeCell ref="BA125:BA140"/>
    <mergeCell ref="AP125:AP140"/>
    <mergeCell ref="AQ125:AQ140"/>
    <mergeCell ref="AR125:AR140"/>
    <mergeCell ref="AS125:AS140"/>
    <mergeCell ref="AL141:AL143"/>
    <mergeCell ref="AM141:AM143"/>
    <mergeCell ref="AZ141:AZ143"/>
    <mergeCell ref="BA141:BA143"/>
    <mergeCell ref="BB141:BB143"/>
    <mergeCell ref="BC141:BC143"/>
    <mergeCell ref="BD141:BD143"/>
    <mergeCell ref="BE141:BE143"/>
    <mergeCell ref="AT141:AT143"/>
    <mergeCell ref="AU141:AU143"/>
    <mergeCell ref="AV141:AV143"/>
    <mergeCell ref="AW141:AW143"/>
    <mergeCell ref="AX141:AX143"/>
    <mergeCell ref="AY141:AY143"/>
    <mergeCell ref="AN141:AN143"/>
    <mergeCell ref="AO141:AO143"/>
    <mergeCell ref="BN120:BN124"/>
    <mergeCell ref="BO120:BO124"/>
    <mergeCell ref="BP120:BP124"/>
    <mergeCell ref="AK120:AK124"/>
    <mergeCell ref="AL120:AL124"/>
    <mergeCell ref="AM120:AM124"/>
    <mergeCell ref="AN120:AN124"/>
    <mergeCell ref="AO120:AO124"/>
    <mergeCell ref="AD120:AD124"/>
    <mergeCell ref="AE120:AE124"/>
    <mergeCell ref="AF120:AF124"/>
    <mergeCell ref="AG120:AG124"/>
    <mergeCell ref="AH120:AH124"/>
    <mergeCell ref="AI120:AI124"/>
    <mergeCell ref="BN125:BN143"/>
    <mergeCell ref="BO125:BO143"/>
    <mergeCell ref="BP125:BP143"/>
    <mergeCell ref="AD141:AD143"/>
    <mergeCell ref="AE141:AE143"/>
    <mergeCell ref="AF141:AF143"/>
    <mergeCell ref="AG141:AG143"/>
    <mergeCell ref="BH125:BH140"/>
    <mergeCell ref="BI125:BI140"/>
    <mergeCell ref="BJ125:BJ140"/>
    <mergeCell ref="BK125:BK143"/>
    <mergeCell ref="BL125:BL143"/>
    <mergeCell ref="BM125:BM143"/>
    <mergeCell ref="BB125:BB140"/>
    <mergeCell ref="BC125:BC140"/>
    <mergeCell ref="BD125:BD140"/>
    <mergeCell ref="BE125:BE140"/>
    <mergeCell ref="BF125:BF140"/>
    <mergeCell ref="AP120:AP124"/>
    <mergeCell ref="AQ120:AQ124"/>
    <mergeCell ref="AR120:AR124"/>
    <mergeCell ref="AS120:AS124"/>
    <mergeCell ref="AT120:AT124"/>
    <mergeCell ref="AU120:AU124"/>
    <mergeCell ref="AJ120:AJ124"/>
    <mergeCell ref="AT125:AT140"/>
    <mergeCell ref="AU125:AU140"/>
    <mergeCell ref="AJ125:AJ140"/>
    <mergeCell ref="AK125:AK140"/>
    <mergeCell ref="AL125:AL140"/>
    <mergeCell ref="AM125:AM140"/>
    <mergeCell ref="AN125:AN140"/>
    <mergeCell ref="AO125:AO140"/>
    <mergeCell ref="AD125:AD140"/>
    <mergeCell ref="AE125:AE140"/>
    <mergeCell ref="AF125:AF140"/>
    <mergeCell ref="AG125:AG140"/>
    <mergeCell ref="AH125:AH140"/>
    <mergeCell ref="AI125:AI140"/>
    <mergeCell ref="BH120:BH124"/>
    <mergeCell ref="BI120:BI124"/>
    <mergeCell ref="BJ120:BJ124"/>
    <mergeCell ref="BK120:BK124"/>
    <mergeCell ref="BL120:BL124"/>
    <mergeCell ref="BM120:BM124"/>
    <mergeCell ref="BB120:BB124"/>
    <mergeCell ref="BC120:BC124"/>
    <mergeCell ref="BD120:BD124"/>
    <mergeCell ref="BE120:BE124"/>
    <mergeCell ref="BF120:BF124"/>
    <mergeCell ref="BG120:BG124"/>
    <mergeCell ref="AV120:AV124"/>
    <mergeCell ref="AW120:AW124"/>
    <mergeCell ref="AX120:AX124"/>
    <mergeCell ref="AY120:AY124"/>
    <mergeCell ref="AZ120:AZ124"/>
    <mergeCell ref="BA120:BA124"/>
    <mergeCell ref="S120:S140"/>
    <mergeCell ref="T120:T121"/>
    <mergeCell ref="Z120:Z124"/>
    <mergeCell ref="AA120:AA124"/>
    <mergeCell ref="AB120:AB124"/>
    <mergeCell ref="AC120:AC124"/>
    <mergeCell ref="AA125:AA140"/>
    <mergeCell ref="AB125:AB140"/>
    <mergeCell ref="AC125:AC140"/>
    <mergeCell ref="M120:M140"/>
    <mergeCell ref="N120:N140"/>
    <mergeCell ref="O120:O140"/>
    <mergeCell ref="P120:P140"/>
    <mergeCell ref="Q120:Q140"/>
    <mergeCell ref="R120:R140"/>
    <mergeCell ref="G120:G124"/>
    <mergeCell ref="H120:H124"/>
    <mergeCell ref="I120:I124"/>
    <mergeCell ref="J120:J124"/>
    <mergeCell ref="K120:K124"/>
    <mergeCell ref="L120:L124"/>
    <mergeCell ref="G125:G140"/>
    <mergeCell ref="H125:H140"/>
    <mergeCell ref="I125:I140"/>
    <mergeCell ref="J125:J140"/>
    <mergeCell ref="K125:K140"/>
    <mergeCell ref="L125:L140"/>
    <mergeCell ref="Z125:Z140"/>
    <mergeCell ref="T131:T132"/>
    <mergeCell ref="T133:T134"/>
    <mergeCell ref="T135:T136"/>
    <mergeCell ref="BK117:BK118"/>
    <mergeCell ref="BL117:BL118"/>
    <mergeCell ref="BM117:BM118"/>
    <mergeCell ref="BN117:BN118"/>
    <mergeCell ref="BO117:BO118"/>
    <mergeCell ref="BP117:BP118"/>
    <mergeCell ref="BE117:BE118"/>
    <mergeCell ref="BF117:BF118"/>
    <mergeCell ref="BG117:BG118"/>
    <mergeCell ref="BH117:BH118"/>
    <mergeCell ref="BI117:BI118"/>
    <mergeCell ref="BJ117:BJ118"/>
    <mergeCell ref="AT117:AT118"/>
    <mergeCell ref="AV117:AV118"/>
    <mergeCell ref="AX117:AX118"/>
    <mergeCell ref="AZ117:AZ118"/>
    <mergeCell ref="BB117:BB118"/>
    <mergeCell ref="BD117:BD118"/>
    <mergeCell ref="AL117:AL118"/>
    <mergeCell ref="AM117:AM118"/>
    <mergeCell ref="AN117:AN118"/>
    <mergeCell ref="AO117:AO118"/>
    <mergeCell ref="AP117:AP118"/>
    <mergeCell ref="AR117:AR118"/>
    <mergeCell ref="AF117:AF118"/>
    <mergeCell ref="AG117:AG118"/>
    <mergeCell ref="AH117:AH118"/>
    <mergeCell ref="AI117:AI118"/>
    <mergeCell ref="AJ117:AJ118"/>
    <mergeCell ref="AK117:AK118"/>
    <mergeCell ref="Z117:Z118"/>
    <mergeCell ref="AA117:AA118"/>
    <mergeCell ref="AB117:AB118"/>
    <mergeCell ref="AC117:AC118"/>
    <mergeCell ref="AD117:AD118"/>
    <mergeCell ref="AE117:AE118"/>
    <mergeCell ref="BO111:BO114"/>
    <mergeCell ref="BP111:BP114"/>
    <mergeCell ref="D117:F118"/>
    <mergeCell ref="M117:M118"/>
    <mergeCell ref="N117:N118"/>
    <mergeCell ref="O117:O118"/>
    <mergeCell ref="P117:P118"/>
    <mergeCell ref="Q117:Q118"/>
    <mergeCell ref="R117:R118"/>
    <mergeCell ref="S117:S118"/>
    <mergeCell ref="BI111:BI114"/>
    <mergeCell ref="BJ111:BJ114"/>
    <mergeCell ref="BK111:BK114"/>
    <mergeCell ref="BL111:BL114"/>
    <mergeCell ref="BM111:BM114"/>
    <mergeCell ref="BN111:BN114"/>
    <mergeCell ref="BC111:BC114"/>
    <mergeCell ref="BD111:BD114"/>
    <mergeCell ref="BE111:BE114"/>
    <mergeCell ref="BF111:BF114"/>
    <mergeCell ref="BG111:BG114"/>
    <mergeCell ref="BH111:BH114"/>
    <mergeCell ref="AW111:AW114"/>
    <mergeCell ref="AX111:AX114"/>
    <mergeCell ref="AY111:AY114"/>
    <mergeCell ref="AZ111:AZ114"/>
    <mergeCell ref="BA111:BA114"/>
    <mergeCell ref="BB111:BB114"/>
    <mergeCell ref="AQ111:AQ114"/>
    <mergeCell ref="AR111:AR114"/>
    <mergeCell ref="AS111:AS114"/>
    <mergeCell ref="AT111:AT114"/>
    <mergeCell ref="AU111:AU114"/>
    <mergeCell ref="AV111:AV114"/>
    <mergeCell ref="AK111:AK114"/>
    <mergeCell ref="AL111:AL114"/>
    <mergeCell ref="AM111:AM114"/>
    <mergeCell ref="AN111:AN114"/>
    <mergeCell ref="AO111:AO114"/>
    <mergeCell ref="AP111:AP114"/>
    <mergeCell ref="AE111:AE114"/>
    <mergeCell ref="AF111:AF114"/>
    <mergeCell ref="AG111:AG114"/>
    <mergeCell ref="AH111:AH114"/>
    <mergeCell ref="AI111:AI114"/>
    <mergeCell ref="AJ111:AJ114"/>
    <mergeCell ref="S111:S114"/>
    <mergeCell ref="Z111:Z114"/>
    <mergeCell ref="AA111:AA114"/>
    <mergeCell ref="AB111:AB114"/>
    <mergeCell ref="AC111:AC114"/>
    <mergeCell ref="AD111:AD114"/>
    <mergeCell ref="M111:M114"/>
    <mergeCell ref="N111:N114"/>
    <mergeCell ref="O111:O114"/>
    <mergeCell ref="P111:P114"/>
    <mergeCell ref="Q111:Q114"/>
    <mergeCell ref="R111:R114"/>
    <mergeCell ref="G111:G114"/>
    <mergeCell ref="H111:H114"/>
    <mergeCell ref="I111:I114"/>
    <mergeCell ref="J111:J114"/>
    <mergeCell ref="K111:K114"/>
    <mergeCell ref="L111:L114"/>
    <mergeCell ref="BO99:BO110"/>
    <mergeCell ref="BP99:BP110"/>
    <mergeCell ref="T101:T102"/>
    <mergeCell ref="T104:T105"/>
    <mergeCell ref="T106:T107"/>
    <mergeCell ref="T108:T109"/>
    <mergeCell ref="BI99:BI110"/>
    <mergeCell ref="BJ99:BJ110"/>
    <mergeCell ref="BK99:BK110"/>
    <mergeCell ref="BL99:BL110"/>
    <mergeCell ref="BM99:BM110"/>
    <mergeCell ref="BN99:BN110"/>
    <mergeCell ref="BC99:BC110"/>
    <mergeCell ref="BD99:BD110"/>
    <mergeCell ref="BE99:BE110"/>
    <mergeCell ref="BF99:BF110"/>
    <mergeCell ref="BG99:BG110"/>
    <mergeCell ref="BH99:BH110"/>
    <mergeCell ref="AW99:AW110"/>
    <mergeCell ref="AX99:AX110"/>
    <mergeCell ref="AY99:AY110"/>
    <mergeCell ref="AZ99:AZ110"/>
    <mergeCell ref="BA99:BA110"/>
    <mergeCell ref="BB99:BB110"/>
    <mergeCell ref="AQ99:AQ110"/>
    <mergeCell ref="AR99:AR110"/>
    <mergeCell ref="AS99:AS110"/>
    <mergeCell ref="AT99:AT110"/>
    <mergeCell ref="AU99:AU110"/>
    <mergeCell ref="AV99:AV110"/>
    <mergeCell ref="AK99:AK110"/>
    <mergeCell ref="AL99:AL110"/>
    <mergeCell ref="AM99:AM110"/>
    <mergeCell ref="AN99:AN110"/>
    <mergeCell ref="AO99:AO110"/>
    <mergeCell ref="AP99:AP110"/>
    <mergeCell ref="AE99:AE110"/>
    <mergeCell ref="AF99:AF110"/>
    <mergeCell ref="AG99:AG110"/>
    <mergeCell ref="AH99:AH110"/>
    <mergeCell ref="AI99:AI110"/>
    <mergeCell ref="AJ99:AJ110"/>
    <mergeCell ref="S99:S110"/>
    <mergeCell ref="Z99:Z110"/>
    <mergeCell ref="AA99:AA110"/>
    <mergeCell ref="AB99:AB110"/>
    <mergeCell ref="AC99:AC110"/>
    <mergeCell ref="AD99:AD110"/>
    <mergeCell ref="M99:M110"/>
    <mergeCell ref="N99:N110"/>
    <mergeCell ref="O99:O110"/>
    <mergeCell ref="P99:P110"/>
    <mergeCell ref="Q99:Q110"/>
    <mergeCell ref="R99:R110"/>
    <mergeCell ref="G99:G110"/>
    <mergeCell ref="H99:H110"/>
    <mergeCell ref="I99:I110"/>
    <mergeCell ref="J99:J110"/>
    <mergeCell ref="K99:K110"/>
    <mergeCell ref="L99:L110"/>
    <mergeCell ref="BL83:BL98"/>
    <mergeCell ref="BM83:BM98"/>
    <mergeCell ref="BN83:BN98"/>
    <mergeCell ref="BO83:BO98"/>
    <mergeCell ref="BP83:BP98"/>
    <mergeCell ref="T84:T85"/>
    <mergeCell ref="T91:T92"/>
    <mergeCell ref="T93:T94"/>
    <mergeCell ref="T97:T98"/>
    <mergeCell ref="BF83:BF98"/>
    <mergeCell ref="BG83:BG98"/>
    <mergeCell ref="BH83:BH98"/>
    <mergeCell ref="BI83:BI98"/>
    <mergeCell ref="BJ83:BJ98"/>
    <mergeCell ref="BK83:BK98"/>
    <mergeCell ref="AZ83:AZ98"/>
    <mergeCell ref="BA83:BA98"/>
    <mergeCell ref="BB83:BB98"/>
    <mergeCell ref="BC83:BC98"/>
    <mergeCell ref="BD83:BD98"/>
    <mergeCell ref="BE83:BE98"/>
    <mergeCell ref="AT83:AT98"/>
    <mergeCell ref="AU83:AU98"/>
    <mergeCell ref="AV83:AV98"/>
    <mergeCell ref="AW83:AW98"/>
    <mergeCell ref="AX83:AX98"/>
    <mergeCell ref="AY83:AY98"/>
    <mergeCell ref="AN83:AN98"/>
    <mergeCell ref="AO83:AO98"/>
    <mergeCell ref="AP83:AP98"/>
    <mergeCell ref="AQ83:AQ98"/>
    <mergeCell ref="AR83:AR98"/>
    <mergeCell ref="AS83:AS98"/>
    <mergeCell ref="AH83:AH98"/>
    <mergeCell ref="AI83:AI98"/>
    <mergeCell ref="AJ83:AJ98"/>
    <mergeCell ref="AK83:AK98"/>
    <mergeCell ref="AL83:AL98"/>
    <mergeCell ref="AM83:AM98"/>
    <mergeCell ref="AB83:AB98"/>
    <mergeCell ref="AC83:AC98"/>
    <mergeCell ref="AD83:AD98"/>
    <mergeCell ref="AE83:AE98"/>
    <mergeCell ref="AF83:AF98"/>
    <mergeCell ref="AG83:AG98"/>
    <mergeCell ref="P83:P98"/>
    <mergeCell ref="Q83:Q98"/>
    <mergeCell ref="R83:R98"/>
    <mergeCell ref="S83:S98"/>
    <mergeCell ref="Z83:Z98"/>
    <mergeCell ref="AA83:AA98"/>
    <mergeCell ref="BP79:BP81"/>
    <mergeCell ref="G83:G98"/>
    <mergeCell ref="H83:H98"/>
    <mergeCell ref="I83:I98"/>
    <mergeCell ref="J83:J98"/>
    <mergeCell ref="K83:K98"/>
    <mergeCell ref="L83:L98"/>
    <mergeCell ref="M83:M98"/>
    <mergeCell ref="N83:N98"/>
    <mergeCell ref="O83:O98"/>
    <mergeCell ref="BJ79:BJ81"/>
    <mergeCell ref="BK79:BK81"/>
    <mergeCell ref="BL79:BL81"/>
    <mergeCell ref="BM79:BM81"/>
    <mergeCell ref="BN79:BN81"/>
    <mergeCell ref="BO79:BO81"/>
    <mergeCell ref="BD79:BD81"/>
    <mergeCell ref="BE79:BE81"/>
    <mergeCell ref="BF79:BF81"/>
    <mergeCell ref="BG79:BG81"/>
    <mergeCell ref="BH79:BH81"/>
    <mergeCell ref="BI79:BI81"/>
    <mergeCell ref="AX79:AX81"/>
    <mergeCell ref="AY79:AY81"/>
    <mergeCell ref="AZ79:AZ81"/>
    <mergeCell ref="BA79:BA81"/>
    <mergeCell ref="BB79:BB81"/>
    <mergeCell ref="BC79:BC81"/>
    <mergeCell ref="AR79:AR81"/>
    <mergeCell ref="AS79:AS81"/>
    <mergeCell ref="AT79:AT81"/>
    <mergeCell ref="AU79:AU81"/>
    <mergeCell ref="AV79:AV81"/>
    <mergeCell ref="AW79:AW81"/>
    <mergeCell ref="AL79:AL81"/>
    <mergeCell ref="AM79:AM81"/>
    <mergeCell ref="AN79:AN81"/>
    <mergeCell ref="AO79:AO81"/>
    <mergeCell ref="AP79:AP81"/>
    <mergeCell ref="AQ79:AQ81"/>
    <mergeCell ref="AF79:AF81"/>
    <mergeCell ref="AG79:AG81"/>
    <mergeCell ref="AH79:AH81"/>
    <mergeCell ref="AI79:AI81"/>
    <mergeCell ref="AJ79:AJ81"/>
    <mergeCell ref="AK79:AK81"/>
    <mergeCell ref="Z79:Z81"/>
    <mergeCell ref="AA79:AA81"/>
    <mergeCell ref="AB79:AB81"/>
    <mergeCell ref="AC79:AC81"/>
    <mergeCell ref="AD79:AD81"/>
    <mergeCell ref="AE79:AE81"/>
    <mergeCell ref="N79:N81"/>
    <mergeCell ref="O79:O81"/>
    <mergeCell ref="P79:P81"/>
    <mergeCell ref="Q79:Q81"/>
    <mergeCell ref="R79:R81"/>
    <mergeCell ref="S79:S81"/>
    <mergeCell ref="H79:H81"/>
    <mergeCell ref="I79:I81"/>
    <mergeCell ref="J79:J81"/>
    <mergeCell ref="K79:K81"/>
    <mergeCell ref="L79:L81"/>
    <mergeCell ref="M79:M81"/>
    <mergeCell ref="T69:T70"/>
    <mergeCell ref="T73:T74"/>
    <mergeCell ref="T76:T77"/>
    <mergeCell ref="A78:A81"/>
    <mergeCell ref="B78:B81"/>
    <mergeCell ref="C78:C81"/>
    <mergeCell ref="D79:D81"/>
    <mergeCell ref="E79:E81"/>
    <mergeCell ref="F79:F81"/>
    <mergeCell ref="G79:G81"/>
    <mergeCell ref="G69:G77"/>
    <mergeCell ref="H69:H77"/>
    <mergeCell ref="I69:I77"/>
    <mergeCell ref="J69:J77"/>
    <mergeCell ref="K69:K77"/>
    <mergeCell ref="L69:L77"/>
    <mergeCell ref="G66:G68"/>
    <mergeCell ref="H66:H68"/>
    <mergeCell ref="I66:I68"/>
    <mergeCell ref="J66:J68"/>
    <mergeCell ref="K66:K68"/>
    <mergeCell ref="L66:L68"/>
    <mergeCell ref="P66:P68"/>
    <mergeCell ref="T67:T68"/>
    <mergeCell ref="G58:G65"/>
    <mergeCell ref="H58:H65"/>
    <mergeCell ref="I58:I65"/>
    <mergeCell ref="J58:J65"/>
    <mergeCell ref="K58:K65"/>
    <mergeCell ref="L58:L65"/>
    <mergeCell ref="D53:F53"/>
    <mergeCell ref="G53:G57"/>
    <mergeCell ref="H53:H57"/>
    <mergeCell ref="I53:I57"/>
    <mergeCell ref="J53:J57"/>
    <mergeCell ref="K53:K57"/>
    <mergeCell ref="BM32:BM77"/>
    <mergeCell ref="BN32:BN77"/>
    <mergeCell ref="BO32:BO77"/>
    <mergeCell ref="BP32:BP77"/>
    <mergeCell ref="T34:T35"/>
    <mergeCell ref="T36:T37"/>
    <mergeCell ref="T38:T39"/>
    <mergeCell ref="T40:T41"/>
    <mergeCell ref="T42:T43"/>
    <mergeCell ref="T44:T45"/>
    <mergeCell ref="BG32:BG77"/>
    <mergeCell ref="BH32:BH77"/>
    <mergeCell ref="BI32:BI77"/>
    <mergeCell ref="BJ32:BJ77"/>
    <mergeCell ref="BK32:BK77"/>
    <mergeCell ref="BL32:BL77"/>
    <mergeCell ref="BA32:BA77"/>
    <mergeCell ref="BB32:BB77"/>
    <mergeCell ref="BC32:BC77"/>
    <mergeCell ref="BD32:BD77"/>
    <mergeCell ref="BE32:BE77"/>
    <mergeCell ref="BF32:BF77"/>
    <mergeCell ref="AU32:AU77"/>
    <mergeCell ref="AV32:AV77"/>
    <mergeCell ref="AW32:AW77"/>
    <mergeCell ref="AX32:AX77"/>
    <mergeCell ref="AY32:AY77"/>
    <mergeCell ref="AZ32:AZ77"/>
    <mergeCell ref="AO32:AO77"/>
    <mergeCell ref="AP32:AP77"/>
    <mergeCell ref="AQ32:AQ77"/>
    <mergeCell ref="AR32:AR77"/>
    <mergeCell ref="AS32:AS77"/>
    <mergeCell ref="AT32:AT77"/>
    <mergeCell ref="AI32:AI77"/>
    <mergeCell ref="AJ32:AJ77"/>
    <mergeCell ref="AK32:AK77"/>
    <mergeCell ref="AL32:AL77"/>
    <mergeCell ref="AM32:AM77"/>
    <mergeCell ref="AN32:AN77"/>
    <mergeCell ref="AC32:AC77"/>
    <mergeCell ref="AD32:AD77"/>
    <mergeCell ref="AE32:AE77"/>
    <mergeCell ref="AF32:AF77"/>
    <mergeCell ref="AG32:AG77"/>
    <mergeCell ref="AH32:AH77"/>
    <mergeCell ref="R32:R77"/>
    <mergeCell ref="S32:S77"/>
    <mergeCell ref="T32:T33"/>
    <mergeCell ref="Z32:Z77"/>
    <mergeCell ref="AA32:AA77"/>
    <mergeCell ref="AB32:AB77"/>
    <mergeCell ref="T46:T47"/>
    <mergeCell ref="T48:T49"/>
    <mergeCell ref="T51:T52"/>
    <mergeCell ref="T54:T55"/>
    <mergeCell ref="T59:T60"/>
    <mergeCell ref="T61:T62"/>
    <mergeCell ref="L32:L52"/>
    <mergeCell ref="M32:M77"/>
    <mergeCell ref="N32:N77"/>
    <mergeCell ref="O32:O77"/>
    <mergeCell ref="P32:P52"/>
    <mergeCell ref="Q32:Q77"/>
    <mergeCell ref="L53:L57"/>
    <mergeCell ref="P53:P57"/>
    <mergeCell ref="P58:P65"/>
    <mergeCell ref="P69:P77"/>
    <mergeCell ref="D32:F32"/>
    <mergeCell ref="G32:G52"/>
    <mergeCell ref="H32:H52"/>
    <mergeCell ref="I32:I52"/>
    <mergeCell ref="J32:J52"/>
    <mergeCell ref="K32:K52"/>
    <mergeCell ref="BL28:BL30"/>
    <mergeCell ref="AI28:AI30"/>
    <mergeCell ref="AJ28:AJ30"/>
    <mergeCell ref="AK28:AK30"/>
    <mergeCell ref="AL28:AL30"/>
    <mergeCell ref="AM28:AM30"/>
    <mergeCell ref="AB28:AB30"/>
    <mergeCell ref="AC28:AC30"/>
    <mergeCell ref="AD28:AD30"/>
    <mergeCell ref="AE28:AE30"/>
    <mergeCell ref="AF28:AF30"/>
    <mergeCell ref="AG28:AG30"/>
    <mergeCell ref="P28:P30"/>
    <mergeCell ref="Q28:Q30"/>
    <mergeCell ref="R28:R30"/>
    <mergeCell ref="S28:S30"/>
    <mergeCell ref="BM28:BM30"/>
    <mergeCell ref="BN28:BN30"/>
    <mergeCell ref="BO28:BO30"/>
    <mergeCell ref="BP28:BP30"/>
    <mergeCell ref="D29:D30"/>
    <mergeCell ref="E29:E30"/>
    <mergeCell ref="F29:F30"/>
    <mergeCell ref="BF28:BF30"/>
    <mergeCell ref="BG28:BG30"/>
    <mergeCell ref="BH28:BH30"/>
    <mergeCell ref="BI28:BI30"/>
    <mergeCell ref="BJ28:BJ30"/>
    <mergeCell ref="BK28:BK30"/>
    <mergeCell ref="AZ28:AZ30"/>
    <mergeCell ref="BA28:BA30"/>
    <mergeCell ref="BB28:BB30"/>
    <mergeCell ref="BC28:BC30"/>
    <mergeCell ref="BD28:BD30"/>
    <mergeCell ref="BE28:BE30"/>
    <mergeCell ref="AT28:AT30"/>
    <mergeCell ref="AU28:AU30"/>
    <mergeCell ref="AV28:AV30"/>
    <mergeCell ref="AW28:AW30"/>
    <mergeCell ref="AX28:AX30"/>
    <mergeCell ref="AY28:AY30"/>
    <mergeCell ref="AN28:AN30"/>
    <mergeCell ref="AO28:AO30"/>
    <mergeCell ref="AP28:AP30"/>
    <mergeCell ref="AQ28:AQ30"/>
    <mergeCell ref="AR28:AR30"/>
    <mergeCell ref="AS28:AS30"/>
    <mergeCell ref="AH28:AH30"/>
    <mergeCell ref="Z28:Z30"/>
    <mergeCell ref="AA28:AA30"/>
    <mergeCell ref="BP23:BP26"/>
    <mergeCell ref="G28:G30"/>
    <mergeCell ref="H28:H30"/>
    <mergeCell ref="I28:I30"/>
    <mergeCell ref="J28:J30"/>
    <mergeCell ref="K28:K30"/>
    <mergeCell ref="L28:L30"/>
    <mergeCell ref="M28:M30"/>
    <mergeCell ref="N28:N30"/>
    <mergeCell ref="O28:O30"/>
    <mergeCell ref="BJ23:BJ26"/>
    <mergeCell ref="BK23:BK26"/>
    <mergeCell ref="BL23:BL26"/>
    <mergeCell ref="BM23:BM26"/>
    <mergeCell ref="BN23:BN26"/>
    <mergeCell ref="BO23:BO26"/>
    <mergeCell ref="BD23:BD26"/>
    <mergeCell ref="BE23:BE26"/>
    <mergeCell ref="BF23:BF26"/>
    <mergeCell ref="BG23:BG26"/>
    <mergeCell ref="BH23:BH26"/>
    <mergeCell ref="BI23:BI26"/>
    <mergeCell ref="AX23:AX26"/>
    <mergeCell ref="AY23:AY26"/>
    <mergeCell ref="AZ23:AZ26"/>
    <mergeCell ref="BA23:BA26"/>
    <mergeCell ref="BB23:BB26"/>
    <mergeCell ref="BC23:BC26"/>
    <mergeCell ref="AR23:AR26"/>
    <mergeCell ref="AS23:AS26"/>
    <mergeCell ref="AT23:AT26"/>
    <mergeCell ref="AU23:AU26"/>
    <mergeCell ref="AV23:AV26"/>
    <mergeCell ref="AW23:AW26"/>
    <mergeCell ref="AL23:AL26"/>
    <mergeCell ref="AM23:AM26"/>
    <mergeCell ref="AN23:AN26"/>
    <mergeCell ref="AO23:AO26"/>
    <mergeCell ref="AP23:AP26"/>
    <mergeCell ref="AQ23:AQ26"/>
    <mergeCell ref="AF23:AF26"/>
    <mergeCell ref="AG23:AG26"/>
    <mergeCell ref="AH23:AH26"/>
    <mergeCell ref="AI23:AI26"/>
    <mergeCell ref="AJ23:AJ26"/>
    <mergeCell ref="AK23:AK26"/>
    <mergeCell ref="Z23:Z26"/>
    <mergeCell ref="AA23:AA26"/>
    <mergeCell ref="AB23:AB26"/>
    <mergeCell ref="AC23:AC26"/>
    <mergeCell ref="AD23:AD26"/>
    <mergeCell ref="AE23:AE26"/>
    <mergeCell ref="O23:O26"/>
    <mergeCell ref="P23:P26"/>
    <mergeCell ref="Q23:Q26"/>
    <mergeCell ref="R23:R26"/>
    <mergeCell ref="S23:S26"/>
    <mergeCell ref="T23:T24"/>
    <mergeCell ref="BO20:BO21"/>
    <mergeCell ref="BP20:BP21"/>
    <mergeCell ref="G23:G26"/>
    <mergeCell ref="H23:H26"/>
    <mergeCell ref="I23:I26"/>
    <mergeCell ref="J23:J26"/>
    <mergeCell ref="K23:K26"/>
    <mergeCell ref="L23:L26"/>
    <mergeCell ref="M23:M26"/>
    <mergeCell ref="N23:N26"/>
    <mergeCell ref="BI20:BI21"/>
    <mergeCell ref="BJ20:BJ21"/>
    <mergeCell ref="BK20:BK21"/>
    <mergeCell ref="BL20:BL21"/>
    <mergeCell ref="BM20:BM21"/>
    <mergeCell ref="BN20:BN21"/>
    <mergeCell ref="BC20:BC21"/>
    <mergeCell ref="BD20:BD21"/>
    <mergeCell ref="BE20:BE21"/>
    <mergeCell ref="BF20:BF21"/>
    <mergeCell ref="BG20:BG21"/>
    <mergeCell ref="BH20:BH21"/>
    <mergeCell ref="AW20:AW21"/>
    <mergeCell ref="AX20:AX21"/>
    <mergeCell ref="AY20:AY21"/>
    <mergeCell ref="AZ20:AZ21"/>
    <mergeCell ref="BA20:BA21"/>
    <mergeCell ref="BB20:BB21"/>
    <mergeCell ref="AQ20:AQ21"/>
    <mergeCell ref="AR20:AR21"/>
    <mergeCell ref="AS20:AS21"/>
    <mergeCell ref="AT20:AT21"/>
    <mergeCell ref="AU20:AU21"/>
    <mergeCell ref="AV20:AV21"/>
    <mergeCell ref="AK20:AK21"/>
    <mergeCell ref="AL20:AL21"/>
    <mergeCell ref="AM20:AM21"/>
    <mergeCell ref="AN20:AN21"/>
    <mergeCell ref="AO20:AO21"/>
    <mergeCell ref="AP20:AP21"/>
    <mergeCell ref="AE20:AE21"/>
    <mergeCell ref="AF20:AF21"/>
    <mergeCell ref="AG20:AG21"/>
    <mergeCell ref="AH20:AH21"/>
    <mergeCell ref="AI20:AI21"/>
    <mergeCell ref="AJ20:AJ21"/>
    <mergeCell ref="S20:S21"/>
    <mergeCell ref="Z20:Z21"/>
    <mergeCell ref="AA20:AA21"/>
    <mergeCell ref="AB20:AB21"/>
    <mergeCell ref="AC20:AC21"/>
    <mergeCell ref="AD20:AD21"/>
    <mergeCell ref="M20:M21"/>
    <mergeCell ref="N20:N21"/>
    <mergeCell ref="O20:O21"/>
    <mergeCell ref="P20:P21"/>
    <mergeCell ref="Q20:Q21"/>
    <mergeCell ref="R20:R21"/>
    <mergeCell ref="G20:G21"/>
    <mergeCell ref="H20:H21"/>
    <mergeCell ref="I20:I21"/>
    <mergeCell ref="J20:J21"/>
    <mergeCell ref="K20:K21"/>
    <mergeCell ref="L20:L21"/>
    <mergeCell ref="BK12:BK18"/>
    <mergeCell ref="BL12:BL18"/>
    <mergeCell ref="BM12:BM18"/>
    <mergeCell ref="BN12:BN18"/>
    <mergeCell ref="BO12:BO18"/>
    <mergeCell ref="BP12:BP18"/>
    <mergeCell ref="BE12:BE18"/>
    <mergeCell ref="BF12:BF18"/>
    <mergeCell ref="BG12:BG18"/>
    <mergeCell ref="BH12:BH18"/>
    <mergeCell ref="BI12:BI18"/>
    <mergeCell ref="BJ12:BJ18"/>
    <mergeCell ref="AY12:AY18"/>
    <mergeCell ref="AZ12:AZ18"/>
    <mergeCell ref="BA12:BA18"/>
    <mergeCell ref="BB12:BB18"/>
    <mergeCell ref="BC12:BC18"/>
    <mergeCell ref="BD12:BD18"/>
    <mergeCell ref="AS12:AS18"/>
    <mergeCell ref="AT12:AT18"/>
    <mergeCell ref="AU12:AU18"/>
    <mergeCell ref="AV12:AV18"/>
    <mergeCell ref="AW12:AW18"/>
    <mergeCell ref="AX12:AX18"/>
    <mergeCell ref="AM12:AM18"/>
    <mergeCell ref="AN12:AN18"/>
    <mergeCell ref="AO12:AO18"/>
    <mergeCell ref="AP12:AP18"/>
    <mergeCell ref="AQ12:AQ18"/>
    <mergeCell ref="AR12:AR18"/>
    <mergeCell ref="AG12:AG18"/>
    <mergeCell ref="AH12:AH18"/>
    <mergeCell ref="AI12:AI18"/>
    <mergeCell ref="AJ12:AJ18"/>
    <mergeCell ref="AK12:AK18"/>
    <mergeCell ref="AL12:AL18"/>
    <mergeCell ref="AA12:AA18"/>
    <mergeCell ref="AB12:AB18"/>
    <mergeCell ref="AC12:AC18"/>
    <mergeCell ref="AD12:AD18"/>
    <mergeCell ref="AE12:AE18"/>
    <mergeCell ref="AF12:AF18"/>
    <mergeCell ref="P12:P18"/>
    <mergeCell ref="Q12:Q18"/>
    <mergeCell ref="R12:R18"/>
    <mergeCell ref="S12:S18"/>
    <mergeCell ref="T12:T13"/>
    <mergeCell ref="Z12:Z18"/>
    <mergeCell ref="J12:J18"/>
    <mergeCell ref="K12:K18"/>
    <mergeCell ref="L12:L18"/>
    <mergeCell ref="M12:M18"/>
    <mergeCell ref="N12:N18"/>
    <mergeCell ref="O12:O18"/>
    <mergeCell ref="BH8:BH9"/>
    <mergeCell ref="BI8:BI9"/>
    <mergeCell ref="BJ8:BJ9"/>
    <mergeCell ref="BK8:BK9"/>
    <mergeCell ref="D12:D18"/>
    <mergeCell ref="E12:E18"/>
    <mergeCell ref="F12:F18"/>
    <mergeCell ref="G12:G18"/>
    <mergeCell ref="H12:H18"/>
    <mergeCell ref="I12:I18"/>
    <mergeCell ref="AX8:AY8"/>
    <mergeCell ref="AZ8:BA8"/>
    <mergeCell ref="BB8:BC8"/>
    <mergeCell ref="BD8:BE8"/>
    <mergeCell ref="BF8:BF9"/>
    <mergeCell ref="BG8:BG9"/>
    <mergeCell ref="AL8:AM8"/>
    <mergeCell ref="AN8:AO8"/>
    <mergeCell ref="AP8:AQ8"/>
    <mergeCell ref="AR8:AS8"/>
    <mergeCell ref="AT8:AU8"/>
    <mergeCell ref="AV8:AW8"/>
    <mergeCell ref="P7:P9"/>
    <mergeCell ref="Q7:Q9"/>
    <mergeCell ref="R7:R9"/>
    <mergeCell ref="S7:S9"/>
    <mergeCell ref="T7:T9"/>
    <mergeCell ref="I7:I9"/>
    <mergeCell ref="J7:J9"/>
    <mergeCell ref="K7:L8"/>
    <mergeCell ref="M7:M9"/>
    <mergeCell ref="N7:N9"/>
    <mergeCell ref="O7:O9"/>
    <mergeCell ref="A1:BN4"/>
    <mergeCell ref="A5:K6"/>
    <mergeCell ref="M5:BP5"/>
    <mergeCell ref="Z6:BB6"/>
    <mergeCell ref="A7:A9"/>
    <mergeCell ref="B7:C9"/>
    <mergeCell ref="D7:D9"/>
    <mergeCell ref="E7:F9"/>
    <mergeCell ref="G7:G9"/>
    <mergeCell ref="H7:H9"/>
    <mergeCell ref="BD7:BE7"/>
    <mergeCell ref="BF7:BK7"/>
    <mergeCell ref="BL7:BM8"/>
    <mergeCell ref="BN7:BO8"/>
    <mergeCell ref="BP7:BP8"/>
    <mergeCell ref="U8:U9"/>
    <mergeCell ref="V8:V9"/>
    <mergeCell ref="W8:W9"/>
    <mergeCell ref="Z8:AA8"/>
    <mergeCell ref="AB8:AC8"/>
    <mergeCell ref="X7:X9"/>
    <mergeCell ref="Y7:Y9"/>
    <mergeCell ref="Z7:AC7"/>
    <mergeCell ref="AD7:AK7"/>
    <mergeCell ref="AL7:AW7"/>
    <mergeCell ref="AX7:BC7"/>
    <mergeCell ref="AD8:AE8"/>
    <mergeCell ref="AF8:AG8"/>
    <mergeCell ref="AH8:AI8"/>
    <mergeCell ref="AJ8:AK8"/>
    <mergeCell ref="U7:W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H51"/>
  <sheetViews>
    <sheetView showGridLines="0" tabSelected="1" zoomScale="60" zoomScaleNormal="60" workbookViewId="0">
      <selection sqref="A1:BN4"/>
    </sheetView>
  </sheetViews>
  <sheetFormatPr baseColWidth="10" defaultColWidth="11.42578125" defaultRowHeight="14.25" x14ac:dyDescent="0.2"/>
  <cols>
    <col min="1" max="1" width="11.28515625" style="477" customWidth="1"/>
    <col min="2" max="2" width="4" style="388" customWidth="1"/>
    <col min="3" max="3" width="15.28515625" style="388" customWidth="1"/>
    <col min="4" max="4" width="14.7109375" style="388" customWidth="1"/>
    <col min="5" max="5" width="10" style="388" customWidth="1"/>
    <col min="6" max="6" width="9.85546875" style="388" customWidth="1"/>
    <col min="7" max="7" width="14.140625" style="388" customWidth="1"/>
    <col min="8" max="8" width="16.42578125" style="388" customWidth="1"/>
    <col min="9" max="9" width="29.140625" style="480" customWidth="1"/>
    <col min="10" max="10" width="30.7109375" style="480" customWidth="1"/>
    <col min="11" max="11" width="16.85546875" style="191" customWidth="1"/>
    <col min="12" max="12" width="16.5703125" style="191" customWidth="1"/>
    <col min="13" max="13" width="32.85546875" style="191" customWidth="1"/>
    <col min="14" max="14" width="29.7109375" style="479" customWidth="1"/>
    <col min="15" max="15" width="33.7109375" style="478" customWidth="1"/>
    <col min="16" max="16" width="15.85546875" style="481" customWidth="1"/>
    <col min="17" max="17" width="28.28515625" style="482" bestFit="1" customWidth="1"/>
    <col min="18" max="18" width="104.140625" style="478" bestFit="1" customWidth="1"/>
    <col min="19" max="19" width="99.140625" style="478" bestFit="1" customWidth="1"/>
    <col min="20" max="20" width="40.85546875" style="478" customWidth="1"/>
    <col min="21" max="23" width="28.7109375" style="1607" customWidth="1"/>
    <col min="24" max="24" width="13.7109375" style="484" customWidth="1"/>
    <col min="25" max="25" width="24" style="485" customWidth="1"/>
    <col min="26" max="27" width="14.28515625" style="388" customWidth="1"/>
    <col min="28" max="29" width="12.5703125" style="388" customWidth="1"/>
    <col min="30" max="33" width="11.28515625" style="388" customWidth="1"/>
    <col min="34" max="35" width="15.140625" style="388" customWidth="1"/>
    <col min="36" max="37" width="15" style="388" customWidth="1"/>
    <col min="38" max="49" width="9.85546875" style="388" customWidth="1"/>
    <col min="50" max="51" width="14.42578125" style="388" customWidth="1"/>
    <col min="52" max="53" width="13.28515625" style="388" customWidth="1"/>
    <col min="54" max="55" width="11.85546875" style="388" customWidth="1"/>
    <col min="56" max="58" width="16.42578125" style="388" customWidth="1"/>
    <col min="59" max="59" width="34" style="388" customWidth="1"/>
    <col min="60" max="60" width="33.28515625" style="388" customWidth="1"/>
    <col min="61" max="61" width="16.42578125" style="388" customWidth="1"/>
    <col min="62" max="62" width="40" style="388" customWidth="1"/>
    <col min="63" max="63" width="27.140625" style="388" customWidth="1"/>
    <col min="64" max="64" width="19.7109375" style="1710" customWidth="1"/>
    <col min="65" max="65" width="20.28515625" style="1710" customWidth="1"/>
    <col min="66" max="67" width="24.42578125" style="494" customWidth="1"/>
    <col min="68" max="68" width="27" style="489" customWidth="1"/>
    <col min="69" max="69" width="11.42578125" style="388"/>
    <col min="70" max="70" width="11.42578125" style="1616"/>
    <col min="71" max="71" width="19.7109375" style="1616" bestFit="1" customWidth="1"/>
    <col min="72" max="72" width="18.42578125" style="1616" bestFit="1" customWidth="1"/>
    <col min="73" max="74" width="11.42578125" style="1616"/>
    <col min="75" max="16384" width="11.42578125" style="388"/>
  </cols>
  <sheetData>
    <row r="1" spans="1:86" ht="15" customHeight="1" x14ac:dyDescent="0.2">
      <c r="A1" s="2518" t="s">
        <v>1293</v>
      </c>
      <c r="B1" s="2519"/>
      <c r="C1" s="2519"/>
      <c r="D1" s="2519"/>
      <c r="E1" s="2519"/>
      <c r="F1" s="2519"/>
      <c r="G1" s="2519"/>
      <c r="H1" s="2519"/>
      <c r="I1" s="2519"/>
      <c r="J1" s="2519"/>
      <c r="K1" s="2519"/>
      <c r="L1" s="2519"/>
      <c r="M1" s="2519"/>
      <c r="N1" s="2519"/>
      <c r="O1" s="2519"/>
      <c r="P1" s="2519"/>
      <c r="Q1" s="2519"/>
      <c r="R1" s="2519"/>
      <c r="S1" s="2519"/>
      <c r="T1" s="2519"/>
      <c r="U1" s="2519"/>
      <c r="V1" s="2519"/>
      <c r="W1" s="2519"/>
      <c r="X1" s="2519"/>
      <c r="Y1" s="2519"/>
      <c r="Z1" s="2519"/>
      <c r="AA1" s="2519"/>
      <c r="AB1" s="2519"/>
      <c r="AC1" s="2519"/>
      <c r="AD1" s="2519"/>
      <c r="AE1" s="2519"/>
      <c r="AF1" s="2519"/>
      <c r="AG1" s="2519"/>
      <c r="AH1" s="2519"/>
      <c r="AI1" s="2519"/>
      <c r="AJ1" s="2519"/>
      <c r="AK1" s="2519"/>
      <c r="AL1" s="2519"/>
      <c r="AM1" s="2519"/>
      <c r="AN1" s="2519"/>
      <c r="AO1" s="2519"/>
      <c r="AP1" s="2519"/>
      <c r="AQ1" s="2519"/>
      <c r="AR1" s="2519"/>
      <c r="AS1" s="2519"/>
      <c r="AT1" s="2519"/>
      <c r="AU1" s="2519"/>
      <c r="AV1" s="2519"/>
      <c r="AW1" s="2519"/>
      <c r="AX1" s="2519"/>
      <c r="AY1" s="2519"/>
      <c r="AZ1" s="2519"/>
      <c r="BA1" s="2519"/>
      <c r="BB1" s="2519"/>
      <c r="BC1" s="2519"/>
      <c r="BD1" s="2519"/>
      <c r="BE1" s="2519"/>
      <c r="BF1" s="2519"/>
      <c r="BG1" s="2519"/>
      <c r="BH1" s="2519"/>
      <c r="BI1" s="2519"/>
      <c r="BJ1" s="2519"/>
      <c r="BK1" s="2519"/>
      <c r="BL1" s="2519"/>
      <c r="BM1" s="2519"/>
      <c r="BN1" s="2520"/>
      <c r="BO1" s="386" t="s">
        <v>1</v>
      </c>
      <c r="BP1" s="735" t="s">
        <v>2</v>
      </c>
      <c r="BS1" s="1617"/>
      <c r="BT1" s="1617"/>
      <c r="BU1" s="1617"/>
      <c r="BV1" s="1617"/>
      <c r="BW1" s="191"/>
      <c r="BX1" s="191"/>
      <c r="BY1" s="191"/>
      <c r="BZ1" s="191"/>
      <c r="CA1" s="191"/>
      <c r="CB1" s="191"/>
      <c r="CC1" s="191"/>
      <c r="CD1" s="191"/>
      <c r="CE1" s="191"/>
      <c r="CF1" s="191"/>
      <c r="CG1" s="191"/>
      <c r="CH1" s="191"/>
    </row>
    <row r="2" spans="1:86" ht="15" customHeight="1" x14ac:dyDescent="0.2">
      <c r="A2" s="2521"/>
      <c r="B2" s="3531"/>
      <c r="C2" s="3531"/>
      <c r="D2" s="3531"/>
      <c r="E2" s="3531"/>
      <c r="F2" s="3531"/>
      <c r="G2" s="3531"/>
      <c r="H2" s="3531"/>
      <c r="I2" s="3531"/>
      <c r="J2" s="3531"/>
      <c r="K2" s="3531"/>
      <c r="L2" s="3531"/>
      <c r="M2" s="3531"/>
      <c r="N2" s="3531"/>
      <c r="O2" s="3531"/>
      <c r="P2" s="3531"/>
      <c r="Q2" s="3531"/>
      <c r="R2" s="3531"/>
      <c r="S2" s="3531"/>
      <c r="T2" s="3531"/>
      <c r="U2" s="3531"/>
      <c r="V2" s="3531"/>
      <c r="W2" s="3531"/>
      <c r="X2" s="3531"/>
      <c r="Y2" s="3531"/>
      <c r="Z2" s="3531"/>
      <c r="AA2" s="3531"/>
      <c r="AB2" s="3531"/>
      <c r="AC2" s="3531"/>
      <c r="AD2" s="3531"/>
      <c r="AE2" s="3531"/>
      <c r="AF2" s="3531"/>
      <c r="AG2" s="3531"/>
      <c r="AH2" s="3531"/>
      <c r="AI2" s="3531"/>
      <c r="AJ2" s="3531"/>
      <c r="AK2" s="3531"/>
      <c r="AL2" s="3531"/>
      <c r="AM2" s="3531"/>
      <c r="AN2" s="3531"/>
      <c r="AO2" s="3531"/>
      <c r="AP2" s="3531"/>
      <c r="AQ2" s="3531"/>
      <c r="AR2" s="3531"/>
      <c r="AS2" s="3531"/>
      <c r="AT2" s="3531"/>
      <c r="AU2" s="3531"/>
      <c r="AV2" s="3531"/>
      <c r="AW2" s="3531"/>
      <c r="AX2" s="3531"/>
      <c r="AY2" s="3531"/>
      <c r="AZ2" s="3531"/>
      <c r="BA2" s="3531"/>
      <c r="BB2" s="3531"/>
      <c r="BC2" s="3531"/>
      <c r="BD2" s="3531"/>
      <c r="BE2" s="3531"/>
      <c r="BF2" s="3531"/>
      <c r="BG2" s="3531"/>
      <c r="BH2" s="3531"/>
      <c r="BI2" s="3531"/>
      <c r="BJ2" s="3531"/>
      <c r="BK2" s="3531"/>
      <c r="BL2" s="3531"/>
      <c r="BM2" s="3531"/>
      <c r="BN2" s="2523"/>
      <c r="BO2" s="389" t="s">
        <v>3</v>
      </c>
      <c r="BP2" s="737">
        <v>6</v>
      </c>
      <c r="BS2" s="1617"/>
      <c r="BT2" s="1617"/>
      <c r="BU2" s="1617"/>
      <c r="BV2" s="1617"/>
      <c r="BW2" s="191"/>
      <c r="BX2" s="191"/>
      <c r="BY2" s="191"/>
      <c r="BZ2" s="191"/>
      <c r="CA2" s="191"/>
      <c r="CB2" s="191"/>
      <c r="CC2" s="191"/>
      <c r="CD2" s="191"/>
      <c r="CE2" s="191"/>
      <c r="CF2" s="191"/>
      <c r="CG2" s="191"/>
      <c r="CH2" s="191"/>
    </row>
    <row r="3" spans="1:86" ht="15" customHeight="1" x14ac:dyDescent="0.2">
      <c r="A3" s="2521"/>
      <c r="B3" s="3531"/>
      <c r="C3" s="3531"/>
      <c r="D3" s="3531"/>
      <c r="E3" s="3531"/>
      <c r="F3" s="3531"/>
      <c r="G3" s="3531"/>
      <c r="H3" s="3531"/>
      <c r="I3" s="3531"/>
      <c r="J3" s="3531"/>
      <c r="K3" s="3531"/>
      <c r="L3" s="3531"/>
      <c r="M3" s="3531"/>
      <c r="N3" s="3531"/>
      <c r="O3" s="3531"/>
      <c r="P3" s="3531"/>
      <c r="Q3" s="3531"/>
      <c r="R3" s="3531"/>
      <c r="S3" s="3531"/>
      <c r="T3" s="3531"/>
      <c r="U3" s="3531"/>
      <c r="V3" s="3531"/>
      <c r="W3" s="3531"/>
      <c r="X3" s="3531"/>
      <c r="Y3" s="3531"/>
      <c r="Z3" s="3531"/>
      <c r="AA3" s="3531"/>
      <c r="AB3" s="3531"/>
      <c r="AC3" s="3531"/>
      <c r="AD3" s="3531"/>
      <c r="AE3" s="3531"/>
      <c r="AF3" s="3531"/>
      <c r="AG3" s="3531"/>
      <c r="AH3" s="3531"/>
      <c r="AI3" s="3531"/>
      <c r="AJ3" s="3531"/>
      <c r="AK3" s="3531"/>
      <c r="AL3" s="3531"/>
      <c r="AM3" s="3531"/>
      <c r="AN3" s="3531"/>
      <c r="AO3" s="3531"/>
      <c r="AP3" s="3531"/>
      <c r="AQ3" s="3531"/>
      <c r="AR3" s="3531"/>
      <c r="AS3" s="3531"/>
      <c r="AT3" s="3531"/>
      <c r="AU3" s="3531"/>
      <c r="AV3" s="3531"/>
      <c r="AW3" s="3531"/>
      <c r="AX3" s="3531"/>
      <c r="AY3" s="3531"/>
      <c r="AZ3" s="3531"/>
      <c r="BA3" s="3531"/>
      <c r="BB3" s="3531"/>
      <c r="BC3" s="3531"/>
      <c r="BD3" s="3531"/>
      <c r="BE3" s="3531"/>
      <c r="BF3" s="3531"/>
      <c r="BG3" s="3531"/>
      <c r="BH3" s="3531"/>
      <c r="BI3" s="3531"/>
      <c r="BJ3" s="3531"/>
      <c r="BK3" s="3531"/>
      <c r="BL3" s="3531"/>
      <c r="BM3" s="3531"/>
      <c r="BN3" s="2523"/>
      <c r="BO3" s="389" t="s">
        <v>5</v>
      </c>
      <c r="BP3" s="738" t="s">
        <v>6</v>
      </c>
      <c r="BS3" s="1617"/>
      <c r="BT3" s="1617"/>
      <c r="BU3" s="1617"/>
      <c r="BV3" s="1617"/>
      <c r="BW3" s="191"/>
      <c r="BX3" s="191"/>
      <c r="BY3" s="191"/>
      <c r="BZ3" s="191"/>
      <c r="CA3" s="191"/>
      <c r="CB3" s="191"/>
      <c r="CC3" s="191"/>
      <c r="CD3" s="191"/>
      <c r="CE3" s="191"/>
      <c r="CF3" s="191"/>
      <c r="CG3" s="191"/>
      <c r="CH3" s="191"/>
    </row>
    <row r="4" spans="1:86" ht="15" customHeight="1" x14ac:dyDescent="0.2">
      <c r="A4" s="2524"/>
      <c r="B4" s="2525"/>
      <c r="C4" s="2525"/>
      <c r="D4" s="2525"/>
      <c r="E4" s="2525"/>
      <c r="F4" s="2525"/>
      <c r="G4" s="2525"/>
      <c r="H4" s="2525"/>
      <c r="I4" s="2525"/>
      <c r="J4" s="2525"/>
      <c r="K4" s="2525"/>
      <c r="L4" s="2525"/>
      <c r="M4" s="2525"/>
      <c r="N4" s="2525"/>
      <c r="O4" s="2525"/>
      <c r="P4" s="2525"/>
      <c r="Q4" s="2525"/>
      <c r="R4" s="2525"/>
      <c r="S4" s="2525"/>
      <c r="T4" s="2525"/>
      <c r="U4" s="2525"/>
      <c r="V4" s="2525"/>
      <c r="W4" s="2525"/>
      <c r="X4" s="2525"/>
      <c r="Y4" s="2525"/>
      <c r="Z4" s="2525"/>
      <c r="AA4" s="2525"/>
      <c r="AB4" s="2525"/>
      <c r="AC4" s="2525"/>
      <c r="AD4" s="2525"/>
      <c r="AE4" s="2525"/>
      <c r="AF4" s="2525"/>
      <c r="AG4" s="2525"/>
      <c r="AH4" s="2525"/>
      <c r="AI4" s="2525"/>
      <c r="AJ4" s="2525"/>
      <c r="AK4" s="2525"/>
      <c r="AL4" s="2525"/>
      <c r="AM4" s="2525"/>
      <c r="AN4" s="2525"/>
      <c r="AO4" s="2525"/>
      <c r="AP4" s="2525"/>
      <c r="AQ4" s="2525"/>
      <c r="AR4" s="2525"/>
      <c r="AS4" s="2525"/>
      <c r="AT4" s="2525"/>
      <c r="AU4" s="2525"/>
      <c r="AV4" s="2525"/>
      <c r="AW4" s="2525"/>
      <c r="AX4" s="2525"/>
      <c r="AY4" s="2525"/>
      <c r="AZ4" s="2525"/>
      <c r="BA4" s="2525"/>
      <c r="BB4" s="2525"/>
      <c r="BC4" s="2525"/>
      <c r="BD4" s="2525"/>
      <c r="BE4" s="2525"/>
      <c r="BF4" s="2525"/>
      <c r="BG4" s="2525"/>
      <c r="BH4" s="2525"/>
      <c r="BI4" s="2525"/>
      <c r="BJ4" s="2525"/>
      <c r="BK4" s="2525"/>
      <c r="BL4" s="2525"/>
      <c r="BM4" s="2525"/>
      <c r="BN4" s="2526"/>
      <c r="BO4" s="389" t="s">
        <v>7</v>
      </c>
      <c r="BP4" s="740" t="s">
        <v>311</v>
      </c>
      <c r="BS4" s="1617"/>
      <c r="BT4" s="1617"/>
      <c r="BU4" s="1617"/>
      <c r="BV4" s="1617"/>
      <c r="BW4" s="191"/>
      <c r="BX4" s="191"/>
      <c r="BY4" s="191"/>
      <c r="BZ4" s="191"/>
      <c r="CA4" s="191"/>
      <c r="CB4" s="191"/>
      <c r="CC4" s="191"/>
      <c r="CD4" s="191"/>
      <c r="CE4" s="191"/>
      <c r="CF4" s="191"/>
      <c r="CG4" s="191"/>
      <c r="CH4" s="191"/>
    </row>
    <row r="5" spans="1:86" ht="15" customHeight="1" x14ac:dyDescent="0.2">
      <c r="A5" s="2527" t="s">
        <v>312</v>
      </c>
      <c r="B5" s="2528"/>
      <c r="C5" s="2528"/>
      <c r="D5" s="2528"/>
      <c r="E5" s="2528"/>
      <c r="F5" s="2528"/>
      <c r="G5" s="2528"/>
      <c r="H5" s="2528"/>
      <c r="I5" s="2528"/>
      <c r="J5" s="2528"/>
      <c r="K5" s="2528"/>
      <c r="L5" s="2528"/>
      <c r="M5" s="999"/>
      <c r="N5" s="2531" t="s">
        <v>10</v>
      </c>
      <c r="O5" s="2532"/>
      <c r="P5" s="2532"/>
      <c r="Q5" s="2532"/>
      <c r="R5" s="2532"/>
      <c r="S5" s="2532"/>
      <c r="T5" s="2532"/>
      <c r="U5" s="2532"/>
      <c r="V5" s="2532"/>
      <c r="W5" s="2532"/>
      <c r="X5" s="2532"/>
      <c r="Y5" s="2532"/>
      <c r="Z5" s="2532"/>
      <c r="AA5" s="2532"/>
      <c r="AB5" s="2532"/>
      <c r="AC5" s="2532"/>
      <c r="AD5" s="2532"/>
      <c r="AE5" s="2532"/>
      <c r="AF5" s="2532"/>
      <c r="AG5" s="2532"/>
      <c r="AH5" s="2532"/>
      <c r="AI5" s="2532"/>
      <c r="AJ5" s="2532"/>
      <c r="AK5" s="2532"/>
      <c r="AL5" s="2532"/>
      <c r="AM5" s="2532"/>
      <c r="AN5" s="2532"/>
      <c r="AO5" s="2532"/>
      <c r="AP5" s="2532"/>
      <c r="AQ5" s="2532"/>
      <c r="AR5" s="2532"/>
      <c r="AS5" s="2532"/>
      <c r="AT5" s="2532"/>
      <c r="AU5" s="2532"/>
      <c r="AV5" s="2532"/>
      <c r="AW5" s="2532"/>
      <c r="AX5" s="2532"/>
      <c r="AY5" s="2532"/>
      <c r="AZ5" s="2532"/>
      <c r="BA5" s="2532"/>
      <c r="BB5" s="2532"/>
      <c r="BC5" s="2532"/>
      <c r="BD5" s="2532"/>
      <c r="BE5" s="2532"/>
      <c r="BF5" s="2532"/>
      <c r="BG5" s="2532"/>
      <c r="BH5" s="2532"/>
      <c r="BI5" s="2532"/>
      <c r="BJ5" s="2532"/>
      <c r="BK5" s="2532"/>
      <c r="BL5" s="2532"/>
      <c r="BM5" s="2532"/>
      <c r="BN5" s="2532"/>
      <c r="BO5" s="2532"/>
      <c r="BP5" s="2532"/>
      <c r="BQ5" s="2532"/>
      <c r="BR5" s="3532"/>
      <c r="BS5" s="1617"/>
      <c r="BT5" s="1617"/>
      <c r="BU5" s="1617"/>
      <c r="BV5" s="1617"/>
      <c r="BW5" s="191"/>
      <c r="BX5" s="191"/>
      <c r="BY5" s="191"/>
      <c r="BZ5" s="191"/>
      <c r="CA5" s="191"/>
      <c r="CB5" s="191"/>
      <c r="CC5" s="191"/>
      <c r="CD5" s="191"/>
      <c r="CE5" s="191"/>
      <c r="CF5" s="191"/>
      <c r="CG5" s="191"/>
      <c r="CH5" s="191"/>
    </row>
    <row r="6" spans="1:86" ht="15" customHeight="1" thickBot="1" x14ac:dyDescent="0.25">
      <c r="A6" s="2529"/>
      <c r="B6" s="2530"/>
      <c r="C6" s="2530"/>
      <c r="D6" s="2530"/>
      <c r="E6" s="2530"/>
      <c r="F6" s="2530"/>
      <c r="G6" s="2530"/>
      <c r="H6" s="2530"/>
      <c r="I6" s="2530"/>
      <c r="J6" s="2530"/>
      <c r="K6" s="2530"/>
      <c r="L6" s="2530"/>
      <c r="M6" s="1000"/>
      <c r="N6" s="1024"/>
      <c r="O6" s="741"/>
      <c r="P6" s="397"/>
      <c r="Q6" s="1000"/>
      <c r="R6" s="398"/>
      <c r="S6" s="1000"/>
      <c r="T6" s="1000"/>
      <c r="U6" s="1000"/>
      <c r="V6" s="1000"/>
      <c r="W6" s="1000"/>
      <c r="X6" s="1000"/>
      <c r="Y6" s="1000"/>
      <c r="Z6" s="1000"/>
      <c r="AA6" s="2531" t="s">
        <v>11</v>
      </c>
      <c r="AB6" s="2532"/>
      <c r="AC6" s="2532"/>
      <c r="AD6" s="2532"/>
      <c r="AE6" s="2532"/>
      <c r="AF6" s="2532"/>
      <c r="AG6" s="2532"/>
      <c r="AH6" s="2532"/>
      <c r="AI6" s="2532"/>
      <c r="AJ6" s="2532"/>
      <c r="AK6" s="2532"/>
      <c r="AL6" s="2532"/>
      <c r="AM6" s="2532"/>
      <c r="AN6" s="2532"/>
      <c r="AO6" s="2532"/>
      <c r="AP6" s="2532"/>
      <c r="AQ6" s="2532"/>
      <c r="AR6" s="2532"/>
      <c r="AS6" s="2532"/>
      <c r="AT6" s="2532"/>
      <c r="AU6" s="2532"/>
      <c r="AV6" s="2532"/>
      <c r="AW6" s="2532"/>
      <c r="AX6" s="2532"/>
      <c r="AY6" s="2532"/>
      <c r="AZ6" s="2532"/>
      <c r="BA6" s="2532"/>
      <c r="BB6" s="2532"/>
      <c r="BC6" s="2532"/>
      <c r="BD6" s="1000"/>
      <c r="BE6" s="399"/>
      <c r="BF6" s="399"/>
      <c r="BG6" s="399"/>
      <c r="BH6" s="399"/>
      <c r="BI6" s="399"/>
      <c r="BJ6" s="399"/>
      <c r="BK6" s="399"/>
      <c r="BL6" s="399"/>
      <c r="BM6" s="400"/>
      <c r="BN6" s="400"/>
      <c r="BO6" s="400"/>
      <c r="BP6" s="400"/>
      <c r="BQ6" s="400"/>
      <c r="BR6" s="1618"/>
      <c r="BS6" s="1617"/>
      <c r="BT6" s="1617"/>
      <c r="BU6" s="1617"/>
      <c r="BV6" s="1617"/>
      <c r="BW6" s="191"/>
      <c r="BX6" s="191"/>
      <c r="BY6" s="191"/>
      <c r="BZ6" s="191"/>
      <c r="CA6" s="191"/>
      <c r="CB6" s="191"/>
      <c r="CC6" s="191"/>
      <c r="CD6" s="191"/>
      <c r="CE6" s="191"/>
      <c r="CF6" s="191"/>
      <c r="CG6" s="191"/>
      <c r="CH6" s="191"/>
    </row>
    <row r="7" spans="1:86" s="4" customFormat="1" ht="36" customHeight="1" x14ac:dyDescent="0.2">
      <c r="A7" s="2534" t="s">
        <v>12</v>
      </c>
      <c r="B7" s="2536" t="s">
        <v>13</v>
      </c>
      <c r="C7" s="2537"/>
      <c r="D7" s="2537" t="s">
        <v>12</v>
      </c>
      <c r="E7" s="2536" t="s">
        <v>14</v>
      </c>
      <c r="F7" s="2537"/>
      <c r="G7" s="2537" t="s">
        <v>12</v>
      </c>
      <c r="H7" s="2516" t="s">
        <v>313</v>
      </c>
      <c r="I7" s="2536" t="s">
        <v>15</v>
      </c>
      <c r="J7" s="2516" t="s">
        <v>16</v>
      </c>
      <c r="K7" s="2580" t="s">
        <v>17</v>
      </c>
      <c r="L7" s="2580"/>
      <c r="M7" s="2516" t="s">
        <v>18</v>
      </c>
      <c r="N7" s="2516" t="s">
        <v>19</v>
      </c>
      <c r="O7" s="2516" t="s">
        <v>10</v>
      </c>
      <c r="P7" s="2562" t="s">
        <v>20</v>
      </c>
      <c r="Q7" s="2564" t="s">
        <v>21</v>
      </c>
      <c r="R7" s="2536" t="s">
        <v>22</v>
      </c>
      <c r="S7" s="2536" t="s">
        <v>23</v>
      </c>
      <c r="T7" s="2516" t="s">
        <v>24</v>
      </c>
      <c r="U7" s="2566" t="s">
        <v>21</v>
      </c>
      <c r="V7" s="2566"/>
      <c r="W7" s="2566"/>
      <c r="X7" s="2548" t="s">
        <v>12</v>
      </c>
      <c r="Y7" s="2516" t="s">
        <v>25</v>
      </c>
      <c r="Z7" s="2551" t="s">
        <v>26</v>
      </c>
      <c r="AA7" s="2552"/>
      <c r="AB7" s="2552"/>
      <c r="AC7" s="2553"/>
      <c r="AD7" s="2554" t="s">
        <v>27</v>
      </c>
      <c r="AE7" s="2555"/>
      <c r="AF7" s="2555"/>
      <c r="AG7" s="2555"/>
      <c r="AH7" s="2555"/>
      <c r="AI7" s="2555"/>
      <c r="AJ7" s="2555"/>
      <c r="AK7" s="2556"/>
      <c r="AL7" s="2557" t="s">
        <v>28</v>
      </c>
      <c r="AM7" s="2557"/>
      <c r="AN7" s="2557"/>
      <c r="AO7" s="2557"/>
      <c r="AP7" s="2557"/>
      <c r="AQ7" s="2557"/>
      <c r="AR7" s="2557"/>
      <c r="AS7" s="2557"/>
      <c r="AT7" s="2557"/>
      <c r="AU7" s="2557"/>
      <c r="AV7" s="2557"/>
      <c r="AW7" s="2557"/>
      <c r="AX7" s="2554" t="s">
        <v>29</v>
      </c>
      <c r="AY7" s="2555"/>
      <c r="AZ7" s="2555"/>
      <c r="BA7" s="2555"/>
      <c r="BB7" s="2555"/>
      <c r="BC7" s="2556"/>
      <c r="BD7" s="2576" t="s">
        <v>30</v>
      </c>
      <c r="BE7" s="2576"/>
      <c r="BF7" s="3526" t="s">
        <v>31</v>
      </c>
      <c r="BG7" s="3527"/>
      <c r="BH7" s="3527"/>
      <c r="BI7" s="3527"/>
      <c r="BJ7" s="3527"/>
      <c r="BK7" s="3528"/>
      <c r="BL7" s="2541" t="s">
        <v>32</v>
      </c>
      <c r="BM7" s="2542"/>
      <c r="BN7" s="2541" t="s">
        <v>33</v>
      </c>
      <c r="BO7" s="3533"/>
      <c r="BP7" s="2545" t="s">
        <v>34</v>
      </c>
      <c r="BR7" s="1619"/>
      <c r="BS7" s="1619"/>
      <c r="BT7" s="1619"/>
      <c r="BU7" s="1619"/>
      <c r="BV7" s="1619"/>
      <c r="BW7" s="3"/>
      <c r="BX7" s="3"/>
      <c r="BY7" s="3"/>
      <c r="BZ7" s="3"/>
      <c r="CA7" s="3"/>
      <c r="CB7" s="3"/>
      <c r="CC7" s="3"/>
      <c r="CD7" s="3"/>
      <c r="CE7" s="3"/>
      <c r="CF7" s="3"/>
      <c r="CG7" s="3"/>
      <c r="CH7" s="3"/>
    </row>
    <row r="8" spans="1:86" s="4" customFormat="1" ht="135" customHeight="1" x14ac:dyDescent="0.2">
      <c r="A8" s="2535"/>
      <c r="B8" s="2538"/>
      <c r="C8" s="2539"/>
      <c r="D8" s="2539"/>
      <c r="E8" s="2538"/>
      <c r="F8" s="2539"/>
      <c r="G8" s="2539"/>
      <c r="H8" s="2517"/>
      <c r="I8" s="2538"/>
      <c r="J8" s="2517"/>
      <c r="K8" s="2516" t="s">
        <v>59</v>
      </c>
      <c r="L8" s="2516" t="s">
        <v>60</v>
      </c>
      <c r="M8" s="2517"/>
      <c r="N8" s="2517"/>
      <c r="O8" s="2517"/>
      <c r="P8" s="2563"/>
      <c r="Q8" s="2565"/>
      <c r="R8" s="2538"/>
      <c r="S8" s="2538"/>
      <c r="T8" s="2517"/>
      <c r="U8" s="2546" t="s">
        <v>315</v>
      </c>
      <c r="V8" s="2546" t="s">
        <v>230</v>
      </c>
      <c r="W8" s="2546" t="s">
        <v>316</v>
      </c>
      <c r="X8" s="2549"/>
      <c r="Y8" s="2517"/>
      <c r="Z8" s="3529" t="s">
        <v>38</v>
      </c>
      <c r="AA8" s="3530"/>
      <c r="AB8" s="3529" t="s">
        <v>39</v>
      </c>
      <c r="AC8" s="3530"/>
      <c r="AD8" s="3524" t="s">
        <v>40</v>
      </c>
      <c r="AE8" s="3525"/>
      <c r="AF8" s="3524" t="s">
        <v>41</v>
      </c>
      <c r="AG8" s="3525"/>
      <c r="AH8" s="3524" t="s">
        <v>42</v>
      </c>
      <c r="AI8" s="3525"/>
      <c r="AJ8" s="3524" t="s">
        <v>43</v>
      </c>
      <c r="AK8" s="3525"/>
      <c r="AL8" s="3523" t="s">
        <v>44</v>
      </c>
      <c r="AM8" s="3523"/>
      <c r="AN8" s="3523" t="s">
        <v>45</v>
      </c>
      <c r="AO8" s="3523"/>
      <c r="AP8" s="3523" t="s">
        <v>46</v>
      </c>
      <c r="AQ8" s="3523"/>
      <c r="AR8" s="3523" t="s">
        <v>47</v>
      </c>
      <c r="AS8" s="3523"/>
      <c r="AT8" s="3523" t="s">
        <v>48</v>
      </c>
      <c r="AU8" s="3523"/>
      <c r="AV8" s="3523" t="s">
        <v>49</v>
      </c>
      <c r="AW8" s="3523"/>
      <c r="AX8" s="3524" t="s">
        <v>50</v>
      </c>
      <c r="AY8" s="3525"/>
      <c r="AZ8" s="3524" t="s">
        <v>51</v>
      </c>
      <c r="BA8" s="3525"/>
      <c r="BB8" s="3524" t="s">
        <v>52</v>
      </c>
      <c r="BC8" s="3525"/>
      <c r="BD8" s="2576"/>
      <c r="BE8" s="2576"/>
      <c r="BF8" s="3515" t="s">
        <v>53</v>
      </c>
      <c r="BG8" s="3514" t="s">
        <v>54</v>
      </c>
      <c r="BH8" s="3515" t="s">
        <v>55</v>
      </c>
      <c r="BI8" s="3516" t="s">
        <v>56</v>
      </c>
      <c r="BJ8" s="3515" t="s">
        <v>57</v>
      </c>
      <c r="BK8" s="3521" t="s">
        <v>58</v>
      </c>
      <c r="BL8" s="2543"/>
      <c r="BM8" s="2544"/>
      <c r="BN8" s="2543"/>
      <c r="BO8" s="3534"/>
      <c r="BP8" s="2545"/>
      <c r="BR8" s="1619"/>
      <c r="BS8" s="1619"/>
      <c r="BT8" s="1619"/>
      <c r="BU8" s="1619"/>
      <c r="BV8" s="1619"/>
      <c r="BW8" s="3"/>
      <c r="BX8" s="3"/>
      <c r="BY8" s="3"/>
      <c r="BZ8" s="3"/>
      <c r="CA8" s="3"/>
      <c r="CB8" s="3"/>
      <c r="CC8" s="3"/>
      <c r="CD8" s="3"/>
      <c r="CE8" s="3"/>
      <c r="CF8" s="3"/>
      <c r="CG8" s="3"/>
      <c r="CH8" s="3"/>
    </row>
    <row r="9" spans="1:86" s="4" customFormat="1" ht="21.75" customHeight="1" x14ac:dyDescent="0.2">
      <c r="A9" s="2535"/>
      <c r="B9" s="2538"/>
      <c r="C9" s="2539"/>
      <c r="D9" s="2539"/>
      <c r="E9" s="2538"/>
      <c r="F9" s="2539"/>
      <c r="G9" s="2539"/>
      <c r="H9" s="2540"/>
      <c r="I9" s="2538"/>
      <c r="J9" s="2517"/>
      <c r="K9" s="2540"/>
      <c r="L9" s="2540"/>
      <c r="M9" s="2517"/>
      <c r="N9" s="2517"/>
      <c r="O9" s="2517"/>
      <c r="P9" s="2563"/>
      <c r="Q9" s="2565"/>
      <c r="R9" s="2538"/>
      <c r="S9" s="2538"/>
      <c r="T9" s="2517"/>
      <c r="U9" s="2547"/>
      <c r="V9" s="2547"/>
      <c r="W9" s="2547"/>
      <c r="X9" s="2550"/>
      <c r="Y9" s="2517"/>
      <c r="Z9" s="403" t="s">
        <v>59</v>
      </c>
      <c r="AA9" s="403" t="s">
        <v>60</v>
      </c>
      <c r="AB9" s="403" t="s">
        <v>59</v>
      </c>
      <c r="AC9" s="403" t="s">
        <v>60</v>
      </c>
      <c r="AD9" s="403" t="s">
        <v>59</v>
      </c>
      <c r="AE9" s="403" t="s">
        <v>60</v>
      </c>
      <c r="AF9" s="403" t="s">
        <v>59</v>
      </c>
      <c r="AG9" s="403" t="s">
        <v>60</v>
      </c>
      <c r="AH9" s="403" t="s">
        <v>59</v>
      </c>
      <c r="AI9" s="403" t="s">
        <v>60</v>
      </c>
      <c r="AJ9" s="403" t="s">
        <v>59</v>
      </c>
      <c r="AK9" s="403" t="s">
        <v>60</v>
      </c>
      <c r="AL9" s="403" t="s">
        <v>59</v>
      </c>
      <c r="AM9" s="403" t="s">
        <v>60</v>
      </c>
      <c r="AN9" s="403" t="s">
        <v>59</v>
      </c>
      <c r="AO9" s="403" t="s">
        <v>60</v>
      </c>
      <c r="AP9" s="403" t="s">
        <v>59</v>
      </c>
      <c r="AQ9" s="403" t="s">
        <v>60</v>
      </c>
      <c r="AR9" s="403" t="s">
        <v>59</v>
      </c>
      <c r="AS9" s="403" t="s">
        <v>60</v>
      </c>
      <c r="AT9" s="403" t="s">
        <v>59</v>
      </c>
      <c r="AU9" s="403" t="s">
        <v>60</v>
      </c>
      <c r="AV9" s="403" t="s">
        <v>59</v>
      </c>
      <c r="AW9" s="403" t="s">
        <v>60</v>
      </c>
      <c r="AX9" s="403" t="s">
        <v>59</v>
      </c>
      <c r="AY9" s="403" t="s">
        <v>60</v>
      </c>
      <c r="AZ9" s="403" t="s">
        <v>59</v>
      </c>
      <c r="BA9" s="403" t="s">
        <v>60</v>
      </c>
      <c r="BB9" s="403" t="s">
        <v>59</v>
      </c>
      <c r="BC9" s="403" t="s">
        <v>60</v>
      </c>
      <c r="BD9" s="403" t="s">
        <v>59</v>
      </c>
      <c r="BE9" s="403" t="s">
        <v>60</v>
      </c>
      <c r="BF9" s="3515"/>
      <c r="BG9" s="3514"/>
      <c r="BH9" s="3515"/>
      <c r="BI9" s="3516"/>
      <c r="BJ9" s="3515"/>
      <c r="BK9" s="3522"/>
      <c r="BL9" s="403" t="s">
        <v>59</v>
      </c>
      <c r="BM9" s="403" t="s">
        <v>60</v>
      </c>
      <c r="BN9" s="403" t="s">
        <v>59</v>
      </c>
      <c r="BO9" s="403" t="s">
        <v>60</v>
      </c>
      <c r="BP9" s="2545"/>
      <c r="BR9" s="1619"/>
      <c r="BS9" s="1619"/>
      <c r="BT9" s="1619"/>
      <c r="BU9" s="1619"/>
      <c r="BV9" s="1619"/>
      <c r="BW9" s="3"/>
      <c r="BX9" s="3"/>
      <c r="BY9" s="3"/>
      <c r="BZ9" s="3"/>
      <c r="CA9" s="3"/>
      <c r="CB9" s="3"/>
      <c r="CC9" s="3"/>
      <c r="CD9" s="3"/>
      <c r="CE9" s="3"/>
      <c r="CF9" s="3"/>
      <c r="CG9" s="3"/>
      <c r="CH9" s="3"/>
    </row>
    <row r="10" spans="1:86" s="125" customFormat="1" ht="15.75" x14ac:dyDescent="0.2">
      <c r="A10" s="1620">
        <v>1</v>
      </c>
      <c r="B10" s="1621" t="s">
        <v>233</v>
      </c>
      <c r="C10" s="405"/>
      <c r="D10" s="34"/>
      <c r="E10" s="34"/>
      <c r="F10" s="34"/>
      <c r="G10" s="34"/>
      <c r="H10" s="34"/>
      <c r="I10" s="36"/>
      <c r="J10" s="36"/>
      <c r="K10" s="34"/>
      <c r="L10" s="34"/>
      <c r="M10" s="34"/>
      <c r="N10" s="37"/>
      <c r="O10" s="35"/>
      <c r="P10" s="38"/>
      <c r="Q10" s="39"/>
      <c r="R10" s="35"/>
      <c r="S10" s="35"/>
      <c r="T10" s="35"/>
      <c r="U10" s="41"/>
      <c r="V10" s="41"/>
      <c r="W10" s="41"/>
      <c r="X10" s="42"/>
      <c r="Y10" s="37"/>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43"/>
      <c r="BM10" s="43"/>
      <c r="BN10" s="43"/>
      <c r="BO10" s="43"/>
      <c r="BP10" s="35"/>
      <c r="BQ10" s="3"/>
      <c r="BR10" s="1619"/>
      <c r="BS10" s="1619"/>
      <c r="BT10" s="1619"/>
      <c r="BU10" s="1619"/>
      <c r="BV10" s="1619"/>
      <c r="BW10" s="3"/>
      <c r="BX10" s="3"/>
      <c r="BY10" s="3"/>
      <c r="BZ10" s="3"/>
      <c r="CA10" s="3"/>
      <c r="CB10" s="3"/>
      <c r="CC10" s="3"/>
      <c r="CD10" s="3"/>
      <c r="CE10" s="3"/>
      <c r="CF10" s="3"/>
      <c r="CG10" s="3"/>
      <c r="CH10" s="3"/>
    </row>
    <row r="11" spans="1:86" s="3" customFormat="1" ht="15.75" x14ac:dyDescent="0.2">
      <c r="A11" s="1002"/>
      <c r="B11" s="2896"/>
      <c r="C11" s="2897"/>
      <c r="D11" s="554">
        <v>25</v>
      </c>
      <c r="E11" s="2898" t="s">
        <v>703</v>
      </c>
      <c r="F11" s="2898"/>
      <c r="G11" s="2898"/>
      <c r="H11" s="2898"/>
      <c r="I11" s="2898"/>
      <c r="J11" s="2898"/>
      <c r="K11" s="2898"/>
      <c r="L11" s="2898"/>
      <c r="M11" s="2898"/>
      <c r="N11" s="2899"/>
      <c r="O11" s="418"/>
      <c r="P11" s="1624"/>
      <c r="Q11" s="1625"/>
      <c r="R11" s="412"/>
      <c r="S11" s="412"/>
      <c r="T11" s="412"/>
      <c r="U11" s="1626"/>
      <c r="V11" s="1626"/>
      <c r="W11" s="1626"/>
      <c r="X11" s="556"/>
      <c r="Y11" s="422"/>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3"/>
      <c r="BA11" s="413"/>
      <c r="BB11" s="413"/>
      <c r="BC11" s="413"/>
      <c r="BD11" s="413"/>
      <c r="BE11" s="413"/>
      <c r="BF11" s="413"/>
      <c r="BG11" s="413"/>
      <c r="BH11" s="413"/>
      <c r="BI11" s="413"/>
      <c r="BJ11" s="413"/>
      <c r="BK11" s="413"/>
      <c r="BL11" s="559"/>
      <c r="BM11" s="559"/>
      <c r="BN11" s="559"/>
      <c r="BO11" s="559"/>
      <c r="BP11" s="418"/>
      <c r="BQ11" s="552"/>
      <c r="BR11" s="1619"/>
      <c r="BS11" s="1619"/>
      <c r="BT11" s="1619"/>
      <c r="BU11" s="1619"/>
      <c r="BV11" s="1619"/>
    </row>
    <row r="12" spans="1:86" s="3" customFormat="1" ht="30" customHeight="1" x14ac:dyDescent="0.2">
      <c r="A12" s="1005"/>
      <c r="B12" s="2900"/>
      <c r="C12" s="3412"/>
      <c r="D12" s="94"/>
      <c r="E12" s="2901"/>
      <c r="F12" s="2901"/>
      <c r="G12" s="3469">
        <v>3301087</v>
      </c>
      <c r="H12" s="3469">
        <v>25.6</v>
      </c>
      <c r="I12" s="2779" t="s">
        <v>1294</v>
      </c>
      <c r="J12" s="2882" t="s">
        <v>989</v>
      </c>
      <c r="K12" s="2625">
        <v>1600</v>
      </c>
      <c r="L12" s="2813">
        <v>172</v>
      </c>
      <c r="M12" s="2813" t="s">
        <v>1295</v>
      </c>
      <c r="N12" s="3344" t="s">
        <v>1296</v>
      </c>
      <c r="O12" s="2892" t="s">
        <v>1297</v>
      </c>
      <c r="P12" s="3505">
        <f>SUM(U12:U16)/Q12</f>
        <v>6.9402011542021455E-2</v>
      </c>
      <c r="Q12" s="2875">
        <f>SUM(U12:U27)</f>
        <v>1216103080.0799999</v>
      </c>
      <c r="R12" s="2717" t="s">
        <v>1298</v>
      </c>
      <c r="S12" s="3518" t="s">
        <v>1299</v>
      </c>
      <c r="T12" s="3503" t="s">
        <v>1300</v>
      </c>
      <c r="U12" s="1628">
        <v>0</v>
      </c>
      <c r="V12" s="1628">
        <v>0</v>
      </c>
      <c r="W12" s="1628"/>
      <c r="X12" s="1317">
        <v>88</v>
      </c>
      <c r="Y12" s="1629" t="s">
        <v>1301</v>
      </c>
      <c r="Z12" s="3519">
        <v>85275</v>
      </c>
      <c r="AA12" s="3510">
        <f>25895+6000</f>
        <v>31895</v>
      </c>
      <c r="AB12" s="3510">
        <v>85275</v>
      </c>
      <c r="AC12" s="3510">
        <f>24616+7000</f>
        <v>31616</v>
      </c>
      <c r="AD12" s="3510">
        <v>25580</v>
      </c>
      <c r="AE12" s="3510">
        <v>9100</v>
      </c>
      <c r="AF12" s="3510">
        <v>42638</v>
      </c>
      <c r="AG12" s="3510">
        <f>3544+2000</f>
        <v>5544</v>
      </c>
      <c r="AH12" s="3510">
        <v>68221</v>
      </c>
      <c r="AI12" s="3510">
        <f>18112+7000</f>
        <v>25112</v>
      </c>
      <c r="AJ12" s="3510">
        <v>17055</v>
      </c>
      <c r="AK12" s="3510">
        <f>6393+1200</f>
        <v>7593</v>
      </c>
      <c r="AL12" s="3510">
        <v>8528</v>
      </c>
      <c r="AM12" s="3510">
        <f>689+120</f>
        <v>809</v>
      </c>
      <c r="AN12" s="3510">
        <v>8528</v>
      </c>
      <c r="AO12" s="3510">
        <f>651+200</f>
        <v>851</v>
      </c>
      <c r="AP12" s="3510">
        <v>0</v>
      </c>
      <c r="AQ12" s="3510">
        <v>400</v>
      </c>
      <c r="AR12" s="3510">
        <v>0</v>
      </c>
      <c r="AS12" s="1283"/>
      <c r="AT12" s="3510">
        <v>0</v>
      </c>
      <c r="AU12" s="1283"/>
      <c r="AV12" s="3510">
        <v>0</v>
      </c>
      <c r="AW12" s="1283"/>
      <c r="AX12" s="3510">
        <v>0</v>
      </c>
      <c r="AY12" s="3510">
        <v>451</v>
      </c>
      <c r="AZ12" s="3510">
        <v>0</v>
      </c>
      <c r="BA12" s="3510">
        <v>452</v>
      </c>
      <c r="BB12" s="3510">
        <v>0</v>
      </c>
      <c r="BC12" s="3510">
        <v>291</v>
      </c>
      <c r="BD12" s="3510">
        <v>170550</v>
      </c>
      <c r="BE12" s="3510">
        <v>114114</v>
      </c>
      <c r="BF12" s="3510">
        <v>97</v>
      </c>
      <c r="BG12" s="3510">
        <f>SUM(V12:V27)</f>
        <v>1164590203.8299999</v>
      </c>
      <c r="BH12" s="3510">
        <f>SUM(W12:W27)</f>
        <v>1164590203.8299999</v>
      </c>
      <c r="BI12" s="3507">
        <f>BH12/BG12</f>
        <v>1</v>
      </c>
      <c r="BJ12" s="3510" t="s">
        <v>1302</v>
      </c>
      <c r="BK12" s="1283"/>
      <c r="BL12" s="3511">
        <v>43832</v>
      </c>
      <c r="BM12" s="3511">
        <v>43871</v>
      </c>
      <c r="BN12" s="3511">
        <v>44195</v>
      </c>
      <c r="BO12" s="3511">
        <v>44195</v>
      </c>
      <c r="BP12" s="2615" t="s">
        <v>1303</v>
      </c>
      <c r="BQ12" s="1630"/>
      <c r="BR12" s="1619"/>
      <c r="BS12" s="1619"/>
      <c r="BT12" s="1619"/>
      <c r="BU12" s="1619"/>
      <c r="BV12" s="1619"/>
    </row>
    <row r="13" spans="1:86" s="3" customFormat="1" ht="30" x14ac:dyDescent="0.2">
      <c r="A13" s="1005"/>
      <c r="B13" s="1631"/>
      <c r="C13" s="276"/>
      <c r="D13" s="1011"/>
      <c r="E13" s="1011"/>
      <c r="F13" s="1011"/>
      <c r="G13" s="3469"/>
      <c r="H13" s="3469"/>
      <c r="I13" s="2779"/>
      <c r="J13" s="2882"/>
      <c r="K13" s="2625"/>
      <c r="L13" s="2782"/>
      <c r="M13" s="2782"/>
      <c r="N13" s="3216"/>
      <c r="O13" s="2893"/>
      <c r="P13" s="3505"/>
      <c r="Q13" s="2875"/>
      <c r="R13" s="2717"/>
      <c r="S13" s="3518"/>
      <c r="T13" s="3503"/>
      <c r="U13" s="1628">
        <v>0</v>
      </c>
      <c r="V13" s="1628"/>
      <c r="W13" s="1628"/>
      <c r="X13" s="1317">
        <v>83</v>
      </c>
      <c r="Y13" s="1629" t="s">
        <v>1304</v>
      </c>
      <c r="Z13" s="3520"/>
      <c r="AA13" s="3501"/>
      <c r="AB13" s="3501"/>
      <c r="AC13" s="3501"/>
      <c r="AD13" s="3501"/>
      <c r="AE13" s="3501"/>
      <c r="AF13" s="3501"/>
      <c r="AG13" s="3501"/>
      <c r="AH13" s="3501"/>
      <c r="AI13" s="3501"/>
      <c r="AJ13" s="3501"/>
      <c r="AK13" s="3501"/>
      <c r="AL13" s="3501"/>
      <c r="AM13" s="3501"/>
      <c r="AN13" s="3501"/>
      <c r="AO13" s="3501"/>
      <c r="AP13" s="3501"/>
      <c r="AQ13" s="3501"/>
      <c r="AR13" s="3501"/>
      <c r="AS13" s="1285"/>
      <c r="AT13" s="3501"/>
      <c r="AU13" s="1285"/>
      <c r="AV13" s="3501"/>
      <c r="AW13" s="1285"/>
      <c r="AX13" s="3501"/>
      <c r="AY13" s="3501"/>
      <c r="AZ13" s="3501"/>
      <c r="BA13" s="3501"/>
      <c r="BB13" s="3501"/>
      <c r="BC13" s="3501"/>
      <c r="BD13" s="3501"/>
      <c r="BE13" s="3501"/>
      <c r="BF13" s="3501"/>
      <c r="BG13" s="3501"/>
      <c r="BH13" s="3501"/>
      <c r="BI13" s="3508"/>
      <c r="BJ13" s="3501"/>
      <c r="BK13" s="3501" t="s">
        <v>1305</v>
      </c>
      <c r="BL13" s="3512"/>
      <c r="BM13" s="3512"/>
      <c r="BN13" s="3512"/>
      <c r="BO13" s="3512"/>
      <c r="BP13" s="2616"/>
      <c r="BQ13" s="1630"/>
      <c r="BR13" s="1619"/>
      <c r="BS13" s="1619"/>
      <c r="BT13" s="1619"/>
      <c r="BU13" s="1619"/>
      <c r="BV13" s="1619"/>
    </row>
    <row r="14" spans="1:86" s="3" customFormat="1" ht="38.25" customHeight="1" x14ac:dyDescent="0.2">
      <c r="A14" s="1005"/>
      <c r="B14" s="1631"/>
      <c r="C14" s="276"/>
      <c r="D14" s="1011"/>
      <c r="E14" s="1011"/>
      <c r="F14" s="1011"/>
      <c r="G14" s="3469"/>
      <c r="H14" s="3469"/>
      <c r="I14" s="2779"/>
      <c r="J14" s="2882"/>
      <c r="K14" s="2625"/>
      <c r="L14" s="2782"/>
      <c r="M14" s="2782"/>
      <c r="N14" s="3216"/>
      <c r="O14" s="2893"/>
      <c r="P14" s="3505"/>
      <c r="Q14" s="2875"/>
      <c r="R14" s="2717"/>
      <c r="S14" s="3518"/>
      <c r="T14" s="3503" t="s">
        <v>1306</v>
      </c>
      <c r="U14" s="1628">
        <v>44000000</v>
      </c>
      <c r="V14" s="1628">
        <v>44000000</v>
      </c>
      <c r="W14" s="1628">
        <v>44000000</v>
      </c>
      <c r="X14" s="1317">
        <v>20</v>
      </c>
      <c r="Y14" s="1632" t="s">
        <v>1307</v>
      </c>
      <c r="Z14" s="3520"/>
      <c r="AA14" s="3501"/>
      <c r="AB14" s="3501"/>
      <c r="AC14" s="3501"/>
      <c r="AD14" s="3501"/>
      <c r="AE14" s="3501"/>
      <c r="AF14" s="3501"/>
      <c r="AG14" s="3501"/>
      <c r="AH14" s="3501"/>
      <c r="AI14" s="3501"/>
      <c r="AJ14" s="3501"/>
      <c r="AK14" s="3501"/>
      <c r="AL14" s="3501"/>
      <c r="AM14" s="3501"/>
      <c r="AN14" s="3501"/>
      <c r="AO14" s="3501"/>
      <c r="AP14" s="3501"/>
      <c r="AQ14" s="3501"/>
      <c r="AR14" s="3501"/>
      <c r="AS14" s="1285"/>
      <c r="AT14" s="3501"/>
      <c r="AU14" s="1285"/>
      <c r="AV14" s="3501"/>
      <c r="AW14" s="1285"/>
      <c r="AX14" s="3501"/>
      <c r="AY14" s="3501"/>
      <c r="AZ14" s="3501"/>
      <c r="BA14" s="3501"/>
      <c r="BB14" s="3501"/>
      <c r="BC14" s="3501"/>
      <c r="BD14" s="3501"/>
      <c r="BE14" s="3501"/>
      <c r="BF14" s="3501"/>
      <c r="BG14" s="3501"/>
      <c r="BH14" s="3501"/>
      <c r="BI14" s="3508"/>
      <c r="BJ14" s="3501"/>
      <c r="BK14" s="3501"/>
      <c r="BL14" s="3512"/>
      <c r="BM14" s="3512"/>
      <c r="BN14" s="3512"/>
      <c r="BO14" s="3512"/>
      <c r="BP14" s="2616"/>
      <c r="BQ14" s="1630"/>
      <c r="BR14" s="1619"/>
      <c r="BS14" s="1619"/>
      <c r="BT14" s="1619"/>
      <c r="BU14" s="1619"/>
      <c r="BV14" s="1619"/>
    </row>
    <row r="15" spans="1:86" s="3" customFormat="1" ht="38.25" customHeight="1" x14ac:dyDescent="0.2">
      <c r="A15" s="1005"/>
      <c r="B15" s="1631"/>
      <c r="C15" s="276"/>
      <c r="D15" s="1011"/>
      <c r="E15" s="1011"/>
      <c r="F15" s="1011"/>
      <c r="G15" s="3469"/>
      <c r="H15" s="3469"/>
      <c r="I15" s="2779"/>
      <c r="J15" s="2882"/>
      <c r="K15" s="2625"/>
      <c r="L15" s="2782"/>
      <c r="M15" s="2782"/>
      <c r="N15" s="3216"/>
      <c r="O15" s="2893"/>
      <c r="P15" s="3505"/>
      <c r="Q15" s="2875"/>
      <c r="R15" s="2717"/>
      <c r="S15" s="3518"/>
      <c r="T15" s="3503"/>
      <c r="U15" s="1628">
        <f>216749741-210749741</f>
        <v>6000000</v>
      </c>
      <c r="V15" s="1628">
        <v>6000000</v>
      </c>
      <c r="W15" s="1628">
        <v>6000000</v>
      </c>
      <c r="X15" s="1317">
        <v>88</v>
      </c>
      <c r="Y15" s="1629" t="s">
        <v>1301</v>
      </c>
      <c r="Z15" s="3520"/>
      <c r="AA15" s="3501"/>
      <c r="AB15" s="3501"/>
      <c r="AC15" s="3501"/>
      <c r="AD15" s="3501"/>
      <c r="AE15" s="3501"/>
      <c r="AF15" s="3501"/>
      <c r="AG15" s="3501"/>
      <c r="AH15" s="3501"/>
      <c r="AI15" s="3501"/>
      <c r="AJ15" s="3501"/>
      <c r="AK15" s="3501"/>
      <c r="AL15" s="3501"/>
      <c r="AM15" s="3501"/>
      <c r="AN15" s="3501"/>
      <c r="AO15" s="3501"/>
      <c r="AP15" s="3501"/>
      <c r="AQ15" s="3501"/>
      <c r="AR15" s="3501"/>
      <c r="AS15" s="1285"/>
      <c r="AT15" s="3501"/>
      <c r="AU15" s="1285"/>
      <c r="AV15" s="3501"/>
      <c r="AW15" s="1285"/>
      <c r="AX15" s="3501"/>
      <c r="AY15" s="3501"/>
      <c r="AZ15" s="3501"/>
      <c r="BA15" s="3501"/>
      <c r="BB15" s="3501"/>
      <c r="BC15" s="3501"/>
      <c r="BD15" s="3501"/>
      <c r="BE15" s="3501"/>
      <c r="BF15" s="3501"/>
      <c r="BG15" s="3501"/>
      <c r="BH15" s="3501"/>
      <c r="BI15" s="3508"/>
      <c r="BJ15" s="3501"/>
      <c r="BK15" s="3501"/>
      <c r="BL15" s="3512"/>
      <c r="BM15" s="3512"/>
      <c r="BN15" s="3512"/>
      <c r="BO15" s="3512"/>
      <c r="BP15" s="2616"/>
      <c r="BQ15" s="1630"/>
      <c r="BR15" s="1619"/>
      <c r="BS15" s="1619"/>
      <c r="BT15" s="1619"/>
      <c r="BU15" s="1619"/>
      <c r="BV15" s="1619"/>
    </row>
    <row r="16" spans="1:86" s="3" customFormat="1" ht="38.25" customHeight="1" x14ac:dyDescent="0.2">
      <c r="A16" s="1005"/>
      <c r="B16" s="1631"/>
      <c r="C16" s="276"/>
      <c r="D16" s="1011"/>
      <c r="E16" s="1011"/>
      <c r="F16" s="1011"/>
      <c r="G16" s="3500"/>
      <c r="H16" s="3500"/>
      <c r="I16" s="3273"/>
      <c r="J16" s="2882"/>
      <c r="K16" s="2625"/>
      <c r="L16" s="2783"/>
      <c r="M16" s="2782"/>
      <c r="N16" s="3216"/>
      <c r="O16" s="2893"/>
      <c r="P16" s="3506"/>
      <c r="Q16" s="2875"/>
      <c r="R16" s="2717"/>
      <c r="S16" s="3518"/>
      <c r="T16" s="1018" t="s">
        <v>1308</v>
      </c>
      <c r="U16" s="1628">
        <v>34400000</v>
      </c>
      <c r="V16" s="1628">
        <v>34400000</v>
      </c>
      <c r="W16" s="1628">
        <v>34400000</v>
      </c>
      <c r="X16" s="1633">
        <v>20</v>
      </c>
      <c r="Y16" s="1634" t="s">
        <v>85</v>
      </c>
      <c r="Z16" s="3520"/>
      <c r="AA16" s="3501"/>
      <c r="AB16" s="3501"/>
      <c r="AC16" s="3501"/>
      <c r="AD16" s="3501"/>
      <c r="AE16" s="3501"/>
      <c r="AF16" s="3501"/>
      <c r="AG16" s="3501"/>
      <c r="AH16" s="3501"/>
      <c r="AI16" s="3501"/>
      <c r="AJ16" s="3501"/>
      <c r="AK16" s="3501"/>
      <c r="AL16" s="3501"/>
      <c r="AM16" s="3501"/>
      <c r="AN16" s="3501"/>
      <c r="AO16" s="3501"/>
      <c r="AP16" s="3501"/>
      <c r="AQ16" s="3501"/>
      <c r="AR16" s="3501"/>
      <c r="AS16" s="1285"/>
      <c r="AT16" s="3501"/>
      <c r="AU16" s="1285"/>
      <c r="AV16" s="3501"/>
      <c r="AW16" s="1285"/>
      <c r="AX16" s="3501"/>
      <c r="AY16" s="3501"/>
      <c r="AZ16" s="3501"/>
      <c r="BA16" s="3501"/>
      <c r="BB16" s="3501"/>
      <c r="BC16" s="3501"/>
      <c r="BD16" s="3501"/>
      <c r="BE16" s="3501"/>
      <c r="BF16" s="3501"/>
      <c r="BG16" s="3501"/>
      <c r="BH16" s="3501"/>
      <c r="BI16" s="3508"/>
      <c r="BJ16" s="3501"/>
      <c r="BK16" s="3501"/>
      <c r="BL16" s="3512"/>
      <c r="BM16" s="3512"/>
      <c r="BN16" s="3512"/>
      <c r="BO16" s="3512"/>
      <c r="BP16" s="2616"/>
      <c r="BQ16" s="1630"/>
      <c r="BR16" s="1619"/>
      <c r="BS16" s="1619"/>
      <c r="BT16" s="1619"/>
      <c r="BU16" s="1619"/>
      <c r="BV16" s="1619"/>
    </row>
    <row r="17" spans="1:74" s="3" customFormat="1" ht="30" x14ac:dyDescent="0.2">
      <c r="A17" s="1005"/>
      <c r="B17" s="1631"/>
      <c r="C17" s="276"/>
      <c r="D17" s="1011"/>
      <c r="E17" s="1011"/>
      <c r="F17" s="1011"/>
      <c r="G17" s="3469">
        <v>3301073</v>
      </c>
      <c r="H17" s="3469">
        <v>25.4</v>
      </c>
      <c r="I17" s="2779" t="s">
        <v>1309</v>
      </c>
      <c r="J17" s="3504" t="s">
        <v>1310</v>
      </c>
      <c r="K17" s="2783">
        <v>200</v>
      </c>
      <c r="L17" s="2813">
        <v>150</v>
      </c>
      <c r="M17" s="2782"/>
      <c r="N17" s="3216"/>
      <c r="O17" s="2893"/>
      <c r="P17" s="3505">
        <f>SUM(U17:U27)/Q12</f>
        <v>0.93059798845797859</v>
      </c>
      <c r="Q17" s="2875"/>
      <c r="R17" s="2717"/>
      <c r="S17" s="3518"/>
      <c r="T17" s="1018" t="s">
        <v>1311</v>
      </c>
      <c r="U17" s="1628">
        <v>68800000</v>
      </c>
      <c r="V17" s="1628">
        <v>68300000</v>
      </c>
      <c r="W17" s="1628">
        <v>68300000</v>
      </c>
      <c r="X17" s="1317">
        <v>83</v>
      </c>
      <c r="Y17" s="1629" t="s">
        <v>1312</v>
      </c>
      <c r="Z17" s="3520"/>
      <c r="AA17" s="3501"/>
      <c r="AB17" s="3501"/>
      <c r="AC17" s="3501"/>
      <c r="AD17" s="3501"/>
      <c r="AE17" s="3501"/>
      <c r="AF17" s="3501"/>
      <c r="AG17" s="3501"/>
      <c r="AH17" s="3501"/>
      <c r="AI17" s="3501"/>
      <c r="AJ17" s="3501"/>
      <c r="AK17" s="3501"/>
      <c r="AL17" s="3501"/>
      <c r="AM17" s="3501"/>
      <c r="AN17" s="3501"/>
      <c r="AO17" s="3501"/>
      <c r="AP17" s="3501"/>
      <c r="AQ17" s="3501"/>
      <c r="AR17" s="3501"/>
      <c r="AS17" s="1285"/>
      <c r="AT17" s="3501"/>
      <c r="AU17" s="1285"/>
      <c r="AV17" s="3501"/>
      <c r="AW17" s="1285"/>
      <c r="AX17" s="3501"/>
      <c r="AY17" s="3501"/>
      <c r="AZ17" s="3501"/>
      <c r="BA17" s="3501"/>
      <c r="BB17" s="3501"/>
      <c r="BC17" s="3501"/>
      <c r="BD17" s="3501"/>
      <c r="BE17" s="3501"/>
      <c r="BF17" s="3501"/>
      <c r="BG17" s="3501"/>
      <c r="BH17" s="3501"/>
      <c r="BI17" s="3508"/>
      <c r="BJ17" s="3501"/>
      <c r="BK17" s="3501"/>
      <c r="BL17" s="3512"/>
      <c r="BM17" s="3512"/>
      <c r="BN17" s="3512"/>
      <c r="BO17" s="3512"/>
      <c r="BP17" s="2616"/>
      <c r="BQ17" s="1630"/>
      <c r="BR17" s="1619"/>
      <c r="BS17" s="1619"/>
      <c r="BT17" s="1619"/>
      <c r="BU17" s="1619"/>
      <c r="BV17" s="1619"/>
    </row>
    <row r="18" spans="1:74" s="3" customFormat="1" ht="36" customHeight="1" x14ac:dyDescent="0.2">
      <c r="A18" s="1005"/>
      <c r="B18" s="1631"/>
      <c r="C18" s="276"/>
      <c r="D18" s="1011"/>
      <c r="E18" s="1011"/>
      <c r="F18" s="1011"/>
      <c r="G18" s="3469"/>
      <c r="H18" s="3469"/>
      <c r="I18" s="2779"/>
      <c r="J18" s="3504"/>
      <c r="K18" s="2783"/>
      <c r="L18" s="2782"/>
      <c r="M18" s="2782"/>
      <c r="N18" s="3216"/>
      <c r="O18" s="2893"/>
      <c r="P18" s="3505"/>
      <c r="Q18" s="2875"/>
      <c r="R18" s="2717"/>
      <c r="S18" s="3518"/>
      <c r="T18" s="1018" t="s">
        <v>1313</v>
      </c>
      <c r="U18" s="1628">
        <f>0+210749741-83749741</f>
        <v>127000000</v>
      </c>
      <c r="V18" s="1628">
        <v>125320000</v>
      </c>
      <c r="W18" s="1628">
        <v>125320000</v>
      </c>
      <c r="X18" s="1317">
        <v>88</v>
      </c>
      <c r="Y18" s="1629" t="s">
        <v>696</v>
      </c>
      <c r="Z18" s="3520"/>
      <c r="AA18" s="3501"/>
      <c r="AB18" s="3501"/>
      <c r="AC18" s="3501"/>
      <c r="AD18" s="3501"/>
      <c r="AE18" s="3501"/>
      <c r="AF18" s="3501"/>
      <c r="AG18" s="3501"/>
      <c r="AH18" s="3501"/>
      <c r="AI18" s="3501"/>
      <c r="AJ18" s="3501"/>
      <c r="AK18" s="3501"/>
      <c r="AL18" s="3501"/>
      <c r="AM18" s="3501"/>
      <c r="AN18" s="3501"/>
      <c r="AO18" s="3501"/>
      <c r="AP18" s="3501"/>
      <c r="AQ18" s="3501"/>
      <c r="AR18" s="3501"/>
      <c r="AS18" s="1285"/>
      <c r="AT18" s="3501"/>
      <c r="AU18" s="1285"/>
      <c r="AV18" s="3501"/>
      <c r="AW18" s="1285"/>
      <c r="AX18" s="3501"/>
      <c r="AY18" s="3501"/>
      <c r="AZ18" s="3501"/>
      <c r="BA18" s="3501"/>
      <c r="BB18" s="3501"/>
      <c r="BC18" s="3501"/>
      <c r="BD18" s="3501"/>
      <c r="BE18" s="3501"/>
      <c r="BF18" s="3501"/>
      <c r="BG18" s="3501"/>
      <c r="BH18" s="3501"/>
      <c r="BI18" s="3508"/>
      <c r="BJ18" s="3501"/>
      <c r="BK18" s="3501"/>
      <c r="BL18" s="3512"/>
      <c r="BM18" s="3512"/>
      <c r="BN18" s="3512"/>
      <c r="BO18" s="3512"/>
      <c r="BP18" s="2616"/>
      <c r="BQ18" s="1630"/>
      <c r="BR18" s="1619"/>
      <c r="BS18" s="1619"/>
      <c r="BT18" s="1619"/>
      <c r="BU18" s="1619"/>
      <c r="BV18" s="1619"/>
    </row>
    <row r="19" spans="1:74" s="3" customFormat="1" ht="30" x14ac:dyDescent="0.2">
      <c r="A19" s="1005"/>
      <c r="B19" s="1631"/>
      <c r="C19" s="276"/>
      <c r="D19" s="1011"/>
      <c r="E19" s="1011"/>
      <c r="F19" s="1011"/>
      <c r="G19" s="3469"/>
      <c r="H19" s="3469"/>
      <c r="I19" s="2779"/>
      <c r="J19" s="3504"/>
      <c r="K19" s="2783"/>
      <c r="L19" s="2782"/>
      <c r="M19" s="2782"/>
      <c r="N19" s="3216"/>
      <c r="O19" s="2893"/>
      <c r="P19" s="3505"/>
      <c r="Q19" s="2875"/>
      <c r="R19" s="2717"/>
      <c r="S19" s="3518"/>
      <c r="T19" s="1018" t="s">
        <v>1314</v>
      </c>
      <c r="U19" s="1628">
        <f>25600000</f>
        <v>25600000</v>
      </c>
      <c r="V19" s="1628">
        <v>25040000</v>
      </c>
      <c r="W19" s="1628">
        <v>25040000</v>
      </c>
      <c r="X19" s="1317">
        <v>39</v>
      </c>
      <c r="Y19" s="1629" t="s">
        <v>1315</v>
      </c>
      <c r="Z19" s="3520"/>
      <c r="AA19" s="3501"/>
      <c r="AB19" s="3501"/>
      <c r="AC19" s="3501"/>
      <c r="AD19" s="3501"/>
      <c r="AE19" s="3501"/>
      <c r="AF19" s="3501"/>
      <c r="AG19" s="3501"/>
      <c r="AH19" s="3501"/>
      <c r="AI19" s="3501"/>
      <c r="AJ19" s="3501"/>
      <c r="AK19" s="3501"/>
      <c r="AL19" s="3501"/>
      <c r="AM19" s="3501"/>
      <c r="AN19" s="3501"/>
      <c r="AO19" s="3501"/>
      <c r="AP19" s="3501"/>
      <c r="AQ19" s="3501"/>
      <c r="AR19" s="3501"/>
      <c r="AS19" s="1285"/>
      <c r="AT19" s="3501"/>
      <c r="AU19" s="1285"/>
      <c r="AV19" s="3501"/>
      <c r="AW19" s="1285"/>
      <c r="AX19" s="3501"/>
      <c r="AY19" s="3501"/>
      <c r="AZ19" s="3501"/>
      <c r="BA19" s="3501"/>
      <c r="BB19" s="3501"/>
      <c r="BC19" s="3501"/>
      <c r="BD19" s="3501"/>
      <c r="BE19" s="3501"/>
      <c r="BF19" s="3501"/>
      <c r="BG19" s="3501"/>
      <c r="BH19" s="3501"/>
      <c r="BI19" s="3508"/>
      <c r="BJ19" s="3501"/>
      <c r="BK19" s="3501"/>
      <c r="BL19" s="3512"/>
      <c r="BM19" s="3512"/>
      <c r="BN19" s="3512"/>
      <c r="BO19" s="3512"/>
      <c r="BP19" s="2616"/>
      <c r="BQ19" s="1630"/>
      <c r="BR19" s="1619"/>
      <c r="BS19" s="1619"/>
      <c r="BT19" s="1619"/>
      <c r="BU19" s="1619"/>
      <c r="BV19" s="1619"/>
    </row>
    <row r="20" spans="1:74" s="3" customFormat="1" ht="65.25" customHeight="1" x14ac:dyDescent="0.2">
      <c r="A20" s="1005"/>
      <c r="B20" s="1631"/>
      <c r="C20" s="276"/>
      <c r="D20" s="1011"/>
      <c r="E20" s="1011"/>
      <c r="F20" s="1011"/>
      <c r="G20" s="3469"/>
      <c r="H20" s="3469"/>
      <c r="I20" s="2779"/>
      <c r="J20" s="2882"/>
      <c r="K20" s="2625"/>
      <c r="L20" s="2782"/>
      <c r="M20" s="2782"/>
      <c r="N20" s="3216"/>
      <c r="O20" s="2893"/>
      <c r="P20" s="3505"/>
      <c r="Q20" s="2875"/>
      <c r="R20" s="2717"/>
      <c r="S20" s="3518"/>
      <c r="T20" s="1018" t="s">
        <v>1316</v>
      </c>
      <c r="U20" s="1628">
        <f>12000000+20000000</f>
        <v>32000000</v>
      </c>
      <c r="V20" s="1628">
        <v>30498529.719999999</v>
      </c>
      <c r="W20" s="1628">
        <v>30498529.719999999</v>
      </c>
      <c r="X20" s="1317">
        <v>39</v>
      </c>
      <c r="Y20" s="1629" t="s">
        <v>1315</v>
      </c>
      <c r="Z20" s="3520"/>
      <c r="AA20" s="3501"/>
      <c r="AB20" s="3501"/>
      <c r="AC20" s="3501"/>
      <c r="AD20" s="3501"/>
      <c r="AE20" s="3501"/>
      <c r="AF20" s="3501"/>
      <c r="AG20" s="3501"/>
      <c r="AH20" s="3501"/>
      <c r="AI20" s="3501"/>
      <c r="AJ20" s="3501"/>
      <c r="AK20" s="3501"/>
      <c r="AL20" s="3501"/>
      <c r="AM20" s="3501"/>
      <c r="AN20" s="3501"/>
      <c r="AO20" s="3501"/>
      <c r="AP20" s="3501"/>
      <c r="AQ20" s="3501"/>
      <c r="AR20" s="3501"/>
      <c r="AS20" s="1285"/>
      <c r="AT20" s="3501"/>
      <c r="AU20" s="1285"/>
      <c r="AV20" s="3501"/>
      <c r="AW20" s="1285"/>
      <c r="AX20" s="3501"/>
      <c r="AY20" s="3501"/>
      <c r="AZ20" s="3501"/>
      <c r="BA20" s="3501"/>
      <c r="BB20" s="3501"/>
      <c r="BC20" s="3501"/>
      <c r="BD20" s="3501"/>
      <c r="BE20" s="3501"/>
      <c r="BF20" s="3501"/>
      <c r="BG20" s="3501"/>
      <c r="BH20" s="3501"/>
      <c r="BI20" s="3508"/>
      <c r="BJ20" s="3501"/>
      <c r="BK20" s="3501"/>
      <c r="BL20" s="3512"/>
      <c r="BM20" s="3512"/>
      <c r="BN20" s="3512"/>
      <c r="BO20" s="3512"/>
      <c r="BP20" s="2616"/>
      <c r="BQ20" s="1630"/>
      <c r="BR20" s="1619"/>
      <c r="BS20" s="1619"/>
      <c r="BT20" s="1619"/>
      <c r="BU20" s="1619"/>
      <c r="BV20" s="1619"/>
    </row>
    <row r="21" spans="1:74" s="3" customFormat="1" ht="65.25" customHeight="1" x14ac:dyDescent="0.2">
      <c r="A21" s="1005"/>
      <c r="B21" s="1631"/>
      <c r="C21" s="276"/>
      <c r="D21" s="1011"/>
      <c r="E21" s="1011"/>
      <c r="F21" s="1011"/>
      <c r="G21" s="3469"/>
      <c r="H21" s="3469"/>
      <c r="I21" s="2779"/>
      <c r="J21" s="2882"/>
      <c r="K21" s="2625"/>
      <c r="L21" s="2782"/>
      <c r="M21" s="2782"/>
      <c r="N21" s="3216"/>
      <c r="O21" s="2893"/>
      <c r="P21" s="3505"/>
      <c r="Q21" s="2875"/>
      <c r="R21" s="2717"/>
      <c r="S21" s="3518"/>
      <c r="T21" s="3503" t="s">
        <v>1317</v>
      </c>
      <c r="U21" s="1628">
        <f>643277703-205517326.92</f>
        <v>437760376.08000004</v>
      </c>
      <c r="V21" s="1628">
        <v>435458723.56</v>
      </c>
      <c r="W21" s="1628">
        <v>435458723.56</v>
      </c>
      <c r="X21" s="1317">
        <v>39</v>
      </c>
      <c r="Y21" s="1629" t="s">
        <v>1315</v>
      </c>
      <c r="Z21" s="3520"/>
      <c r="AA21" s="3501"/>
      <c r="AB21" s="3501"/>
      <c r="AC21" s="3501"/>
      <c r="AD21" s="3501"/>
      <c r="AE21" s="3501"/>
      <c r="AF21" s="3501"/>
      <c r="AG21" s="3501"/>
      <c r="AH21" s="3501"/>
      <c r="AI21" s="3501"/>
      <c r="AJ21" s="3501"/>
      <c r="AK21" s="3501"/>
      <c r="AL21" s="3501"/>
      <c r="AM21" s="3501"/>
      <c r="AN21" s="3501"/>
      <c r="AO21" s="3501"/>
      <c r="AP21" s="3501"/>
      <c r="AQ21" s="3501"/>
      <c r="AR21" s="3501"/>
      <c r="AS21" s="1285"/>
      <c r="AT21" s="3501"/>
      <c r="AU21" s="1285"/>
      <c r="AV21" s="3501"/>
      <c r="AW21" s="1285"/>
      <c r="AX21" s="3501"/>
      <c r="AY21" s="3501"/>
      <c r="AZ21" s="3501"/>
      <c r="BA21" s="3501"/>
      <c r="BB21" s="3501"/>
      <c r="BC21" s="3501"/>
      <c r="BD21" s="3501"/>
      <c r="BE21" s="3501"/>
      <c r="BF21" s="3501"/>
      <c r="BG21" s="3501"/>
      <c r="BH21" s="3501"/>
      <c r="BI21" s="3508"/>
      <c r="BJ21" s="3501"/>
      <c r="BK21" s="3501"/>
      <c r="BL21" s="3512"/>
      <c r="BM21" s="3512"/>
      <c r="BN21" s="3512"/>
      <c r="BO21" s="3512"/>
      <c r="BP21" s="2616"/>
      <c r="BQ21" s="1630"/>
      <c r="BR21" s="1619"/>
      <c r="BS21" s="1619"/>
      <c r="BT21" s="1619"/>
      <c r="BU21" s="1619"/>
      <c r="BV21" s="1619"/>
    </row>
    <row r="22" spans="1:74" s="3" customFormat="1" ht="65.25" customHeight="1" x14ac:dyDescent="0.2">
      <c r="A22" s="1005"/>
      <c r="B22" s="1631"/>
      <c r="C22" s="276"/>
      <c r="D22" s="1011"/>
      <c r="E22" s="1011"/>
      <c r="F22" s="1011"/>
      <c r="G22" s="3469"/>
      <c r="H22" s="3469"/>
      <c r="I22" s="2779"/>
      <c r="J22" s="2882"/>
      <c r="K22" s="2625"/>
      <c r="L22" s="2782"/>
      <c r="M22" s="2782"/>
      <c r="N22" s="3216"/>
      <c r="O22" s="2893"/>
      <c r="P22" s="3505"/>
      <c r="Q22" s="2875"/>
      <c r="R22" s="2717"/>
      <c r="S22" s="3518"/>
      <c r="T22" s="3503"/>
      <c r="U22" s="1628">
        <v>177837490.34999999</v>
      </c>
      <c r="V22" s="1628">
        <v>139890152.63</v>
      </c>
      <c r="W22" s="1628">
        <v>139890152.63</v>
      </c>
      <c r="X22" s="1317">
        <v>83</v>
      </c>
      <c r="Y22" s="1629" t="s">
        <v>1312</v>
      </c>
      <c r="Z22" s="3520"/>
      <c r="AA22" s="3501"/>
      <c r="AB22" s="3501"/>
      <c r="AC22" s="3501"/>
      <c r="AD22" s="3501"/>
      <c r="AE22" s="3501"/>
      <c r="AF22" s="3501"/>
      <c r="AG22" s="3501"/>
      <c r="AH22" s="3501"/>
      <c r="AI22" s="3501"/>
      <c r="AJ22" s="3501"/>
      <c r="AK22" s="3501"/>
      <c r="AL22" s="3501"/>
      <c r="AM22" s="3501"/>
      <c r="AN22" s="3501"/>
      <c r="AO22" s="3501"/>
      <c r="AP22" s="3501"/>
      <c r="AQ22" s="3501"/>
      <c r="AR22" s="3501"/>
      <c r="AS22" s="1285"/>
      <c r="AT22" s="3501"/>
      <c r="AU22" s="1285"/>
      <c r="AV22" s="3501"/>
      <c r="AW22" s="1285"/>
      <c r="AX22" s="3501"/>
      <c r="AY22" s="3501"/>
      <c r="AZ22" s="3501"/>
      <c r="BA22" s="3501"/>
      <c r="BB22" s="3501"/>
      <c r="BC22" s="3501"/>
      <c r="BD22" s="3501"/>
      <c r="BE22" s="3501"/>
      <c r="BF22" s="3501"/>
      <c r="BG22" s="3501"/>
      <c r="BH22" s="3501"/>
      <c r="BI22" s="3508"/>
      <c r="BJ22" s="3501"/>
      <c r="BK22" s="3501"/>
      <c r="BL22" s="3512"/>
      <c r="BM22" s="3512"/>
      <c r="BN22" s="3512"/>
      <c r="BO22" s="3512"/>
      <c r="BP22" s="2616"/>
      <c r="BQ22" s="1630"/>
      <c r="BR22" s="1619"/>
      <c r="BS22" s="1619"/>
      <c r="BT22" s="1619"/>
      <c r="BU22" s="1619"/>
      <c r="BV22" s="1619"/>
    </row>
    <row r="23" spans="1:74" s="3" customFormat="1" ht="65.25" customHeight="1" x14ac:dyDescent="0.2">
      <c r="A23" s="1005"/>
      <c r="B23" s="1631"/>
      <c r="C23" s="276"/>
      <c r="D23" s="1011"/>
      <c r="E23" s="1011"/>
      <c r="F23" s="1011"/>
      <c r="G23" s="3469"/>
      <c r="H23" s="3469"/>
      <c r="I23" s="2779"/>
      <c r="J23" s="2882"/>
      <c r="K23" s="2625"/>
      <c r="L23" s="2782"/>
      <c r="M23" s="2782"/>
      <c r="N23" s="3216"/>
      <c r="O23" s="2893"/>
      <c r="P23" s="3505"/>
      <c r="Q23" s="2875"/>
      <c r="R23" s="2717"/>
      <c r="S23" s="3518"/>
      <c r="T23" s="1018" t="s">
        <v>1318</v>
      </c>
      <c r="U23" s="1628">
        <f>18000000+33539979.65</f>
        <v>51539979.649999999</v>
      </c>
      <c r="V23" s="1628">
        <v>51539979.920000002</v>
      </c>
      <c r="W23" s="1628">
        <v>51539979.920000002</v>
      </c>
      <c r="X23" s="1317">
        <v>39</v>
      </c>
      <c r="Y23" s="1629" t="s">
        <v>1315</v>
      </c>
      <c r="Z23" s="3520"/>
      <c r="AA23" s="3501"/>
      <c r="AB23" s="3501"/>
      <c r="AC23" s="3501"/>
      <c r="AD23" s="3501"/>
      <c r="AE23" s="3501"/>
      <c r="AF23" s="3501"/>
      <c r="AG23" s="3501"/>
      <c r="AH23" s="3501"/>
      <c r="AI23" s="3501"/>
      <c r="AJ23" s="3501"/>
      <c r="AK23" s="3501"/>
      <c r="AL23" s="3501"/>
      <c r="AM23" s="3501"/>
      <c r="AN23" s="3501"/>
      <c r="AO23" s="3501"/>
      <c r="AP23" s="3501"/>
      <c r="AQ23" s="3501"/>
      <c r="AR23" s="3501"/>
      <c r="AS23" s="1285"/>
      <c r="AT23" s="3501"/>
      <c r="AU23" s="1285"/>
      <c r="AV23" s="3501"/>
      <c r="AW23" s="1285"/>
      <c r="AX23" s="3501"/>
      <c r="AY23" s="3501"/>
      <c r="AZ23" s="3501"/>
      <c r="BA23" s="3501"/>
      <c r="BB23" s="3501"/>
      <c r="BC23" s="3501"/>
      <c r="BD23" s="3501"/>
      <c r="BE23" s="3501"/>
      <c r="BF23" s="3501"/>
      <c r="BG23" s="3501"/>
      <c r="BH23" s="3501"/>
      <c r="BI23" s="3508"/>
      <c r="BJ23" s="3501"/>
      <c r="BK23" s="3501"/>
      <c r="BL23" s="3512"/>
      <c r="BM23" s="3512"/>
      <c r="BN23" s="3512"/>
      <c r="BO23" s="3512"/>
      <c r="BP23" s="2616"/>
      <c r="BQ23" s="1630"/>
      <c r="BR23" s="1619"/>
      <c r="BS23" s="1619"/>
      <c r="BT23" s="1619"/>
      <c r="BU23" s="1619"/>
      <c r="BV23" s="1619"/>
    </row>
    <row r="24" spans="1:74" s="3" customFormat="1" ht="65.25" customHeight="1" x14ac:dyDescent="0.2">
      <c r="A24" s="1005"/>
      <c r="B24" s="1631"/>
      <c r="C24" s="276"/>
      <c r="D24" s="1011"/>
      <c r="E24" s="1011"/>
      <c r="F24" s="1011"/>
      <c r="G24" s="3469"/>
      <c r="H24" s="3469"/>
      <c r="I24" s="2779"/>
      <c r="J24" s="2882"/>
      <c r="K24" s="2625"/>
      <c r="L24" s="2782"/>
      <c r="M24" s="2782"/>
      <c r="N24" s="3216"/>
      <c r="O24" s="2893"/>
      <c r="P24" s="3505"/>
      <c r="Q24" s="2875"/>
      <c r="R24" s="2717"/>
      <c r="S24" s="3518"/>
      <c r="T24" s="1018" t="s">
        <v>1319</v>
      </c>
      <c r="U24" s="1628">
        <v>12000000</v>
      </c>
      <c r="V24" s="1628">
        <v>12000000</v>
      </c>
      <c r="W24" s="1628">
        <v>12000000</v>
      </c>
      <c r="X24" s="1317">
        <v>41</v>
      </c>
      <c r="Y24" s="1629" t="s">
        <v>1320</v>
      </c>
      <c r="Z24" s="3520"/>
      <c r="AA24" s="3501"/>
      <c r="AB24" s="3501"/>
      <c r="AC24" s="3501"/>
      <c r="AD24" s="3501"/>
      <c r="AE24" s="3501"/>
      <c r="AF24" s="3501"/>
      <c r="AG24" s="3501"/>
      <c r="AH24" s="3501"/>
      <c r="AI24" s="3501"/>
      <c r="AJ24" s="3501"/>
      <c r="AK24" s="3501"/>
      <c r="AL24" s="3501"/>
      <c r="AM24" s="3501"/>
      <c r="AN24" s="3501"/>
      <c r="AO24" s="3501"/>
      <c r="AP24" s="3501"/>
      <c r="AQ24" s="3501"/>
      <c r="AR24" s="3501"/>
      <c r="AS24" s="1285"/>
      <c r="AT24" s="3501"/>
      <c r="AU24" s="1285"/>
      <c r="AV24" s="3501"/>
      <c r="AW24" s="1285"/>
      <c r="AX24" s="3501"/>
      <c r="AY24" s="3501"/>
      <c r="AZ24" s="3501"/>
      <c r="BA24" s="3501"/>
      <c r="BB24" s="3501"/>
      <c r="BC24" s="3501"/>
      <c r="BD24" s="3501"/>
      <c r="BE24" s="3501"/>
      <c r="BF24" s="3501"/>
      <c r="BG24" s="3501"/>
      <c r="BH24" s="3501"/>
      <c r="BI24" s="3508"/>
      <c r="BJ24" s="3501"/>
      <c r="BK24" s="3501"/>
      <c r="BL24" s="3512"/>
      <c r="BM24" s="3512"/>
      <c r="BN24" s="3512"/>
      <c r="BO24" s="3512"/>
      <c r="BP24" s="2616"/>
      <c r="BQ24" s="1630"/>
      <c r="BR24" s="1619"/>
      <c r="BS24" s="1619"/>
      <c r="BT24" s="1619"/>
      <c r="BU24" s="1619"/>
      <c r="BV24" s="1619"/>
    </row>
    <row r="25" spans="1:74" s="3" customFormat="1" ht="65.25" customHeight="1" x14ac:dyDescent="0.2">
      <c r="A25" s="1005"/>
      <c r="B25" s="1631"/>
      <c r="C25" s="276"/>
      <c r="D25" s="1011"/>
      <c r="E25" s="1011"/>
      <c r="F25" s="1011"/>
      <c r="G25" s="3500"/>
      <c r="H25" s="3500"/>
      <c r="I25" s="3273"/>
      <c r="J25" s="2882"/>
      <c r="K25" s="2625"/>
      <c r="L25" s="2782"/>
      <c r="M25" s="2782"/>
      <c r="N25" s="3216"/>
      <c r="O25" s="2893"/>
      <c r="P25" s="3505"/>
      <c r="Q25" s="2875"/>
      <c r="R25" s="2717"/>
      <c r="S25" s="3518"/>
      <c r="T25" s="1018" t="s">
        <v>1321</v>
      </c>
      <c r="U25" s="1628">
        <v>18000000</v>
      </c>
      <c r="V25" s="1628">
        <v>18000000</v>
      </c>
      <c r="W25" s="1628">
        <v>18000000</v>
      </c>
      <c r="X25" s="1317">
        <v>41</v>
      </c>
      <c r="Y25" s="1629" t="s">
        <v>1320</v>
      </c>
      <c r="Z25" s="3520"/>
      <c r="AA25" s="3501"/>
      <c r="AB25" s="3501"/>
      <c r="AC25" s="3501"/>
      <c r="AD25" s="3501"/>
      <c r="AE25" s="3501"/>
      <c r="AF25" s="3501"/>
      <c r="AG25" s="3501"/>
      <c r="AH25" s="3501"/>
      <c r="AI25" s="3501"/>
      <c r="AJ25" s="3501"/>
      <c r="AK25" s="3501"/>
      <c r="AL25" s="3501"/>
      <c r="AM25" s="3501"/>
      <c r="AN25" s="3501"/>
      <c r="AO25" s="3501"/>
      <c r="AP25" s="3501"/>
      <c r="AQ25" s="3501"/>
      <c r="AR25" s="3501"/>
      <c r="AS25" s="1285"/>
      <c r="AT25" s="3501"/>
      <c r="AU25" s="1285"/>
      <c r="AV25" s="3501"/>
      <c r="AW25" s="1285"/>
      <c r="AX25" s="3501"/>
      <c r="AY25" s="3501"/>
      <c r="AZ25" s="3501"/>
      <c r="BA25" s="3501"/>
      <c r="BB25" s="3501"/>
      <c r="BC25" s="3501"/>
      <c r="BD25" s="3501"/>
      <c r="BE25" s="3501"/>
      <c r="BF25" s="3501"/>
      <c r="BG25" s="3501"/>
      <c r="BH25" s="3501"/>
      <c r="BI25" s="3508"/>
      <c r="BJ25" s="3501"/>
      <c r="BK25" s="3501"/>
      <c r="BL25" s="3512"/>
      <c r="BM25" s="3512"/>
      <c r="BN25" s="3512"/>
      <c r="BO25" s="3512"/>
      <c r="BP25" s="2616"/>
      <c r="BQ25" s="1630"/>
      <c r="BR25" s="1619"/>
      <c r="BS25" s="1619"/>
      <c r="BT25" s="1619"/>
      <c r="BU25" s="1619"/>
      <c r="BV25" s="1619"/>
    </row>
    <row r="26" spans="1:74" s="3" customFormat="1" ht="65.25" customHeight="1" x14ac:dyDescent="0.2">
      <c r="A26" s="1005"/>
      <c r="B26" s="1631"/>
      <c r="C26" s="276"/>
      <c r="D26" s="1011"/>
      <c r="E26" s="1011"/>
      <c r="F26" s="1011"/>
      <c r="G26" s="3500"/>
      <c r="H26" s="3500"/>
      <c r="I26" s="3273"/>
      <c r="J26" s="2882"/>
      <c r="K26" s="2625"/>
      <c r="L26" s="2782"/>
      <c r="M26" s="2782"/>
      <c r="N26" s="3216"/>
      <c r="O26" s="2893"/>
      <c r="P26" s="3505"/>
      <c r="Q26" s="2875"/>
      <c r="R26" s="2717"/>
      <c r="S26" s="3518"/>
      <c r="T26" s="3503" t="s">
        <v>1322</v>
      </c>
      <c r="U26" s="1628">
        <v>40994224</v>
      </c>
      <c r="V26" s="1635">
        <v>38083508</v>
      </c>
      <c r="W26" s="1635">
        <v>38083508</v>
      </c>
      <c r="X26" s="1317">
        <v>83</v>
      </c>
      <c r="Y26" s="1636" t="s">
        <v>1312</v>
      </c>
      <c r="Z26" s="3520"/>
      <c r="AA26" s="3501"/>
      <c r="AB26" s="3501"/>
      <c r="AC26" s="3501"/>
      <c r="AD26" s="3501"/>
      <c r="AE26" s="3501"/>
      <c r="AF26" s="3501"/>
      <c r="AG26" s="3501"/>
      <c r="AH26" s="3501"/>
      <c r="AI26" s="3501"/>
      <c r="AJ26" s="3501"/>
      <c r="AK26" s="3501"/>
      <c r="AL26" s="3501"/>
      <c r="AM26" s="3501"/>
      <c r="AN26" s="3501"/>
      <c r="AO26" s="3501"/>
      <c r="AP26" s="3501"/>
      <c r="AQ26" s="3501"/>
      <c r="AR26" s="3501"/>
      <c r="AS26" s="1285"/>
      <c r="AT26" s="3501"/>
      <c r="AU26" s="1285"/>
      <c r="AV26" s="3501"/>
      <c r="AW26" s="1285"/>
      <c r="AX26" s="3501"/>
      <c r="AY26" s="3501"/>
      <c r="AZ26" s="3501"/>
      <c r="BA26" s="3501"/>
      <c r="BB26" s="3501"/>
      <c r="BC26" s="3501"/>
      <c r="BD26" s="3501"/>
      <c r="BE26" s="3501"/>
      <c r="BF26" s="3501"/>
      <c r="BG26" s="3501"/>
      <c r="BH26" s="3501"/>
      <c r="BI26" s="3508"/>
      <c r="BJ26" s="3501"/>
      <c r="BK26" s="3501"/>
      <c r="BL26" s="3512"/>
      <c r="BM26" s="3512"/>
      <c r="BN26" s="3512"/>
      <c r="BO26" s="3512"/>
      <c r="BP26" s="2616"/>
      <c r="BQ26" s="1630"/>
      <c r="BR26" s="1619"/>
      <c r="BS26" s="1619"/>
      <c r="BT26" s="1619"/>
      <c r="BU26" s="1619"/>
      <c r="BV26" s="1619"/>
    </row>
    <row r="27" spans="1:74" s="3" customFormat="1" ht="65.25" customHeight="1" x14ac:dyDescent="0.2">
      <c r="A27" s="1005"/>
      <c r="B27" s="2900"/>
      <c r="C27" s="3412"/>
      <c r="D27" s="1011"/>
      <c r="E27" s="2802"/>
      <c r="F27" s="2802"/>
      <c r="G27" s="3500"/>
      <c r="H27" s="3500"/>
      <c r="I27" s="3273"/>
      <c r="J27" s="3286"/>
      <c r="K27" s="2813"/>
      <c r="L27" s="2783"/>
      <c r="M27" s="2783"/>
      <c r="N27" s="3216"/>
      <c r="O27" s="2893"/>
      <c r="P27" s="3506"/>
      <c r="Q27" s="3517"/>
      <c r="R27" s="2717"/>
      <c r="S27" s="3518"/>
      <c r="T27" s="3503"/>
      <c r="U27" s="1637">
        <v>140171010</v>
      </c>
      <c r="V27" s="1638">
        <v>136059310</v>
      </c>
      <c r="W27" s="1638">
        <v>136059310</v>
      </c>
      <c r="X27" s="1312">
        <v>41</v>
      </c>
      <c r="Y27" s="1086" t="s">
        <v>1320</v>
      </c>
      <c r="Z27" s="3520"/>
      <c r="AA27" s="3502"/>
      <c r="AB27" s="3501"/>
      <c r="AC27" s="3502"/>
      <c r="AD27" s="3501"/>
      <c r="AE27" s="3502"/>
      <c r="AF27" s="3501"/>
      <c r="AG27" s="3502"/>
      <c r="AH27" s="3501"/>
      <c r="AI27" s="3502"/>
      <c r="AJ27" s="3501"/>
      <c r="AK27" s="3502"/>
      <c r="AL27" s="3501"/>
      <c r="AM27" s="3502"/>
      <c r="AN27" s="3501"/>
      <c r="AO27" s="3502"/>
      <c r="AP27" s="3501"/>
      <c r="AQ27" s="3502"/>
      <c r="AR27" s="3501"/>
      <c r="AS27" s="1285"/>
      <c r="AT27" s="3501"/>
      <c r="AU27" s="1285"/>
      <c r="AV27" s="3501"/>
      <c r="AW27" s="1285"/>
      <c r="AX27" s="3501"/>
      <c r="AY27" s="3502"/>
      <c r="AZ27" s="3501"/>
      <c r="BA27" s="3502"/>
      <c r="BB27" s="3501"/>
      <c r="BC27" s="3502"/>
      <c r="BD27" s="3501"/>
      <c r="BE27" s="3502"/>
      <c r="BF27" s="3502"/>
      <c r="BG27" s="3502"/>
      <c r="BH27" s="3502"/>
      <c r="BI27" s="3509"/>
      <c r="BJ27" s="3502"/>
      <c r="BK27" s="3502"/>
      <c r="BL27" s="3512"/>
      <c r="BM27" s="3513"/>
      <c r="BN27" s="3512"/>
      <c r="BO27" s="3513"/>
      <c r="BP27" s="2616" t="s">
        <v>1323</v>
      </c>
      <c r="BQ27" s="1630"/>
      <c r="BR27" s="1619"/>
      <c r="BS27" s="1619"/>
      <c r="BT27" s="1619"/>
      <c r="BU27" s="1619"/>
      <c r="BV27" s="1619"/>
    </row>
    <row r="28" spans="1:74" s="71" customFormat="1" ht="65.25" customHeight="1" x14ac:dyDescent="0.2">
      <c r="A28" s="813"/>
      <c r="B28" s="3466"/>
      <c r="C28" s="3467"/>
      <c r="D28" s="156"/>
      <c r="E28" s="3468"/>
      <c r="F28" s="3468"/>
      <c r="G28" s="2880" t="s">
        <v>1324</v>
      </c>
      <c r="H28" s="3469">
        <v>25.5</v>
      </c>
      <c r="I28" s="3189" t="s">
        <v>1325</v>
      </c>
      <c r="J28" s="2882" t="s">
        <v>1326</v>
      </c>
      <c r="K28" s="2699">
        <v>958</v>
      </c>
      <c r="L28" s="3470">
        <v>596</v>
      </c>
      <c r="M28" s="3498" t="s">
        <v>1327</v>
      </c>
      <c r="N28" s="3499" t="s">
        <v>1328</v>
      </c>
      <c r="O28" s="3487" t="s">
        <v>1329</v>
      </c>
      <c r="P28" s="3488">
        <f>SUM(U28:U30)/Q28</f>
        <v>0.53707208745911694</v>
      </c>
      <c r="Q28" s="3491">
        <f>SUM(U28:U32)</f>
        <v>204814218.74000001</v>
      </c>
      <c r="R28" s="3492" t="s">
        <v>1330</v>
      </c>
      <c r="S28" s="2820" t="s">
        <v>1331</v>
      </c>
      <c r="T28" s="1639" t="s">
        <v>1332</v>
      </c>
      <c r="U28" s="1640">
        <f>50000000</f>
        <v>50000000</v>
      </c>
      <c r="V28" s="1124">
        <v>21800000</v>
      </c>
      <c r="W28" s="1641">
        <v>21800000</v>
      </c>
      <c r="X28" s="1642">
        <v>34</v>
      </c>
      <c r="Y28" s="1087" t="s">
        <v>1333</v>
      </c>
      <c r="Z28" s="3495">
        <v>137900</v>
      </c>
      <c r="AA28" s="3480">
        <v>3150</v>
      </c>
      <c r="AB28" s="3486">
        <v>133058</v>
      </c>
      <c r="AC28" s="3480">
        <v>3720</v>
      </c>
      <c r="AD28" s="3486">
        <v>63153</v>
      </c>
      <c r="AE28" s="3480">
        <v>500</v>
      </c>
      <c r="AF28" s="3486">
        <v>20619</v>
      </c>
      <c r="AG28" s="3480">
        <v>400</v>
      </c>
      <c r="AH28" s="3486">
        <v>144038</v>
      </c>
      <c r="AI28" s="3480">
        <v>7000</v>
      </c>
      <c r="AJ28" s="3486">
        <v>43148</v>
      </c>
      <c r="AK28" s="3480">
        <v>500</v>
      </c>
      <c r="AL28" s="3486">
        <v>999</v>
      </c>
      <c r="AM28" s="3480">
        <v>30</v>
      </c>
      <c r="AN28" s="3486">
        <v>5926</v>
      </c>
      <c r="AO28" s="3480">
        <v>40</v>
      </c>
      <c r="AP28" s="3486">
        <v>12</v>
      </c>
      <c r="AQ28" s="3480">
        <v>5</v>
      </c>
      <c r="AR28" s="3486">
        <v>17</v>
      </c>
      <c r="AS28" s="3480">
        <v>1</v>
      </c>
      <c r="AT28" s="3486"/>
      <c r="AU28" s="3480"/>
      <c r="AV28" s="3486"/>
      <c r="AW28" s="3480"/>
      <c r="AX28" s="3486">
        <v>20664</v>
      </c>
      <c r="AY28" s="3480"/>
      <c r="AZ28" s="3486">
        <v>10224</v>
      </c>
      <c r="BA28" s="3480"/>
      <c r="BB28" s="3486">
        <v>35264</v>
      </c>
      <c r="BC28" s="3480"/>
      <c r="BD28" s="3486">
        <f>+Z28+AB28</f>
        <v>270958</v>
      </c>
      <c r="BE28" s="3480">
        <v>15146</v>
      </c>
      <c r="BF28" s="3480">
        <v>8</v>
      </c>
      <c r="BG28" s="3480">
        <f>SUM(V28:V32)</f>
        <v>46725000</v>
      </c>
      <c r="BH28" s="3480">
        <f>SUM(W28:W32)</f>
        <v>46725000</v>
      </c>
      <c r="BI28" s="3483">
        <f>BH28/BG28</f>
        <v>1</v>
      </c>
      <c r="BJ28" s="3472" t="s">
        <v>1334</v>
      </c>
      <c r="BK28" s="3472" t="s">
        <v>1305</v>
      </c>
      <c r="BL28" s="3475">
        <v>44067</v>
      </c>
      <c r="BM28" s="3476">
        <v>44067</v>
      </c>
      <c r="BN28" s="3475">
        <v>44195</v>
      </c>
      <c r="BO28" s="3476">
        <v>44195</v>
      </c>
      <c r="BP28" s="3479" t="s">
        <v>1303</v>
      </c>
      <c r="BQ28" s="156"/>
      <c r="BR28" s="1643"/>
      <c r="BS28" s="1643"/>
      <c r="BT28" s="1643"/>
      <c r="BU28" s="1643"/>
      <c r="BV28" s="1643"/>
    </row>
    <row r="29" spans="1:74" s="71" customFormat="1" ht="65.25" customHeight="1" x14ac:dyDescent="0.2">
      <c r="A29" s="813"/>
      <c r="B29" s="1644"/>
      <c r="C29" s="64"/>
      <c r="D29" s="156"/>
      <c r="E29" s="1025"/>
      <c r="F29" s="1025"/>
      <c r="G29" s="2880"/>
      <c r="H29" s="3469"/>
      <c r="I29" s="3189"/>
      <c r="J29" s="2882"/>
      <c r="K29" s="2699"/>
      <c r="L29" s="3497"/>
      <c r="M29" s="3498"/>
      <c r="N29" s="3499"/>
      <c r="O29" s="3487"/>
      <c r="P29" s="3489"/>
      <c r="Q29" s="3491"/>
      <c r="R29" s="3492"/>
      <c r="S29" s="2820"/>
      <c r="T29" s="1645" t="s">
        <v>1335</v>
      </c>
      <c r="U29" s="1640">
        <v>26100000</v>
      </c>
      <c r="V29" s="1124">
        <v>24925000</v>
      </c>
      <c r="W29" s="1641">
        <v>24925000</v>
      </c>
      <c r="X29" s="1642">
        <v>34</v>
      </c>
      <c r="Y29" s="1087" t="s">
        <v>1333</v>
      </c>
      <c r="Z29" s="3495"/>
      <c r="AA29" s="3481"/>
      <c r="AB29" s="3486"/>
      <c r="AC29" s="3481"/>
      <c r="AD29" s="3486"/>
      <c r="AE29" s="3481"/>
      <c r="AF29" s="3486"/>
      <c r="AG29" s="3481"/>
      <c r="AH29" s="3486"/>
      <c r="AI29" s="3481"/>
      <c r="AJ29" s="3486"/>
      <c r="AK29" s="3481"/>
      <c r="AL29" s="3486"/>
      <c r="AM29" s="3481"/>
      <c r="AN29" s="3486"/>
      <c r="AO29" s="3481"/>
      <c r="AP29" s="3486"/>
      <c r="AQ29" s="3481"/>
      <c r="AR29" s="3486"/>
      <c r="AS29" s="3481"/>
      <c r="AT29" s="3486"/>
      <c r="AU29" s="3481"/>
      <c r="AV29" s="3486"/>
      <c r="AW29" s="3481"/>
      <c r="AX29" s="3486"/>
      <c r="AY29" s="3481"/>
      <c r="AZ29" s="3486"/>
      <c r="BA29" s="3481"/>
      <c r="BB29" s="3486"/>
      <c r="BC29" s="3481"/>
      <c r="BD29" s="3486"/>
      <c r="BE29" s="3481"/>
      <c r="BF29" s="3481"/>
      <c r="BG29" s="3481"/>
      <c r="BH29" s="3481"/>
      <c r="BI29" s="3484"/>
      <c r="BJ29" s="3473"/>
      <c r="BK29" s="3473"/>
      <c r="BL29" s="3475"/>
      <c r="BM29" s="3477"/>
      <c r="BN29" s="3475"/>
      <c r="BO29" s="3477"/>
      <c r="BP29" s="3479"/>
      <c r="BQ29" s="156"/>
      <c r="BR29" s="1643"/>
      <c r="BS29" s="1643"/>
      <c r="BT29" s="1643"/>
      <c r="BU29" s="1643"/>
      <c r="BV29" s="1643"/>
    </row>
    <row r="30" spans="1:74" s="71" customFormat="1" ht="65.25" customHeight="1" x14ac:dyDescent="0.2">
      <c r="A30" s="813"/>
      <c r="B30" s="1644"/>
      <c r="C30" s="64"/>
      <c r="D30" s="156"/>
      <c r="E30" s="1025"/>
      <c r="F30" s="1025"/>
      <c r="G30" s="2905"/>
      <c r="H30" s="3500"/>
      <c r="I30" s="3070"/>
      <c r="J30" s="3286"/>
      <c r="K30" s="2699"/>
      <c r="L30" s="3471"/>
      <c r="M30" s="3498"/>
      <c r="N30" s="3499"/>
      <c r="O30" s="3487"/>
      <c r="P30" s="3490"/>
      <c r="Q30" s="3491"/>
      <c r="R30" s="3492"/>
      <c r="S30" s="2820"/>
      <c r="T30" s="1646" t="s">
        <v>1336</v>
      </c>
      <c r="U30" s="1640">
        <v>33900000</v>
      </c>
      <c r="V30" s="1124"/>
      <c r="W30" s="1641"/>
      <c r="X30" s="1642">
        <v>34</v>
      </c>
      <c r="Y30" s="1087" t="s">
        <v>1333</v>
      </c>
      <c r="Z30" s="3495"/>
      <c r="AA30" s="3481"/>
      <c r="AB30" s="3486"/>
      <c r="AC30" s="3481"/>
      <c r="AD30" s="3486"/>
      <c r="AE30" s="3481"/>
      <c r="AF30" s="3486"/>
      <c r="AG30" s="3481"/>
      <c r="AH30" s="3486"/>
      <c r="AI30" s="3481"/>
      <c r="AJ30" s="3486"/>
      <c r="AK30" s="3481"/>
      <c r="AL30" s="3486"/>
      <c r="AM30" s="3481"/>
      <c r="AN30" s="3486"/>
      <c r="AO30" s="3481"/>
      <c r="AP30" s="3486"/>
      <c r="AQ30" s="3481"/>
      <c r="AR30" s="3486"/>
      <c r="AS30" s="3481"/>
      <c r="AT30" s="3486"/>
      <c r="AU30" s="3481"/>
      <c r="AV30" s="3486"/>
      <c r="AW30" s="3481"/>
      <c r="AX30" s="3486"/>
      <c r="AY30" s="3481"/>
      <c r="AZ30" s="3486"/>
      <c r="BA30" s="3481"/>
      <c r="BB30" s="3486"/>
      <c r="BC30" s="3481"/>
      <c r="BD30" s="3486"/>
      <c r="BE30" s="3481"/>
      <c r="BF30" s="3481"/>
      <c r="BG30" s="3481"/>
      <c r="BH30" s="3481"/>
      <c r="BI30" s="3484"/>
      <c r="BJ30" s="3473"/>
      <c r="BK30" s="3473"/>
      <c r="BL30" s="3475"/>
      <c r="BM30" s="3477"/>
      <c r="BN30" s="3475"/>
      <c r="BO30" s="3477"/>
      <c r="BP30" s="3479"/>
      <c r="BQ30" s="156"/>
      <c r="BR30" s="1643"/>
      <c r="BS30" s="1643"/>
      <c r="BT30" s="1643"/>
      <c r="BU30" s="1643"/>
      <c r="BV30" s="1643"/>
    </row>
    <row r="31" spans="1:74" s="71" customFormat="1" ht="45" x14ac:dyDescent="0.2">
      <c r="A31" s="813"/>
      <c r="B31" s="1644"/>
      <c r="C31" s="64"/>
      <c r="D31" s="156"/>
      <c r="E31" s="1025"/>
      <c r="F31" s="1025"/>
      <c r="G31" s="2880" t="s">
        <v>1337</v>
      </c>
      <c r="H31" s="3469">
        <v>25.9</v>
      </c>
      <c r="I31" s="3189" t="s">
        <v>1338</v>
      </c>
      <c r="J31" s="2882" t="s">
        <v>1339</v>
      </c>
      <c r="K31" s="2699">
        <v>5</v>
      </c>
      <c r="L31" s="3470">
        <v>0</v>
      </c>
      <c r="M31" s="3498"/>
      <c r="N31" s="3499"/>
      <c r="O31" s="3487"/>
      <c r="P31" s="3488">
        <f>SUM(U31:U32)/Q28</f>
        <v>0.462927912540883</v>
      </c>
      <c r="Q31" s="3491"/>
      <c r="R31" s="3492"/>
      <c r="S31" s="2820"/>
      <c r="T31" s="3496" t="s">
        <v>1340</v>
      </c>
      <c r="U31" s="1647">
        <v>34643208.740000002</v>
      </c>
      <c r="V31" s="1124"/>
      <c r="W31" s="1124"/>
      <c r="X31" s="1648">
        <v>83</v>
      </c>
      <c r="Y31" s="1649" t="s">
        <v>1341</v>
      </c>
      <c r="Z31" s="3486"/>
      <c r="AA31" s="3481"/>
      <c r="AB31" s="3486"/>
      <c r="AC31" s="3481"/>
      <c r="AD31" s="3486"/>
      <c r="AE31" s="3481"/>
      <c r="AF31" s="3486"/>
      <c r="AG31" s="3481"/>
      <c r="AH31" s="3486"/>
      <c r="AI31" s="3481"/>
      <c r="AJ31" s="3486"/>
      <c r="AK31" s="3481"/>
      <c r="AL31" s="3486"/>
      <c r="AM31" s="3481"/>
      <c r="AN31" s="3486"/>
      <c r="AO31" s="3481"/>
      <c r="AP31" s="3486"/>
      <c r="AQ31" s="3481"/>
      <c r="AR31" s="3486"/>
      <c r="AS31" s="3481"/>
      <c r="AT31" s="3486"/>
      <c r="AU31" s="3481"/>
      <c r="AV31" s="3486"/>
      <c r="AW31" s="3481"/>
      <c r="AX31" s="3486"/>
      <c r="AY31" s="3481"/>
      <c r="AZ31" s="3486"/>
      <c r="BA31" s="3481"/>
      <c r="BB31" s="3486"/>
      <c r="BC31" s="3481"/>
      <c r="BD31" s="3486"/>
      <c r="BE31" s="3481"/>
      <c r="BF31" s="3481"/>
      <c r="BG31" s="3481"/>
      <c r="BH31" s="3481"/>
      <c r="BI31" s="3484"/>
      <c r="BJ31" s="3473"/>
      <c r="BK31" s="3473"/>
      <c r="BL31" s="3475"/>
      <c r="BM31" s="3477"/>
      <c r="BN31" s="3475"/>
      <c r="BO31" s="3477"/>
      <c r="BP31" s="3479"/>
      <c r="BQ31" s="156"/>
      <c r="BR31" s="1643"/>
      <c r="BS31" s="1643"/>
      <c r="BT31" s="1643"/>
      <c r="BU31" s="1643"/>
      <c r="BV31" s="1643"/>
    </row>
    <row r="32" spans="1:74" s="71" customFormat="1" ht="45" x14ac:dyDescent="0.2">
      <c r="A32" s="813"/>
      <c r="B32" s="3466"/>
      <c r="C32" s="3467"/>
      <c r="D32" s="156"/>
      <c r="E32" s="3468"/>
      <c r="F32" s="3468"/>
      <c r="G32" s="2880"/>
      <c r="H32" s="3469"/>
      <c r="I32" s="3189"/>
      <c r="J32" s="2882"/>
      <c r="K32" s="2699"/>
      <c r="L32" s="3471"/>
      <c r="M32" s="3498"/>
      <c r="N32" s="3499"/>
      <c r="O32" s="3487"/>
      <c r="P32" s="3490"/>
      <c r="Q32" s="3491"/>
      <c r="R32" s="3493"/>
      <c r="S32" s="3494"/>
      <c r="T32" s="3352"/>
      <c r="U32" s="1650">
        <v>60171010</v>
      </c>
      <c r="V32" s="1124"/>
      <c r="W32" s="1124"/>
      <c r="X32" s="1642">
        <v>34</v>
      </c>
      <c r="Y32" s="1087" t="s">
        <v>1333</v>
      </c>
      <c r="Z32" s="3486"/>
      <c r="AA32" s="3482"/>
      <c r="AB32" s="3486"/>
      <c r="AC32" s="3482"/>
      <c r="AD32" s="3486"/>
      <c r="AE32" s="3482"/>
      <c r="AF32" s="3486"/>
      <c r="AG32" s="3482"/>
      <c r="AH32" s="3486"/>
      <c r="AI32" s="3482"/>
      <c r="AJ32" s="3486"/>
      <c r="AK32" s="3482"/>
      <c r="AL32" s="3486"/>
      <c r="AM32" s="3482"/>
      <c r="AN32" s="3486"/>
      <c r="AO32" s="3482"/>
      <c r="AP32" s="3486"/>
      <c r="AQ32" s="3482"/>
      <c r="AR32" s="3486"/>
      <c r="AS32" s="3482"/>
      <c r="AT32" s="3486"/>
      <c r="AU32" s="3482"/>
      <c r="AV32" s="3486"/>
      <c r="AW32" s="3482"/>
      <c r="AX32" s="3486"/>
      <c r="AY32" s="3482"/>
      <c r="AZ32" s="3486"/>
      <c r="BA32" s="3482"/>
      <c r="BB32" s="3486"/>
      <c r="BC32" s="3482"/>
      <c r="BD32" s="3486"/>
      <c r="BE32" s="3482"/>
      <c r="BF32" s="3482"/>
      <c r="BG32" s="3482"/>
      <c r="BH32" s="3482"/>
      <c r="BI32" s="3485"/>
      <c r="BJ32" s="3474"/>
      <c r="BK32" s="3474"/>
      <c r="BL32" s="3475"/>
      <c r="BM32" s="3478"/>
      <c r="BN32" s="3475"/>
      <c r="BO32" s="3478"/>
      <c r="BP32" s="3479" t="s">
        <v>1323</v>
      </c>
      <c r="BR32" s="1643"/>
      <c r="BS32" s="1643"/>
      <c r="BT32" s="1643"/>
      <c r="BU32" s="1643"/>
      <c r="BV32" s="1643"/>
    </row>
    <row r="33" spans="1:74" s="4" customFormat="1" ht="105" x14ac:dyDescent="0.2">
      <c r="A33" s="262"/>
      <c r="B33" s="2900"/>
      <c r="C33" s="3412"/>
      <c r="D33" s="125"/>
      <c r="E33" s="2802"/>
      <c r="F33" s="2801"/>
      <c r="G33" s="1016" t="s">
        <v>1342</v>
      </c>
      <c r="H33" s="1865">
        <v>25.8</v>
      </c>
      <c r="I33" s="1012" t="s">
        <v>1343</v>
      </c>
      <c r="J33" s="1013" t="s">
        <v>1344</v>
      </c>
      <c r="K33" s="1014">
        <v>1</v>
      </c>
      <c r="L33" s="1014">
        <v>0</v>
      </c>
      <c r="M33" s="1007" t="s">
        <v>1345</v>
      </c>
      <c r="N33" s="1019" t="s">
        <v>1346</v>
      </c>
      <c r="O33" s="1023" t="s">
        <v>1347</v>
      </c>
      <c r="P33" s="1651">
        <f>+U33/Q33</f>
        <v>1</v>
      </c>
      <c r="Q33" s="1652">
        <f>+U33</f>
        <v>18000000</v>
      </c>
      <c r="R33" s="1653" t="s">
        <v>1348</v>
      </c>
      <c r="S33" s="1020" t="s">
        <v>1349</v>
      </c>
      <c r="T33" s="347" t="s">
        <v>1343</v>
      </c>
      <c r="U33" s="1654">
        <v>18000000</v>
      </c>
      <c r="V33" s="1655">
        <v>0</v>
      </c>
      <c r="W33" s="1655">
        <v>0</v>
      </c>
      <c r="X33" s="1648">
        <v>88</v>
      </c>
      <c r="Y33" s="1086" t="s">
        <v>395</v>
      </c>
      <c r="Z33" s="1656">
        <v>763.40206894654307</v>
      </c>
      <c r="AA33" s="1656"/>
      <c r="AB33" s="1657">
        <v>736.59793105345693</v>
      </c>
      <c r="AC33" s="1657"/>
      <c r="AD33" s="1657">
        <v>0</v>
      </c>
      <c r="AE33" s="1657"/>
      <c r="AF33" s="1657">
        <v>114.14456488843646</v>
      </c>
      <c r="AG33" s="1657"/>
      <c r="AH33" s="1657">
        <v>797.38183343879825</v>
      </c>
      <c r="AI33" s="1657"/>
      <c r="AJ33" s="1657">
        <v>0</v>
      </c>
      <c r="AK33" s="1657"/>
      <c r="AL33" s="1657">
        <v>0</v>
      </c>
      <c r="AM33" s="1657"/>
      <c r="AN33" s="1657">
        <v>0</v>
      </c>
      <c r="AO33" s="1657"/>
      <c r="AP33" s="1657">
        <v>0</v>
      </c>
      <c r="AQ33" s="1657"/>
      <c r="AR33" s="1657">
        <v>9.5434286185930056E-2</v>
      </c>
      <c r="AS33" s="1657"/>
      <c r="AT33" s="1657">
        <v>0</v>
      </c>
      <c r="AU33" s="1657"/>
      <c r="AV33" s="1657">
        <v>0</v>
      </c>
      <c r="AW33" s="1657"/>
      <c r="AX33" s="1657">
        <v>0</v>
      </c>
      <c r="AY33" s="1657"/>
      <c r="AZ33" s="1657">
        <v>0</v>
      </c>
      <c r="BA33" s="1657"/>
      <c r="BB33" s="1657">
        <v>0</v>
      </c>
      <c r="BC33" s="1657"/>
      <c r="BD33" s="1657">
        <f>+Z33+AB33</f>
        <v>1500</v>
      </c>
      <c r="BE33" s="1657">
        <v>0</v>
      </c>
      <c r="BF33" s="1658">
        <v>0</v>
      </c>
      <c r="BG33" s="1658"/>
      <c r="BH33" s="1658"/>
      <c r="BI33" s="1659"/>
      <c r="BJ33" s="1660"/>
      <c r="BK33" s="1660"/>
      <c r="BL33" s="1661">
        <v>0</v>
      </c>
      <c r="BM33" s="1661"/>
      <c r="BN33" s="1661">
        <v>44196</v>
      </c>
      <c r="BO33" s="1661"/>
      <c r="BP33" s="1662" t="s">
        <v>1303</v>
      </c>
      <c r="BR33" s="1663"/>
      <c r="BS33" s="1663"/>
      <c r="BT33" s="1663"/>
      <c r="BU33" s="1663"/>
      <c r="BV33" s="1663"/>
    </row>
    <row r="34" spans="1:74" s="4" customFormat="1" ht="39" customHeight="1" x14ac:dyDescent="0.2">
      <c r="A34" s="262"/>
      <c r="B34" s="1631"/>
      <c r="C34" s="276"/>
      <c r="D34" s="125"/>
      <c r="E34" s="1011"/>
      <c r="F34" s="1010"/>
      <c r="G34" s="2721" t="s">
        <v>1350</v>
      </c>
      <c r="H34" s="2721">
        <v>25.7</v>
      </c>
      <c r="I34" s="3235" t="s">
        <v>1351</v>
      </c>
      <c r="J34" s="2741" t="s">
        <v>1352</v>
      </c>
      <c r="K34" s="2601">
        <v>30</v>
      </c>
      <c r="L34" s="2601">
        <v>0</v>
      </c>
      <c r="M34" s="2581" t="s">
        <v>1353</v>
      </c>
      <c r="N34" s="2583" t="s">
        <v>1354</v>
      </c>
      <c r="O34" s="2741" t="s">
        <v>1355</v>
      </c>
      <c r="P34" s="3460">
        <f>SUM(U34:U36)/Q34</f>
        <v>1</v>
      </c>
      <c r="Q34" s="3463">
        <f>SUM(U34:U36)</f>
        <v>1191684472.2</v>
      </c>
      <c r="R34" s="2721" t="s">
        <v>1356</v>
      </c>
      <c r="S34" s="2721" t="s">
        <v>1357</v>
      </c>
      <c r="T34" s="3224" t="s">
        <v>1358</v>
      </c>
      <c r="U34" s="1638">
        <v>131920481.45999999</v>
      </c>
      <c r="V34" s="1638"/>
      <c r="W34" s="1638"/>
      <c r="X34" s="1648">
        <v>33</v>
      </c>
      <c r="Y34" s="1086" t="s">
        <v>1359</v>
      </c>
      <c r="Z34" s="3457">
        <v>26</v>
      </c>
      <c r="AA34" s="3430"/>
      <c r="AB34" s="3430">
        <v>26</v>
      </c>
      <c r="AC34" s="3430"/>
      <c r="AD34" s="3430">
        <v>0</v>
      </c>
      <c r="AE34" s="3430"/>
      <c r="AF34" s="3430">
        <v>0</v>
      </c>
      <c r="AG34" s="3430"/>
      <c r="AH34" s="3430">
        <v>52</v>
      </c>
      <c r="AI34" s="3430"/>
      <c r="AJ34" s="3430">
        <v>0</v>
      </c>
      <c r="AK34" s="3430"/>
      <c r="AL34" s="3430">
        <v>0</v>
      </c>
      <c r="AM34" s="3430"/>
      <c r="AN34" s="3430">
        <v>0</v>
      </c>
      <c r="AO34" s="3430"/>
      <c r="AP34" s="3430">
        <v>0</v>
      </c>
      <c r="AQ34" s="3430"/>
      <c r="AR34" s="3430">
        <v>0</v>
      </c>
      <c r="AS34" s="3430"/>
      <c r="AT34" s="3430">
        <v>0</v>
      </c>
      <c r="AU34" s="3430"/>
      <c r="AV34" s="3430">
        <v>0</v>
      </c>
      <c r="AW34" s="3430"/>
      <c r="AX34" s="3430">
        <v>0</v>
      </c>
      <c r="AY34" s="3430"/>
      <c r="AZ34" s="3430">
        <v>0</v>
      </c>
      <c r="BA34" s="3430"/>
      <c r="BB34" s="3430">
        <v>0</v>
      </c>
      <c r="BC34" s="3430"/>
      <c r="BD34" s="3430">
        <v>52</v>
      </c>
      <c r="BE34" s="3430">
        <v>0</v>
      </c>
      <c r="BF34" s="3430"/>
      <c r="BG34" s="3430"/>
      <c r="BH34" s="3430"/>
      <c r="BI34" s="3433"/>
      <c r="BJ34" s="3430"/>
      <c r="BK34" s="3430"/>
      <c r="BL34" s="2753"/>
      <c r="BM34" s="2753"/>
      <c r="BN34" s="2753"/>
      <c r="BO34" s="2753"/>
      <c r="BP34" s="2738" t="s">
        <v>1303</v>
      </c>
      <c r="BR34" s="1663"/>
      <c r="BS34" s="1663"/>
      <c r="BT34" s="1663"/>
      <c r="BU34" s="1663"/>
      <c r="BV34" s="1663"/>
    </row>
    <row r="35" spans="1:74" s="4" customFormat="1" ht="39.75" customHeight="1" x14ac:dyDescent="0.2">
      <c r="A35" s="262"/>
      <c r="B35" s="2900"/>
      <c r="C35" s="3412"/>
      <c r="D35" s="3415"/>
      <c r="E35" s="3416"/>
      <c r="F35" s="3417"/>
      <c r="G35" s="2722"/>
      <c r="H35" s="2722"/>
      <c r="I35" s="3236"/>
      <c r="J35" s="2742"/>
      <c r="K35" s="2598"/>
      <c r="L35" s="2598"/>
      <c r="M35" s="2582"/>
      <c r="N35" s="2584"/>
      <c r="O35" s="2742"/>
      <c r="P35" s="3461"/>
      <c r="Q35" s="3464"/>
      <c r="R35" s="2723"/>
      <c r="S35" s="2723"/>
      <c r="T35" s="3225"/>
      <c r="U35" s="1664">
        <v>893732980.74000001</v>
      </c>
      <c r="V35" s="1665"/>
      <c r="W35" s="1664"/>
      <c r="X35" s="1666">
        <v>83</v>
      </c>
      <c r="Y35" s="1086" t="s">
        <v>1360</v>
      </c>
      <c r="Z35" s="3458"/>
      <c r="AA35" s="3431"/>
      <c r="AB35" s="3431"/>
      <c r="AC35" s="3431"/>
      <c r="AD35" s="3431"/>
      <c r="AE35" s="3431"/>
      <c r="AF35" s="3431"/>
      <c r="AG35" s="3431"/>
      <c r="AH35" s="3431"/>
      <c r="AI35" s="3431"/>
      <c r="AJ35" s="3431"/>
      <c r="AK35" s="3431"/>
      <c r="AL35" s="3431"/>
      <c r="AM35" s="3431"/>
      <c r="AN35" s="3431"/>
      <c r="AO35" s="3431"/>
      <c r="AP35" s="3431"/>
      <c r="AQ35" s="3431"/>
      <c r="AR35" s="3431"/>
      <c r="AS35" s="3431"/>
      <c r="AT35" s="3431"/>
      <c r="AU35" s="3431"/>
      <c r="AV35" s="3431"/>
      <c r="AW35" s="3431"/>
      <c r="AX35" s="3431"/>
      <c r="AY35" s="3431"/>
      <c r="AZ35" s="3431"/>
      <c r="BA35" s="3431"/>
      <c r="BB35" s="3431"/>
      <c r="BC35" s="3431"/>
      <c r="BD35" s="3431"/>
      <c r="BE35" s="3431"/>
      <c r="BF35" s="3431"/>
      <c r="BG35" s="3431"/>
      <c r="BH35" s="3431"/>
      <c r="BI35" s="3434"/>
      <c r="BJ35" s="3431"/>
      <c r="BK35" s="3431"/>
      <c r="BL35" s="2754"/>
      <c r="BM35" s="2754"/>
      <c r="BN35" s="2754"/>
      <c r="BO35" s="2754"/>
      <c r="BP35" s="2739"/>
      <c r="BR35" s="1663"/>
      <c r="BS35" s="1663"/>
      <c r="BT35" s="1663"/>
      <c r="BU35" s="1663"/>
      <c r="BV35" s="1663"/>
    </row>
    <row r="36" spans="1:74" s="4" customFormat="1" ht="39.75" customHeight="1" x14ac:dyDescent="0.2">
      <c r="A36" s="262"/>
      <c r="B36" s="1631"/>
      <c r="C36" s="276"/>
      <c r="D36" s="3415"/>
      <c r="E36" s="3416"/>
      <c r="F36" s="3417"/>
      <c r="G36" s="2723"/>
      <c r="H36" s="2723"/>
      <c r="I36" s="3237"/>
      <c r="J36" s="2743"/>
      <c r="K36" s="3423"/>
      <c r="L36" s="3423"/>
      <c r="M36" s="2726"/>
      <c r="N36" s="2720"/>
      <c r="O36" s="2743"/>
      <c r="P36" s="3462"/>
      <c r="Q36" s="3465"/>
      <c r="R36" s="1015"/>
      <c r="S36" s="1015"/>
      <c r="T36" s="3384"/>
      <c r="U36" s="1667">
        <v>166031010</v>
      </c>
      <c r="V36" s="1668"/>
      <c r="W36" s="1667"/>
      <c r="X36" s="597">
        <v>88</v>
      </c>
      <c r="Y36" s="1629" t="s">
        <v>395</v>
      </c>
      <c r="Z36" s="3459"/>
      <c r="AA36" s="3432"/>
      <c r="AB36" s="3432"/>
      <c r="AC36" s="3432"/>
      <c r="AD36" s="3432"/>
      <c r="AE36" s="3432"/>
      <c r="AF36" s="3432"/>
      <c r="AG36" s="3432"/>
      <c r="AH36" s="3432"/>
      <c r="AI36" s="3432"/>
      <c r="AJ36" s="3432"/>
      <c r="AK36" s="3432"/>
      <c r="AL36" s="3432"/>
      <c r="AM36" s="3432"/>
      <c r="AN36" s="3432"/>
      <c r="AO36" s="3432"/>
      <c r="AP36" s="3432"/>
      <c r="AQ36" s="3432"/>
      <c r="AR36" s="3432"/>
      <c r="AS36" s="3432"/>
      <c r="AT36" s="3432"/>
      <c r="AU36" s="3432"/>
      <c r="AV36" s="3432"/>
      <c r="AW36" s="3432"/>
      <c r="AX36" s="3432"/>
      <c r="AY36" s="3432"/>
      <c r="AZ36" s="3432"/>
      <c r="BA36" s="3432"/>
      <c r="BB36" s="3432"/>
      <c r="BC36" s="3432"/>
      <c r="BD36" s="3432"/>
      <c r="BE36" s="3432"/>
      <c r="BF36" s="3432"/>
      <c r="BG36" s="3432"/>
      <c r="BH36" s="3432"/>
      <c r="BI36" s="3435"/>
      <c r="BJ36" s="3432"/>
      <c r="BK36" s="3432"/>
      <c r="BL36" s="2755"/>
      <c r="BM36" s="2755"/>
      <c r="BN36" s="2755"/>
      <c r="BO36" s="2755"/>
      <c r="BP36" s="2740"/>
      <c r="BR36" s="1663"/>
      <c r="BS36" s="1663"/>
      <c r="BT36" s="1663"/>
      <c r="BU36" s="1663"/>
      <c r="BV36" s="1663"/>
    </row>
    <row r="37" spans="1:74" s="4" customFormat="1" ht="15.75" x14ac:dyDescent="0.2">
      <c r="A37" s="262"/>
      <c r="B37" s="2900"/>
      <c r="C37" s="3412"/>
      <c r="D37" s="1669">
        <v>26</v>
      </c>
      <c r="E37" s="1582" t="s">
        <v>1361</v>
      </c>
      <c r="F37" s="581"/>
      <c r="G37" s="1585"/>
      <c r="H37" s="1585"/>
      <c r="I37" s="603"/>
      <c r="J37" s="583"/>
      <c r="K37" s="1585"/>
      <c r="L37" s="1585"/>
      <c r="M37" s="603"/>
      <c r="N37" s="1670"/>
      <c r="O37" s="603"/>
      <c r="P37" s="1671"/>
      <c r="Q37" s="1672"/>
      <c r="R37" s="1673"/>
      <c r="S37" s="1673"/>
      <c r="T37" s="603"/>
      <c r="U37" s="1674"/>
      <c r="V37" s="1675"/>
      <c r="W37" s="1675"/>
      <c r="X37" s="1676"/>
      <c r="Y37" s="1677"/>
      <c r="Z37" s="1678"/>
      <c r="AA37" s="1678"/>
      <c r="AB37" s="1679"/>
      <c r="AC37" s="1679"/>
      <c r="AD37" s="1679"/>
      <c r="AE37" s="1679"/>
      <c r="AF37" s="1679"/>
      <c r="AG37" s="1679"/>
      <c r="AH37" s="1679"/>
      <c r="AI37" s="1679"/>
      <c r="AJ37" s="1679"/>
      <c r="AK37" s="1679"/>
      <c r="AL37" s="1679"/>
      <c r="AM37" s="1679"/>
      <c r="AN37" s="1679"/>
      <c r="AO37" s="1679"/>
      <c r="AP37" s="1679"/>
      <c r="AQ37" s="1679"/>
      <c r="AR37" s="1679"/>
      <c r="AS37" s="1679"/>
      <c r="AT37" s="1679"/>
      <c r="AU37" s="1679"/>
      <c r="AV37" s="1679"/>
      <c r="AW37" s="1679"/>
      <c r="AX37" s="1679"/>
      <c r="AY37" s="1679"/>
      <c r="AZ37" s="1679"/>
      <c r="BA37" s="1679"/>
      <c r="BB37" s="1679"/>
      <c r="BC37" s="1679"/>
      <c r="BD37" s="1679"/>
      <c r="BE37" s="1679"/>
      <c r="BF37" s="1679"/>
      <c r="BG37" s="1679"/>
      <c r="BH37" s="1679"/>
      <c r="BI37" s="1680"/>
      <c r="BJ37" s="1679"/>
      <c r="BK37" s="1679"/>
      <c r="BL37" s="1681"/>
      <c r="BM37" s="1681"/>
      <c r="BN37" s="1682"/>
      <c r="BO37" s="1682"/>
      <c r="BP37" s="1593"/>
      <c r="BR37" s="1663"/>
      <c r="BS37" s="1663"/>
      <c r="BT37" s="1663"/>
      <c r="BU37" s="1663"/>
      <c r="BV37" s="1663"/>
    </row>
    <row r="38" spans="1:74" s="71" customFormat="1" ht="56.25" customHeight="1" x14ac:dyDescent="0.2">
      <c r="A38" s="813"/>
      <c r="B38" s="1644"/>
      <c r="C38" s="64"/>
      <c r="D38" s="3443"/>
      <c r="E38" s="3444"/>
      <c r="F38" s="3445"/>
      <c r="G38" s="3446">
        <v>3302042</v>
      </c>
      <c r="H38" s="3449">
        <v>26.1</v>
      </c>
      <c r="I38" s="3189" t="s">
        <v>1362</v>
      </c>
      <c r="J38" s="3452" t="s">
        <v>1363</v>
      </c>
      <c r="K38" s="3455">
        <v>12</v>
      </c>
      <c r="L38" s="3439">
        <v>12</v>
      </c>
      <c r="M38" s="2727" t="s">
        <v>1364</v>
      </c>
      <c r="N38" s="2592" t="s">
        <v>1365</v>
      </c>
      <c r="O38" s="3260" t="s">
        <v>1366</v>
      </c>
      <c r="P38" s="3440">
        <f>SUM(U38:U40)/Q38</f>
        <v>8.3416675085601535E-2</v>
      </c>
      <c r="Q38" s="3441">
        <f>SUM(U38:U43)</f>
        <v>405194764.30000001</v>
      </c>
      <c r="R38" s="1023"/>
      <c r="S38" s="1023"/>
      <c r="T38" s="1020" t="s">
        <v>1367</v>
      </c>
      <c r="U38" s="1683">
        <f>4800000</f>
        <v>4800000</v>
      </c>
      <c r="V38" s="1684">
        <f t="shared" ref="V38:W38" si="0">4800000</f>
        <v>4800000</v>
      </c>
      <c r="W38" s="1685">
        <f t="shared" si="0"/>
        <v>4800000</v>
      </c>
      <c r="X38" s="1686">
        <v>20</v>
      </c>
      <c r="Y38" s="1303" t="s">
        <v>1368</v>
      </c>
      <c r="Z38" s="3436">
        <v>85278</v>
      </c>
      <c r="AA38" s="3430">
        <v>1000</v>
      </c>
      <c r="AB38" s="3430">
        <v>85277</v>
      </c>
      <c r="AC38" s="3430">
        <v>1000</v>
      </c>
      <c r="AD38" s="3430">
        <v>17056</v>
      </c>
      <c r="AE38" s="3430">
        <v>50</v>
      </c>
      <c r="AF38" s="3430">
        <v>34111</v>
      </c>
      <c r="AG38" s="3430">
        <v>50</v>
      </c>
      <c r="AH38" s="3430">
        <v>85278</v>
      </c>
      <c r="AI38" s="3430">
        <v>2000</v>
      </c>
      <c r="AJ38" s="3430">
        <v>25582</v>
      </c>
      <c r="AK38" s="3430">
        <v>400</v>
      </c>
      <c r="AL38" s="3430">
        <v>4264</v>
      </c>
      <c r="AM38" s="3430">
        <v>0</v>
      </c>
      <c r="AN38" s="3430">
        <v>4264</v>
      </c>
      <c r="AO38" s="3430">
        <v>20</v>
      </c>
      <c r="AP38" s="3430">
        <v>0</v>
      </c>
      <c r="AQ38" s="3430">
        <v>0</v>
      </c>
      <c r="AR38" s="3430">
        <v>0</v>
      </c>
      <c r="AS38" s="3430"/>
      <c r="AT38" s="3430">
        <v>0</v>
      </c>
      <c r="AU38" s="3430"/>
      <c r="AV38" s="3430">
        <v>0</v>
      </c>
      <c r="AW38" s="3430"/>
      <c r="AX38" s="3430">
        <v>0</v>
      </c>
      <c r="AY38" s="3430">
        <v>0</v>
      </c>
      <c r="AZ38" s="3430">
        <v>0</v>
      </c>
      <c r="BA38" s="3430">
        <v>40</v>
      </c>
      <c r="BB38" s="3430">
        <v>0</v>
      </c>
      <c r="BC38" s="3430">
        <v>0</v>
      </c>
      <c r="BD38" s="3430">
        <v>170555</v>
      </c>
      <c r="BE38" s="3430">
        <v>4560</v>
      </c>
      <c r="BF38" s="3430">
        <v>5</v>
      </c>
      <c r="BG38" s="3430">
        <f>SUM(V38:V43)</f>
        <v>376520000</v>
      </c>
      <c r="BH38" s="3430">
        <f>SUM(W38:W43)</f>
        <v>376520000</v>
      </c>
      <c r="BI38" s="3433">
        <f>BH38/BG38</f>
        <v>1</v>
      </c>
      <c r="BJ38" s="3424" t="s">
        <v>1369</v>
      </c>
      <c r="BK38" s="3424" t="s">
        <v>1370</v>
      </c>
      <c r="BL38" s="3427">
        <v>43832</v>
      </c>
      <c r="BM38" s="3427">
        <v>43906</v>
      </c>
      <c r="BN38" s="3427">
        <v>44196</v>
      </c>
      <c r="BO38" s="3427">
        <v>44180</v>
      </c>
      <c r="BP38" s="2738" t="s">
        <v>1303</v>
      </c>
      <c r="BR38" s="1643"/>
      <c r="BS38" s="1643"/>
      <c r="BT38" s="1643"/>
      <c r="BU38" s="1643"/>
      <c r="BV38" s="1643"/>
    </row>
    <row r="39" spans="1:74" s="71" customFormat="1" ht="56.25" customHeight="1" x14ac:dyDescent="0.2">
      <c r="A39" s="813"/>
      <c r="B39" s="1644"/>
      <c r="C39" s="64"/>
      <c r="D39" s="3443"/>
      <c r="E39" s="3444"/>
      <c r="F39" s="3445"/>
      <c r="G39" s="3447"/>
      <c r="H39" s="3450"/>
      <c r="I39" s="3189"/>
      <c r="J39" s="3453"/>
      <c r="K39" s="3052"/>
      <c r="L39" s="3439"/>
      <c r="M39" s="2727"/>
      <c r="N39" s="2592"/>
      <c r="O39" s="3260"/>
      <c r="P39" s="3440"/>
      <c r="Q39" s="3441"/>
      <c r="R39" s="1023"/>
      <c r="S39" s="1023"/>
      <c r="T39" s="1020" t="s">
        <v>1371</v>
      </c>
      <c r="U39" s="1683">
        <f>9000000</f>
        <v>9000000</v>
      </c>
      <c r="V39" s="1687">
        <f t="shared" ref="V39:W39" si="1">9000000</f>
        <v>9000000</v>
      </c>
      <c r="W39" s="1688">
        <f t="shared" si="1"/>
        <v>9000000</v>
      </c>
      <c r="X39" s="1686">
        <v>20</v>
      </c>
      <c r="Y39" s="1303" t="s">
        <v>1368</v>
      </c>
      <c r="Z39" s="3437"/>
      <c r="AA39" s="3431"/>
      <c r="AB39" s="3431"/>
      <c r="AC39" s="3431"/>
      <c r="AD39" s="3431"/>
      <c r="AE39" s="3431"/>
      <c r="AF39" s="3431"/>
      <c r="AG39" s="3431"/>
      <c r="AH39" s="3431"/>
      <c r="AI39" s="3431"/>
      <c r="AJ39" s="3431"/>
      <c r="AK39" s="3431"/>
      <c r="AL39" s="3431"/>
      <c r="AM39" s="3431"/>
      <c r="AN39" s="3431"/>
      <c r="AO39" s="3431"/>
      <c r="AP39" s="3431"/>
      <c r="AQ39" s="3431"/>
      <c r="AR39" s="3431"/>
      <c r="AS39" s="3431"/>
      <c r="AT39" s="3431"/>
      <c r="AU39" s="3431"/>
      <c r="AV39" s="3431"/>
      <c r="AW39" s="3431"/>
      <c r="AX39" s="3431"/>
      <c r="AY39" s="3431"/>
      <c r="AZ39" s="3431"/>
      <c r="BA39" s="3431"/>
      <c r="BB39" s="3431"/>
      <c r="BC39" s="3431"/>
      <c r="BD39" s="3431"/>
      <c r="BE39" s="3431"/>
      <c r="BF39" s="3431"/>
      <c r="BG39" s="3431"/>
      <c r="BH39" s="3431"/>
      <c r="BI39" s="3434"/>
      <c r="BJ39" s="3425"/>
      <c r="BK39" s="3425"/>
      <c r="BL39" s="3428"/>
      <c r="BM39" s="3428"/>
      <c r="BN39" s="3428"/>
      <c r="BO39" s="3428"/>
      <c r="BP39" s="2739"/>
      <c r="BR39" s="1643"/>
      <c r="BS39" s="1643"/>
      <c r="BT39" s="1643"/>
      <c r="BU39" s="1643"/>
      <c r="BV39" s="1643"/>
    </row>
    <row r="40" spans="1:74" s="4" customFormat="1" ht="56.25" customHeight="1" x14ac:dyDescent="0.2">
      <c r="A40" s="262"/>
      <c r="B40" s="2900"/>
      <c r="C40" s="3412"/>
      <c r="D40" s="3443"/>
      <c r="E40" s="3444"/>
      <c r="F40" s="3445"/>
      <c r="G40" s="3448"/>
      <c r="H40" s="3451"/>
      <c r="I40" s="3189"/>
      <c r="J40" s="3454"/>
      <c r="K40" s="3456"/>
      <c r="L40" s="3439"/>
      <c r="M40" s="2727"/>
      <c r="N40" s="2592"/>
      <c r="O40" s="3260"/>
      <c r="P40" s="3440"/>
      <c r="Q40" s="3441"/>
      <c r="R40" s="3260" t="s">
        <v>1372</v>
      </c>
      <c r="S40" s="3260" t="s">
        <v>1373</v>
      </c>
      <c r="T40" s="1023" t="s">
        <v>1374</v>
      </c>
      <c r="U40" s="1689">
        <v>20000000</v>
      </c>
      <c r="V40" s="1690">
        <v>20000000</v>
      </c>
      <c r="W40" s="1415">
        <v>20000000</v>
      </c>
      <c r="X40" s="1691">
        <v>88</v>
      </c>
      <c r="Y40" s="1086" t="s">
        <v>696</v>
      </c>
      <c r="Z40" s="3437"/>
      <c r="AA40" s="3431"/>
      <c r="AB40" s="3431"/>
      <c r="AC40" s="3431"/>
      <c r="AD40" s="3431"/>
      <c r="AE40" s="3431"/>
      <c r="AF40" s="3431"/>
      <c r="AG40" s="3431"/>
      <c r="AH40" s="3431"/>
      <c r="AI40" s="3431"/>
      <c r="AJ40" s="3431"/>
      <c r="AK40" s="3431"/>
      <c r="AL40" s="3431"/>
      <c r="AM40" s="3431"/>
      <c r="AN40" s="3431"/>
      <c r="AO40" s="3431"/>
      <c r="AP40" s="3431"/>
      <c r="AQ40" s="3431"/>
      <c r="AR40" s="3431"/>
      <c r="AS40" s="3431"/>
      <c r="AT40" s="3431"/>
      <c r="AU40" s="3431"/>
      <c r="AV40" s="3431"/>
      <c r="AW40" s="3431"/>
      <c r="AX40" s="3431"/>
      <c r="AY40" s="3431"/>
      <c r="AZ40" s="3431"/>
      <c r="BA40" s="3431"/>
      <c r="BB40" s="3431"/>
      <c r="BC40" s="3431"/>
      <c r="BD40" s="3431"/>
      <c r="BE40" s="3431"/>
      <c r="BF40" s="3431"/>
      <c r="BG40" s="3431"/>
      <c r="BH40" s="3431"/>
      <c r="BI40" s="3434"/>
      <c r="BJ40" s="3425"/>
      <c r="BK40" s="3425"/>
      <c r="BL40" s="3428"/>
      <c r="BM40" s="3428"/>
      <c r="BN40" s="3428"/>
      <c r="BO40" s="3428"/>
      <c r="BP40" s="2739"/>
      <c r="BR40" s="1663"/>
      <c r="BS40" s="1663"/>
      <c r="BT40" s="1663"/>
      <c r="BU40" s="1663"/>
      <c r="BV40" s="1663"/>
    </row>
    <row r="41" spans="1:74" s="4" customFormat="1" ht="45" customHeight="1" x14ac:dyDescent="0.2">
      <c r="A41" s="262"/>
      <c r="B41" s="1631"/>
      <c r="C41" s="276"/>
      <c r="D41" s="3415"/>
      <c r="E41" s="3416"/>
      <c r="F41" s="3417"/>
      <c r="G41" s="3418">
        <v>3302070</v>
      </c>
      <c r="H41" s="3418">
        <v>26.2</v>
      </c>
      <c r="I41" s="3421" t="s">
        <v>1375</v>
      </c>
      <c r="J41" s="2908" t="s">
        <v>1339</v>
      </c>
      <c r="K41" s="2601">
        <v>4</v>
      </c>
      <c r="L41" s="2601">
        <v>4</v>
      </c>
      <c r="M41" s="2727"/>
      <c r="N41" s="2592"/>
      <c r="O41" s="3260"/>
      <c r="P41" s="3440">
        <f>SUM(U41:U43)/Q38</f>
        <v>0.91658332491439842</v>
      </c>
      <c r="Q41" s="3441"/>
      <c r="R41" s="3260"/>
      <c r="S41" s="3260"/>
      <c r="T41" s="3042" t="s">
        <v>1376</v>
      </c>
      <c r="U41" s="1692">
        <v>123555981.3</v>
      </c>
      <c r="V41" s="1638">
        <f>123555981-28640331+300-34733</f>
        <v>94881217</v>
      </c>
      <c r="W41" s="1693">
        <v>94881217</v>
      </c>
      <c r="X41" s="1691">
        <v>93</v>
      </c>
      <c r="Y41" s="1086" t="s">
        <v>1377</v>
      </c>
      <c r="Z41" s="3437"/>
      <c r="AA41" s="3431"/>
      <c r="AB41" s="3431"/>
      <c r="AC41" s="3431"/>
      <c r="AD41" s="3431"/>
      <c r="AE41" s="3431"/>
      <c r="AF41" s="3431"/>
      <c r="AG41" s="3431"/>
      <c r="AH41" s="3431"/>
      <c r="AI41" s="3431"/>
      <c r="AJ41" s="3431"/>
      <c r="AK41" s="3431"/>
      <c r="AL41" s="3431"/>
      <c r="AM41" s="3431"/>
      <c r="AN41" s="3431"/>
      <c r="AO41" s="3431"/>
      <c r="AP41" s="3431"/>
      <c r="AQ41" s="3431"/>
      <c r="AR41" s="3431"/>
      <c r="AS41" s="3431"/>
      <c r="AT41" s="3431"/>
      <c r="AU41" s="3431"/>
      <c r="AV41" s="3431"/>
      <c r="AW41" s="3431"/>
      <c r="AX41" s="3431"/>
      <c r="AY41" s="3431"/>
      <c r="AZ41" s="3431"/>
      <c r="BA41" s="3431"/>
      <c r="BB41" s="3431"/>
      <c r="BC41" s="3431"/>
      <c r="BD41" s="3431"/>
      <c r="BE41" s="3431"/>
      <c r="BF41" s="3431"/>
      <c r="BG41" s="3431"/>
      <c r="BH41" s="3431"/>
      <c r="BI41" s="3434"/>
      <c r="BJ41" s="3425"/>
      <c r="BK41" s="3425"/>
      <c r="BL41" s="3428"/>
      <c r="BM41" s="3428"/>
      <c r="BN41" s="3428"/>
      <c r="BO41" s="3428"/>
      <c r="BP41" s="2739"/>
      <c r="BR41" s="1663"/>
      <c r="BS41" s="1663"/>
      <c r="BT41" s="1663"/>
      <c r="BU41" s="1663"/>
      <c r="BV41" s="1663"/>
    </row>
    <row r="42" spans="1:74" s="4" customFormat="1" ht="30" x14ac:dyDescent="0.2">
      <c r="A42" s="262"/>
      <c r="B42" s="2900"/>
      <c r="C42" s="3412"/>
      <c r="D42" s="3415"/>
      <c r="E42" s="3416"/>
      <c r="F42" s="3417"/>
      <c r="G42" s="3419"/>
      <c r="H42" s="3419"/>
      <c r="I42" s="3236"/>
      <c r="J42" s="2909"/>
      <c r="K42" s="2598"/>
      <c r="L42" s="2598"/>
      <c r="M42" s="2727"/>
      <c r="N42" s="2592"/>
      <c r="O42" s="3260"/>
      <c r="P42" s="3440"/>
      <c r="Q42" s="3441"/>
      <c r="R42" s="3260"/>
      <c r="S42" s="3260"/>
      <c r="T42" s="3042"/>
      <c r="U42" s="1694">
        <f>163800000+55398452</f>
        <v>219198452</v>
      </c>
      <c r="V42" s="1695">
        <v>219198452</v>
      </c>
      <c r="W42" s="1696">
        <v>219198452</v>
      </c>
      <c r="X42" s="1697">
        <v>47</v>
      </c>
      <c r="Y42" s="1303" t="s">
        <v>1378</v>
      </c>
      <c r="Z42" s="3437"/>
      <c r="AA42" s="3431"/>
      <c r="AB42" s="3431"/>
      <c r="AC42" s="3431"/>
      <c r="AD42" s="3431"/>
      <c r="AE42" s="3431"/>
      <c r="AF42" s="3431"/>
      <c r="AG42" s="3431"/>
      <c r="AH42" s="3431"/>
      <c r="AI42" s="3431"/>
      <c r="AJ42" s="3431"/>
      <c r="AK42" s="3431"/>
      <c r="AL42" s="3431"/>
      <c r="AM42" s="3431"/>
      <c r="AN42" s="3431"/>
      <c r="AO42" s="3431"/>
      <c r="AP42" s="3431"/>
      <c r="AQ42" s="3431"/>
      <c r="AR42" s="3431"/>
      <c r="AS42" s="3431"/>
      <c r="AT42" s="3431"/>
      <c r="AU42" s="3431"/>
      <c r="AV42" s="3431"/>
      <c r="AW42" s="3431"/>
      <c r="AX42" s="3431"/>
      <c r="AY42" s="3431"/>
      <c r="AZ42" s="3431"/>
      <c r="BA42" s="3431"/>
      <c r="BB42" s="3431"/>
      <c r="BC42" s="3431"/>
      <c r="BD42" s="3431"/>
      <c r="BE42" s="3431"/>
      <c r="BF42" s="3431"/>
      <c r="BG42" s="3431"/>
      <c r="BH42" s="3431"/>
      <c r="BI42" s="3434"/>
      <c r="BJ42" s="3425"/>
      <c r="BK42" s="3425"/>
      <c r="BL42" s="3428"/>
      <c r="BM42" s="3428"/>
      <c r="BN42" s="3428"/>
      <c r="BO42" s="3428"/>
      <c r="BP42" s="2739"/>
      <c r="BR42" s="1663"/>
      <c r="BS42" s="1663"/>
      <c r="BT42" s="1663"/>
      <c r="BU42" s="1663"/>
      <c r="BV42" s="1663"/>
    </row>
    <row r="43" spans="1:74" s="4" customFormat="1" ht="42" customHeight="1" x14ac:dyDescent="0.2">
      <c r="A43" s="262"/>
      <c r="B43" s="1631"/>
      <c r="C43" s="276"/>
      <c r="D43" s="3415"/>
      <c r="E43" s="3416"/>
      <c r="F43" s="3417"/>
      <c r="G43" s="3420"/>
      <c r="H43" s="3420"/>
      <c r="I43" s="3237"/>
      <c r="J43" s="3422"/>
      <c r="K43" s="3423"/>
      <c r="L43" s="3423"/>
      <c r="M43" s="2727"/>
      <c r="N43" s="2592"/>
      <c r="O43" s="3260"/>
      <c r="P43" s="3442"/>
      <c r="Q43" s="3441"/>
      <c r="R43" s="1022"/>
      <c r="S43" s="1022"/>
      <c r="T43" s="3042"/>
      <c r="U43" s="1698">
        <v>28640331</v>
      </c>
      <c r="V43" s="1695">
        <v>28640331</v>
      </c>
      <c r="W43" s="1693">
        <v>28640331</v>
      </c>
      <c r="X43" s="597">
        <v>88</v>
      </c>
      <c r="Y43" s="1026" t="s">
        <v>696</v>
      </c>
      <c r="Z43" s="3438"/>
      <c r="AA43" s="3432"/>
      <c r="AB43" s="3432"/>
      <c r="AC43" s="3432"/>
      <c r="AD43" s="3432"/>
      <c r="AE43" s="3432"/>
      <c r="AF43" s="3432"/>
      <c r="AG43" s="3432"/>
      <c r="AH43" s="3432"/>
      <c r="AI43" s="3432"/>
      <c r="AJ43" s="3432"/>
      <c r="AK43" s="3432"/>
      <c r="AL43" s="3432"/>
      <c r="AM43" s="3432"/>
      <c r="AN43" s="3432"/>
      <c r="AO43" s="3432"/>
      <c r="AP43" s="3432"/>
      <c r="AQ43" s="3432"/>
      <c r="AR43" s="3432"/>
      <c r="AS43" s="3432"/>
      <c r="AT43" s="3432"/>
      <c r="AU43" s="3432"/>
      <c r="AV43" s="3432"/>
      <c r="AW43" s="3432"/>
      <c r="AX43" s="3432"/>
      <c r="AY43" s="3432"/>
      <c r="AZ43" s="3432"/>
      <c r="BA43" s="3432"/>
      <c r="BB43" s="3432"/>
      <c r="BC43" s="3432"/>
      <c r="BD43" s="3432"/>
      <c r="BE43" s="3432"/>
      <c r="BF43" s="3432"/>
      <c r="BG43" s="3432"/>
      <c r="BH43" s="3432"/>
      <c r="BI43" s="3435"/>
      <c r="BJ43" s="3426"/>
      <c r="BK43" s="3426"/>
      <c r="BL43" s="3429"/>
      <c r="BM43" s="3429"/>
      <c r="BN43" s="3429"/>
      <c r="BO43" s="3429"/>
      <c r="BP43" s="2740"/>
      <c r="BR43" s="1663"/>
      <c r="BS43" s="1663"/>
      <c r="BT43" s="1663"/>
      <c r="BU43" s="1663"/>
      <c r="BV43" s="1663"/>
    </row>
    <row r="44" spans="1:74" s="71" customFormat="1" ht="15.75" x14ac:dyDescent="0.2">
      <c r="A44" s="679"/>
      <c r="B44" s="2849"/>
      <c r="C44" s="3413"/>
      <c r="D44" s="144"/>
      <c r="E44" s="144"/>
      <c r="F44" s="142"/>
      <c r="G44" s="681"/>
      <c r="H44" s="681"/>
      <c r="I44" s="1020"/>
      <c r="J44" s="1020"/>
      <c r="K44" s="1699"/>
      <c r="L44" s="1699"/>
      <c r="M44" s="1020"/>
      <c r="N44" s="686"/>
      <c r="O44" s="685"/>
      <c r="P44" s="683"/>
      <c r="Q44" s="1700">
        <f>SUM(Q12:Q42)</f>
        <v>3035796535.3200002</v>
      </c>
      <c r="R44" s="147"/>
      <c r="S44" s="147"/>
      <c r="T44" s="147"/>
      <c r="U44" s="1701">
        <f>SUM(U12:U36,U38:U43)</f>
        <v>3035796535.3200002</v>
      </c>
      <c r="V44" s="1701">
        <f>SUM(V12:V35,V38:V43)</f>
        <v>1587835203.8299999</v>
      </c>
      <c r="W44" s="1701">
        <f>SUM(W12:W35,W38:W43)</f>
        <v>1587835203.8299999</v>
      </c>
      <c r="X44" s="1702"/>
      <c r="Y44" s="1703"/>
      <c r="Z44" s="1704"/>
      <c r="AA44" s="1704"/>
      <c r="AB44" s="1705"/>
      <c r="AC44" s="1705"/>
      <c r="AD44" s="1705"/>
      <c r="AE44" s="1705"/>
      <c r="AF44" s="1705"/>
      <c r="AG44" s="1705"/>
      <c r="AH44" s="1705"/>
      <c r="AI44" s="1705"/>
      <c r="AJ44" s="1705"/>
      <c r="AK44" s="1705"/>
      <c r="AL44" s="1705"/>
      <c r="AM44" s="1705"/>
      <c r="AN44" s="1705"/>
      <c r="AO44" s="1705"/>
      <c r="AP44" s="1705"/>
      <c r="AQ44" s="1705"/>
      <c r="AR44" s="1705"/>
      <c r="AS44" s="1705"/>
      <c r="AT44" s="1705"/>
      <c r="AU44" s="1705"/>
      <c r="AV44" s="1705"/>
      <c r="AW44" s="1705"/>
      <c r="AX44" s="1705"/>
      <c r="AY44" s="1705"/>
      <c r="AZ44" s="1705"/>
      <c r="BA44" s="1705"/>
      <c r="BB44" s="1705"/>
      <c r="BC44" s="1705"/>
      <c r="BD44" s="1705"/>
      <c r="BE44" s="1705"/>
      <c r="BF44" s="1705"/>
      <c r="BG44" s="1701">
        <f>SUM(BG12:BG35,BG38:BG43)</f>
        <v>1587835203.8299999</v>
      </c>
      <c r="BH44" s="1701">
        <f>SUM(BH12:BH35,BH38:BH43)</f>
        <v>1587835203.8299999</v>
      </c>
      <c r="BI44" s="1705"/>
      <c r="BJ44" s="1705"/>
      <c r="BK44" s="1705"/>
      <c r="BL44" s="1706"/>
      <c r="BM44" s="1706"/>
      <c r="BN44" s="1707"/>
      <c r="BO44" s="1707"/>
      <c r="BP44" s="685"/>
      <c r="BR44" s="1643"/>
      <c r="BS44" s="1643"/>
      <c r="BT44" s="1643"/>
      <c r="BU44" s="1643"/>
      <c r="BV44" s="1643"/>
    </row>
    <row r="46" spans="1:74" x14ac:dyDescent="0.2">
      <c r="T46" s="1708"/>
      <c r="U46" s="1709"/>
      <c r="V46" s="1709"/>
      <c r="W46" s="1709"/>
    </row>
    <row r="47" spans="1:74" ht="15.75" x14ac:dyDescent="0.25">
      <c r="Q47" s="1711"/>
      <c r="T47" s="1708"/>
      <c r="U47" s="1712"/>
      <c r="V47" s="1712"/>
      <c r="W47" s="1712"/>
    </row>
    <row r="48" spans="1:74" x14ac:dyDescent="0.2">
      <c r="C48" s="492"/>
      <c r="D48" s="492"/>
      <c r="E48" s="492"/>
      <c r="F48" s="492"/>
      <c r="G48" s="492"/>
      <c r="H48" s="1713"/>
      <c r="T48" s="1708"/>
      <c r="U48" s="1709"/>
      <c r="V48" s="1709"/>
      <c r="W48" s="1709"/>
    </row>
    <row r="49" spans="3:17" ht="15.75" x14ac:dyDescent="0.25">
      <c r="C49" s="2650" t="s">
        <v>1379</v>
      </c>
      <c r="D49" s="2650"/>
      <c r="E49" s="2650"/>
      <c r="F49" s="2650"/>
      <c r="G49" s="2650"/>
      <c r="H49" s="1006"/>
    </row>
    <row r="50" spans="3:17" ht="15.75" x14ac:dyDescent="0.25">
      <c r="C50" s="3414" t="s">
        <v>1380</v>
      </c>
      <c r="D50" s="3414"/>
      <c r="E50" s="3414"/>
      <c r="F50" s="3414"/>
      <c r="G50" s="3414"/>
      <c r="H50" s="1714"/>
      <c r="Q50" s="1711"/>
    </row>
    <row r="51" spans="3:17" x14ac:dyDescent="0.2">
      <c r="C51" s="191"/>
      <c r="D51" s="479"/>
      <c r="E51" s="478"/>
      <c r="F51" s="481"/>
      <c r="G51" s="482"/>
      <c r="H51" s="482"/>
    </row>
  </sheetData>
  <sheetProtection password="A60F" sheet="1" objects="1" scenarios="1"/>
  <autoFilter ref="A1:BR4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330">
    <mergeCell ref="A1:BN4"/>
    <mergeCell ref="A5:L6"/>
    <mergeCell ref="N5:BR5"/>
    <mergeCell ref="AA6:BC6"/>
    <mergeCell ref="A7:A9"/>
    <mergeCell ref="B7:C9"/>
    <mergeCell ref="D7:D9"/>
    <mergeCell ref="E7:F9"/>
    <mergeCell ref="G7:G9"/>
    <mergeCell ref="H7:H9"/>
    <mergeCell ref="BL7:BM8"/>
    <mergeCell ref="BN7:BO8"/>
    <mergeCell ref="BP7:BP9"/>
    <mergeCell ref="K8:K9"/>
    <mergeCell ref="L8:L9"/>
    <mergeCell ref="U8:U9"/>
    <mergeCell ref="V8:V9"/>
    <mergeCell ref="W8:W9"/>
    <mergeCell ref="X7:X9"/>
    <mergeCell ref="Y7:Y9"/>
    <mergeCell ref="Z7:AC7"/>
    <mergeCell ref="AD7:AK7"/>
    <mergeCell ref="AL7:AW7"/>
    <mergeCell ref="AX7:BC7"/>
    <mergeCell ref="Z8:AA8"/>
    <mergeCell ref="AB8:AC8"/>
    <mergeCell ref="AD8:AE8"/>
    <mergeCell ref="AF8:AG8"/>
    <mergeCell ref="P7:P9"/>
    <mergeCell ref="Q7:Q9"/>
    <mergeCell ref="R7:R9"/>
    <mergeCell ref="S7:S9"/>
    <mergeCell ref="T7:T9"/>
    <mergeCell ref="U7:W7"/>
    <mergeCell ref="BJ8:BJ9"/>
    <mergeCell ref="BK8:BK9"/>
    <mergeCell ref="B11:C11"/>
    <mergeCell ref="E11:N11"/>
    <mergeCell ref="AT8:AU8"/>
    <mergeCell ref="AV8:AW8"/>
    <mergeCell ref="AX8:AY8"/>
    <mergeCell ref="AZ8:BA8"/>
    <mergeCell ref="BB8:BC8"/>
    <mergeCell ref="BF8:BF9"/>
    <mergeCell ref="AH8:AI8"/>
    <mergeCell ref="AJ8:AK8"/>
    <mergeCell ref="AL8:AM8"/>
    <mergeCell ref="AN8:AO8"/>
    <mergeCell ref="AP8:AQ8"/>
    <mergeCell ref="AR8:AS8"/>
    <mergeCell ref="BD7:BE8"/>
    <mergeCell ref="BF7:BK7"/>
    <mergeCell ref="I7:I9"/>
    <mergeCell ref="J7:J9"/>
    <mergeCell ref="K7:L7"/>
    <mergeCell ref="M7:M9"/>
    <mergeCell ref="N7:N9"/>
    <mergeCell ref="O7:O9"/>
    <mergeCell ref="B12:C12"/>
    <mergeCell ref="E12:F12"/>
    <mergeCell ref="G12:G16"/>
    <mergeCell ref="H12:H16"/>
    <mergeCell ref="I12:I16"/>
    <mergeCell ref="J12:J16"/>
    <mergeCell ref="BG8:BG9"/>
    <mergeCell ref="BH8:BH9"/>
    <mergeCell ref="BI8:BI9"/>
    <mergeCell ref="Q12:Q27"/>
    <mergeCell ref="R12:R27"/>
    <mergeCell ref="S12:S27"/>
    <mergeCell ref="T12:T13"/>
    <mergeCell ref="Z12:Z27"/>
    <mergeCell ref="AA12:AA27"/>
    <mergeCell ref="T21:T22"/>
    <mergeCell ref="T26:T27"/>
    <mergeCell ref="K12:K16"/>
    <mergeCell ref="L12:L16"/>
    <mergeCell ref="M12:M27"/>
    <mergeCell ref="N12:N27"/>
    <mergeCell ref="O12:O27"/>
    <mergeCell ref="P12:P16"/>
    <mergeCell ref="AH12:AH27"/>
    <mergeCell ref="AI12:AI27"/>
    <mergeCell ref="AJ12:AJ27"/>
    <mergeCell ref="AK12:AK27"/>
    <mergeCell ref="AL12:AL27"/>
    <mergeCell ref="AM12:AM27"/>
    <mergeCell ref="AB12:AB27"/>
    <mergeCell ref="AC12:AC27"/>
    <mergeCell ref="AD12:AD27"/>
    <mergeCell ref="AE12:AE27"/>
    <mergeCell ref="AF12:AF27"/>
    <mergeCell ref="AG12:AG27"/>
    <mergeCell ref="AY12:AY27"/>
    <mergeCell ref="AZ12:AZ27"/>
    <mergeCell ref="BA12:BA27"/>
    <mergeCell ref="BB12:BB27"/>
    <mergeCell ref="AN12:AN27"/>
    <mergeCell ref="AO12:AO27"/>
    <mergeCell ref="AP12:AP27"/>
    <mergeCell ref="AQ12:AQ27"/>
    <mergeCell ref="AR12:AR27"/>
    <mergeCell ref="AT12:AT27"/>
    <mergeCell ref="BP12:BP27"/>
    <mergeCell ref="BK13:BK27"/>
    <mergeCell ref="T14:T15"/>
    <mergeCell ref="G17:G27"/>
    <mergeCell ref="H17:H27"/>
    <mergeCell ref="I17:I27"/>
    <mergeCell ref="J17:J27"/>
    <mergeCell ref="K17:K27"/>
    <mergeCell ref="L17:L27"/>
    <mergeCell ref="P17:P27"/>
    <mergeCell ref="BI12:BI27"/>
    <mergeCell ref="BJ12:BJ27"/>
    <mergeCell ref="BL12:BL27"/>
    <mergeCell ref="BM12:BM27"/>
    <mergeCell ref="BN12:BN27"/>
    <mergeCell ref="BO12:BO27"/>
    <mergeCell ref="BC12:BC27"/>
    <mergeCell ref="BD12:BD27"/>
    <mergeCell ref="BE12:BE27"/>
    <mergeCell ref="BF12:BF27"/>
    <mergeCell ref="BG12:BG27"/>
    <mergeCell ref="BH12:BH27"/>
    <mergeCell ref="AV12:AV27"/>
    <mergeCell ref="AX12:AX27"/>
    <mergeCell ref="I28:I30"/>
    <mergeCell ref="J28:J30"/>
    <mergeCell ref="K28:K30"/>
    <mergeCell ref="L28:L30"/>
    <mergeCell ref="M28:M32"/>
    <mergeCell ref="N28:N32"/>
    <mergeCell ref="B27:C27"/>
    <mergeCell ref="E27:F27"/>
    <mergeCell ref="B28:C28"/>
    <mergeCell ref="E28:F28"/>
    <mergeCell ref="G28:G30"/>
    <mergeCell ref="H28:H30"/>
    <mergeCell ref="AA28:AA32"/>
    <mergeCell ref="AB28:AB32"/>
    <mergeCell ref="AC28:AC32"/>
    <mergeCell ref="AD28:AD32"/>
    <mergeCell ref="AE28:AE32"/>
    <mergeCell ref="AF28:AF32"/>
    <mergeCell ref="O28:O32"/>
    <mergeCell ref="P28:P30"/>
    <mergeCell ref="Q28:Q32"/>
    <mergeCell ref="R28:R32"/>
    <mergeCell ref="S28:S32"/>
    <mergeCell ref="Z28:Z32"/>
    <mergeCell ref="P31:P32"/>
    <mergeCell ref="T31:T32"/>
    <mergeCell ref="AM28:AM32"/>
    <mergeCell ref="AN28:AN32"/>
    <mergeCell ref="AO28:AO32"/>
    <mergeCell ref="AP28:AP32"/>
    <mergeCell ref="AQ28:AQ32"/>
    <mergeCell ref="AR28:AR32"/>
    <mergeCell ref="AG28:AG32"/>
    <mergeCell ref="AH28:AH32"/>
    <mergeCell ref="AI28:AI32"/>
    <mergeCell ref="AJ28:AJ32"/>
    <mergeCell ref="AK28:AK32"/>
    <mergeCell ref="AL28:AL32"/>
    <mergeCell ref="AY28:AY32"/>
    <mergeCell ref="AZ28:AZ32"/>
    <mergeCell ref="BA28:BA32"/>
    <mergeCell ref="BB28:BB32"/>
    <mergeCell ref="BC28:BC32"/>
    <mergeCell ref="BD28:BD32"/>
    <mergeCell ref="AS28:AS32"/>
    <mergeCell ref="AT28:AT32"/>
    <mergeCell ref="AU28:AU32"/>
    <mergeCell ref="AV28:AV32"/>
    <mergeCell ref="AW28:AW32"/>
    <mergeCell ref="AX28:AX32"/>
    <mergeCell ref="BK28:BK32"/>
    <mergeCell ref="BL28:BL32"/>
    <mergeCell ref="BM28:BM32"/>
    <mergeCell ref="BN28:BN32"/>
    <mergeCell ref="BO28:BO32"/>
    <mergeCell ref="BP28:BP32"/>
    <mergeCell ref="BE28:BE32"/>
    <mergeCell ref="BF28:BF32"/>
    <mergeCell ref="BG28:BG32"/>
    <mergeCell ref="BH28:BH32"/>
    <mergeCell ref="BI28:BI32"/>
    <mergeCell ref="BJ28:BJ32"/>
    <mergeCell ref="L34:L36"/>
    <mergeCell ref="M34:M36"/>
    <mergeCell ref="N34:N36"/>
    <mergeCell ref="B32:C32"/>
    <mergeCell ref="E32:F32"/>
    <mergeCell ref="B33:C33"/>
    <mergeCell ref="E33:F33"/>
    <mergeCell ref="G34:G36"/>
    <mergeCell ref="H34:H36"/>
    <mergeCell ref="G31:G32"/>
    <mergeCell ref="H31:H32"/>
    <mergeCell ref="I31:I32"/>
    <mergeCell ref="J31:J32"/>
    <mergeCell ref="K31:K32"/>
    <mergeCell ref="L31:L32"/>
    <mergeCell ref="B35:C35"/>
    <mergeCell ref="D35:F36"/>
    <mergeCell ref="Z34:Z36"/>
    <mergeCell ref="AA34:AA36"/>
    <mergeCell ref="AB34:AB36"/>
    <mergeCell ref="AC34:AC36"/>
    <mergeCell ref="AD34:AD36"/>
    <mergeCell ref="AE34:AE36"/>
    <mergeCell ref="O34:O36"/>
    <mergeCell ref="P34:P36"/>
    <mergeCell ref="Q34:Q36"/>
    <mergeCell ref="R34:R35"/>
    <mergeCell ref="S34:S35"/>
    <mergeCell ref="T34:T36"/>
    <mergeCell ref="AL34:AL36"/>
    <mergeCell ref="AM34:AM36"/>
    <mergeCell ref="AN34:AN36"/>
    <mergeCell ref="AO34:AO36"/>
    <mergeCell ref="AP34:AP36"/>
    <mergeCell ref="AQ34:AQ36"/>
    <mergeCell ref="AF34:AF36"/>
    <mergeCell ref="AG34:AG36"/>
    <mergeCell ref="AH34:AH36"/>
    <mergeCell ref="AI34:AI36"/>
    <mergeCell ref="AJ34:AJ36"/>
    <mergeCell ref="AK34:AK36"/>
    <mergeCell ref="BA34:BA36"/>
    <mergeCell ref="BB34:BB36"/>
    <mergeCell ref="BC34:BC36"/>
    <mergeCell ref="AR34:AR36"/>
    <mergeCell ref="AS34:AS36"/>
    <mergeCell ref="AT34:AT36"/>
    <mergeCell ref="AU34:AU36"/>
    <mergeCell ref="AV34:AV36"/>
    <mergeCell ref="AW34:AW36"/>
    <mergeCell ref="B37:C37"/>
    <mergeCell ref="D38:F40"/>
    <mergeCell ref="G38:G40"/>
    <mergeCell ref="H38:H40"/>
    <mergeCell ref="I38:I40"/>
    <mergeCell ref="J38:J40"/>
    <mergeCell ref="K38:K40"/>
    <mergeCell ref="I34:I36"/>
    <mergeCell ref="J34:J36"/>
    <mergeCell ref="K34:K36"/>
    <mergeCell ref="L38:L40"/>
    <mergeCell ref="M38:M43"/>
    <mergeCell ref="N38:N43"/>
    <mergeCell ref="O38:O43"/>
    <mergeCell ref="P38:P40"/>
    <mergeCell ref="Q38:Q43"/>
    <mergeCell ref="L41:L43"/>
    <mergeCell ref="P41:P43"/>
    <mergeCell ref="BP34:BP36"/>
    <mergeCell ref="BJ34:BJ36"/>
    <mergeCell ref="BK34:BK36"/>
    <mergeCell ref="BL34:BL36"/>
    <mergeCell ref="BM34:BM36"/>
    <mergeCell ref="BN34:BN36"/>
    <mergeCell ref="BO34:BO36"/>
    <mergeCell ref="BD34:BD36"/>
    <mergeCell ref="BE34:BE36"/>
    <mergeCell ref="BF34:BF36"/>
    <mergeCell ref="BG34:BG36"/>
    <mergeCell ref="BH34:BH36"/>
    <mergeCell ref="BI34:BI36"/>
    <mergeCell ref="AX34:AX36"/>
    <mergeCell ref="AY34:AY36"/>
    <mergeCell ref="AZ34:AZ36"/>
    <mergeCell ref="AF38:AF43"/>
    <mergeCell ref="AG38:AG43"/>
    <mergeCell ref="AH38:AH43"/>
    <mergeCell ref="AI38:AI43"/>
    <mergeCell ref="AJ38:AJ43"/>
    <mergeCell ref="AK38:AK43"/>
    <mergeCell ref="Z38:Z43"/>
    <mergeCell ref="AA38:AA43"/>
    <mergeCell ref="AB38:AB43"/>
    <mergeCell ref="AC38:AC43"/>
    <mergeCell ref="AD38:AD43"/>
    <mergeCell ref="AE38:AE43"/>
    <mergeCell ref="AR38:AR43"/>
    <mergeCell ref="AS38:AS43"/>
    <mergeCell ref="AT38:AT43"/>
    <mergeCell ref="AU38:AU43"/>
    <mergeCell ref="AV38:AV43"/>
    <mergeCell ref="AW38:AW43"/>
    <mergeCell ref="AL38:AL43"/>
    <mergeCell ref="AM38:AM43"/>
    <mergeCell ref="AN38:AN43"/>
    <mergeCell ref="AO38:AO43"/>
    <mergeCell ref="AP38:AP43"/>
    <mergeCell ref="AQ38:AQ43"/>
    <mergeCell ref="BG38:BG43"/>
    <mergeCell ref="BH38:BH43"/>
    <mergeCell ref="BI38:BI43"/>
    <mergeCell ref="AX38:AX43"/>
    <mergeCell ref="AY38:AY43"/>
    <mergeCell ref="AZ38:AZ43"/>
    <mergeCell ref="BA38:BA43"/>
    <mergeCell ref="BB38:BB43"/>
    <mergeCell ref="BC38:BC43"/>
    <mergeCell ref="T41:T43"/>
    <mergeCell ref="B42:C42"/>
    <mergeCell ref="B44:C44"/>
    <mergeCell ref="C49:G49"/>
    <mergeCell ref="C50:G50"/>
    <mergeCell ref="BP38:BP43"/>
    <mergeCell ref="B40:C40"/>
    <mergeCell ref="R40:R42"/>
    <mergeCell ref="S40:S42"/>
    <mergeCell ref="D41:F43"/>
    <mergeCell ref="G41:G43"/>
    <mergeCell ref="H41:H43"/>
    <mergeCell ref="I41:I43"/>
    <mergeCell ref="J41:J43"/>
    <mergeCell ref="K41:K43"/>
    <mergeCell ref="BJ38:BJ43"/>
    <mergeCell ref="BK38:BK43"/>
    <mergeCell ref="BL38:BL43"/>
    <mergeCell ref="BM38:BM43"/>
    <mergeCell ref="BN38:BN43"/>
    <mergeCell ref="BO38:BO43"/>
    <mergeCell ref="BD38:BD43"/>
    <mergeCell ref="BE38:BE43"/>
    <mergeCell ref="BF38:BF4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I57"/>
  <sheetViews>
    <sheetView showGridLines="0" zoomScale="60" zoomScaleNormal="60" workbookViewId="0">
      <selection sqref="A1:BN4"/>
    </sheetView>
  </sheetViews>
  <sheetFormatPr baseColWidth="10" defaultRowHeight="15" x14ac:dyDescent="0.25"/>
  <cols>
    <col min="1" max="1" width="16.85546875" customWidth="1"/>
    <col min="2" max="2" width="6.140625" customWidth="1"/>
    <col min="3" max="3" width="15.140625" customWidth="1"/>
    <col min="4" max="4" width="18.5703125" customWidth="1"/>
    <col min="5" max="5" width="6.42578125" customWidth="1"/>
    <col min="6" max="6" width="14" customWidth="1"/>
    <col min="7" max="7" width="14.28515625" customWidth="1"/>
    <col min="8" max="8" width="23.28515625" customWidth="1"/>
    <col min="9" max="9" width="34" customWidth="1"/>
    <col min="10" max="10" width="31.7109375" customWidth="1"/>
    <col min="11" max="11" width="20.140625" customWidth="1"/>
    <col min="12" max="12" width="22.140625" customWidth="1"/>
    <col min="13" max="13" width="36.42578125" style="370" customWidth="1"/>
    <col min="14" max="14" width="23.85546875" customWidth="1"/>
    <col min="15" max="15" width="36.7109375" style="370" customWidth="1"/>
    <col min="16" max="16" width="20.5703125" customWidth="1"/>
    <col min="17" max="17" width="29.5703125" customWidth="1"/>
    <col min="18" max="18" width="31.28515625" style="370" customWidth="1"/>
    <col min="19" max="19" width="38.140625" style="370" customWidth="1"/>
    <col min="20" max="20" width="50.85546875" style="370" customWidth="1"/>
    <col min="21" max="21" width="29.5703125" customWidth="1"/>
    <col min="22" max="22" width="27.7109375" customWidth="1"/>
    <col min="23" max="23" width="30.28515625" customWidth="1"/>
    <col min="24" max="24" width="21.140625" customWidth="1"/>
    <col min="25" max="25" width="31.85546875" customWidth="1"/>
    <col min="26" max="26" width="13.140625" customWidth="1"/>
    <col min="27" max="27" width="10" customWidth="1"/>
    <col min="28" max="28" width="12.7109375" bestFit="1" customWidth="1"/>
    <col min="29" max="29" width="10" customWidth="1"/>
    <col min="30" max="30" width="12.7109375" bestFit="1" customWidth="1"/>
    <col min="31" max="31" width="10" customWidth="1"/>
    <col min="32" max="32" width="11.42578125" bestFit="1" customWidth="1"/>
    <col min="33" max="33" width="10" customWidth="1"/>
    <col min="34" max="34" width="12.7109375" bestFit="1" customWidth="1"/>
    <col min="35" max="35" width="11.7109375" bestFit="1" customWidth="1"/>
    <col min="36" max="36" width="11.42578125" bestFit="1" customWidth="1"/>
    <col min="37" max="53" width="10" customWidth="1"/>
    <col min="54" max="54" width="11.42578125" bestFit="1" customWidth="1"/>
    <col min="55" max="55" width="10" customWidth="1"/>
    <col min="56" max="56" width="12.7109375" bestFit="1" customWidth="1"/>
    <col min="57" max="57" width="10" customWidth="1"/>
    <col min="58" max="58" width="18.7109375" customWidth="1"/>
    <col min="59" max="60" width="27.5703125" customWidth="1"/>
    <col min="61" max="61" width="18.42578125" customWidth="1"/>
    <col min="62" max="62" width="18.7109375" customWidth="1"/>
    <col min="63" max="63" width="43.5703125" customWidth="1"/>
    <col min="64" max="64" width="20.140625" customWidth="1"/>
    <col min="65" max="65" width="18" customWidth="1"/>
    <col min="66" max="66" width="17.85546875" customWidth="1"/>
    <col min="67" max="67" width="21.5703125" customWidth="1"/>
    <col min="68" max="68" width="34.85546875" customWidth="1"/>
  </cols>
  <sheetData>
    <row r="1" spans="1:87" ht="18" customHeight="1" x14ac:dyDescent="0.25">
      <c r="A1" s="3535" t="s">
        <v>998</v>
      </c>
      <c r="B1" s="3535"/>
      <c r="C1" s="3535"/>
      <c r="D1" s="3535"/>
      <c r="E1" s="3535"/>
      <c r="F1" s="3535"/>
      <c r="G1" s="3535"/>
      <c r="H1" s="3535"/>
      <c r="I1" s="3535"/>
      <c r="J1" s="3535"/>
      <c r="K1" s="3535"/>
      <c r="L1" s="3535"/>
      <c r="M1" s="3535"/>
      <c r="N1" s="3535"/>
      <c r="O1" s="3535"/>
      <c r="P1" s="3535"/>
      <c r="Q1" s="3535"/>
      <c r="R1" s="3535"/>
      <c r="S1" s="3535"/>
      <c r="T1" s="3535"/>
      <c r="U1" s="3535"/>
      <c r="V1" s="3535"/>
      <c r="W1" s="3535"/>
      <c r="X1" s="3535"/>
      <c r="Y1" s="3535"/>
      <c r="Z1" s="3535"/>
      <c r="AA1" s="3535"/>
      <c r="AB1" s="3535"/>
      <c r="AC1" s="3535"/>
      <c r="AD1" s="3535"/>
      <c r="AE1" s="3535"/>
      <c r="AF1" s="3535"/>
      <c r="AG1" s="3535"/>
      <c r="AH1" s="3535"/>
      <c r="AI1" s="3535"/>
      <c r="AJ1" s="3535"/>
      <c r="AK1" s="3535"/>
      <c r="AL1" s="3535"/>
      <c r="AM1" s="3535"/>
      <c r="AN1" s="3535"/>
      <c r="AO1" s="3535"/>
      <c r="AP1" s="3535"/>
      <c r="AQ1" s="3535"/>
      <c r="AR1" s="3535"/>
      <c r="AS1" s="3535"/>
      <c r="AT1" s="3535"/>
      <c r="AU1" s="3535"/>
      <c r="AV1" s="3535"/>
      <c r="AW1" s="3535"/>
      <c r="AX1" s="3535"/>
      <c r="AY1" s="3535"/>
      <c r="AZ1" s="3535"/>
      <c r="BA1" s="3535"/>
      <c r="BB1" s="3535"/>
      <c r="BC1" s="3535"/>
      <c r="BD1" s="3535"/>
      <c r="BE1" s="3535"/>
      <c r="BF1" s="3535"/>
      <c r="BG1" s="3535"/>
      <c r="BH1" s="3535"/>
      <c r="BI1" s="3535"/>
      <c r="BJ1" s="3535"/>
      <c r="BK1" s="3535"/>
      <c r="BL1" s="3535"/>
      <c r="BM1" s="3535"/>
      <c r="BN1" s="3536"/>
      <c r="BO1" s="1273" t="s">
        <v>1</v>
      </c>
      <c r="BP1" s="190" t="s">
        <v>999</v>
      </c>
      <c r="BQ1" s="191"/>
      <c r="BR1" s="191"/>
      <c r="BS1" s="191"/>
      <c r="BT1" s="191"/>
      <c r="BU1" s="191"/>
      <c r="BV1" s="191"/>
      <c r="BW1" s="191"/>
      <c r="BX1" s="191"/>
      <c r="BY1" s="191"/>
      <c r="BZ1" s="191"/>
      <c r="CA1" s="191"/>
      <c r="CB1" s="191"/>
      <c r="CC1" s="191"/>
      <c r="CD1" s="191"/>
      <c r="CE1" s="191"/>
      <c r="CF1" s="191"/>
      <c r="CG1" s="191"/>
      <c r="CH1" s="191"/>
      <c r="CI1" s="191"/>
    </row>
    <row r="2" spans="1:87" ht="18" customHeight="1" x14ac:dyDescent="0.25">
      <c r="A2" s="3535"/>
      <c r="B2" s="3535"/>
      <c r="C2" s="3535"/>
      <c r="D2" s="3535"/>
      <c r="E2" s="3535"/>
      <c r="F2" s="3535"/>
      <c r="G2" s="3535"/>
      <c r="H2" s="3535"/>
      <c r="I2" s="3535"/>
      <c r="J2" s="3535"/>
      <c r="K2" s="3535"/>
      <c r="L2" s="3535"/>
      <c r="M2" s="3535"/>
      <c r="N2" s="3535"/>
      <c r="O2" s="3535"/>
      <c r="P2" s="3535"/>
      <c r="Q2" s="3535"/>
      <c r="R2" s="3535"/>
      <c r="S2" s="3535"/>
      <c r="T2" s="3535"/>
      <c r="U2" s="3535"/>
      <c r="V2" s="3535"/>
      <c r="W2" s="3535"/>
      <c r="X2" s="3535"/>
      <c r="Y2" s="3535"/>
      <c r="Z2" s="3535"/>
      <c r="AA2" s="3535"/>
      <c r="AB2" s="3535"/>
      <c r="AC2" s="3535"/>
      <c r="AD2" s="3535"/>
      <c r="AE2" s="3535"/>
      <c r="AF2" s="3535"/>
      <c r="AG2" s="3535"/>
      <c r="AH2" s="3535"/>
      <c r="AI2" s="3535"/>
      <c r="AJ2" s="3535"/>
      <c r="AK2" s="3535"/>
      <c r="AL2" s="3535"/>
      <c r="AM2" s="3535"/>
      <c r="AN2" s="3535"/>
      <c r="AO2" s="3535"/>
      <c r="AP2" s="3535"/>
      <c r="AQ2" s="3535"/>
      <c r="AR2" s="3535"/>
      <c r="AS2" s="3535"/>
      <c r="AT2" s="3535"/>
      <c r="AU2" s="3535"/>
      <c r="AV2" s="3535"/>
      <c r="AW2" s="3535"/>
      <c r="AX2" s="3535"/>
      <c r="AY2" s="3535"/>
      <c r="AZ2" s="3535"/>
      <c r="BA2" s="3535"/>
      <c r="BB2" s="3535"/>
      <c r="BC2" s="3535"/>
      <c r="BD2" s="3535"/>
      <c r="BE2" s="3535"/>
      <c r="BF2" s="3535"/>
      <c r="BG2" s="3535"/>
      <c r="BH2" s="3535"/>
      <c r="BI2" s="3535"/>
      <c r="BJ2" s="3535"/>
      <c r="BK2" s="3535"/>
      <c r="BL2" s="3535"/>
      <c r="BM2" s="3535"/>
      <c r="BN2" s="3536"/>
      <c r="BO2" s="1273" t="s">
        <v>3</v>
      </c>
      <c r="BP2" s="190" t="s">
        <v>4</v>
      </c>
      <c r="BQ2" s="191"/>
      <c r="BR2" s="191"/>
      <c r="BS2" s="191"/>
      <c r="BT2" s="191"/>
      <c r="BU2" s="191"/>
      <c r="BV2" s="191"/>
      <c r="BW2" s="191"/>
      <c r="BX2" s="191"/>
      <c r="BY2" s="191"/>
      <c r="BZ2" s="191"/>
      <c r="CA2" s="191"/>
      <c r="CB2" s="191"/>
      <c r="CC2" s="191"/>
      <c r="CD2" s="191"/>
      <c r="CE2" s="191"/>
      <c r="CF2" s="191"/>
      <c r="CG2" s="191"/>
      <c r="CH2" s="191"/>
      <c r="CI2" s="191"/>
    </row>
    <row r="3" spans="1:87" ht="18" customHeight="1" x14ac:dyDescent="0.25">
      <c r="A3" s="3535"/>
      <c r="B3" s="3535"/>
      <c r="C3" s="3535"/>
      <c r="D3" s="3535"/>
      <c r="E3" s="3535"/>
      <c r="F3" s="3535"/>
      <c r="G3" s="3535"/>
      <c r="H3" s="3535"/>
      <c r="I3" s="3535"/>
      <c r="J3" s="3535"/>
      <c r="K3" s="3535"/>
      <c r="L3" s="3535"/>
      <c r="M3" s="3535"/>
      <c r="N3" s="3535"/>
      <c r="O3" s="3535"/>
      <c r="P3" s="3535"/>
      <c r="Q3" s="3535"/>
      <c r="R3" s="3535"/>
      <c r="S3" s="3535"/>
      <c r="T3" s="3535"/>
      <c r="U3" s="3535"/>
      <c r="V3" s="3535"/>
      <c r="W3" s="3535"/>
      <c r="X3" s="3535"/>
      <c r="Y3" s="3535"/>
      <c r="Z3" s="3535"/>
      <c r="AA3" s="3535"/>
      <c r="AB3" s="3535"/>
      <c r="AC3" s="3535"/>
      <c r="AD3" s="3535"/>
      <c r="AE3" s="3535"/>
      <c r="AF3" s="3535"/>
      <c r="AG3" s="3535"/>
      <c r="AH3" s="3535"/>
      <c r="AI3" s="3535"/>
      <c r="AJ3" s="3535"/>
      <c r="AK3" s="3535"/>
      <c r="AL3" s="3535"/>
      <c r="AM3" s="3535"/>
      <c r="AN3" s="3535"/>
      <c r="AO3" s="3535"/>
      <c r="AP3" s="3535"/>
      <c r="AQ3" s="3535"/>
      <c r="AR3" s="3535"/>
      <c r="AS3" s="3535"/>
      <c r="AT3" s="3535"/>
      <c r="AU3" s="3535"/>
      <c r="AV3" s="3535"/>
      <c r="AW3" s="3535"/>
      <c r="AX3" s="3535"/>
      <c r="AY3" s="3535"/>
      <c r="AZ3" s="3535"/>
      <c r="BA3" s="3535"/>
      <c r="BB3" s="3535"/>
      <c r="BC3" s="3535"/>
      <c r="BD3" s="3535"/>
      <c r="BE3" s="3535"/>
      <c r="BF3" s="3535"/>
      <c r="BG3" s="3535"/>
      <c r="BH3" s="3535"/>
      <c r="BI3" s="3535"/>
      <c r="BJ3" s="3535"/>
      <c r="BK3" s="3535"/>
      <c r="BL3" s="3535"/>
      <c r="BM3" s="3535"/>
      <c r="BN3" s="3536"/>
      <c r="BO3" s="1273" t="s">
        <v>5</v>
      </c>
      <c r="BP3" s="193" t="s">
        <v>6</v>
      </c>
      <c r="BQ3" s="191"/>
      <c r="BR3" s="191"/>
      <c r="BS3" s="191"/>
      <c r="BT3" s="191"/>
      <c r="BU3" s="191"/>
      <c r="BV3" s="191"/>
      <c r="BW3" s="191"/>
      <c r="BX3" s="191"/>
      <c r="BY3" s="191"/>
      <c r="BZ3" s="191"/>
      <c r="CA3" s="191"/>
      <c r="CB3" s="191"/>
      <c r="CC3" s="191"/>
      <c r="CD3" s="191"/>
      <c r="CE3" s="191"/>
      <c r="CF3" s="191"/>
      <c r="CG3" s="191"/>
      <c r="CH3" s="191"/>
      <c r="CI3" s="191"/>
    </row>
    <row r="4" spans="1:87" ht="18" customHeight="1" x14ac:dyDescent="0.25">
      <c r="A4" s="3537"/>
      <c r="B4" s="3537"/>
      <c r="C4" s="3537"/>
      <c r="D4" s="3537"/>
      <c r="E4" s="3537"/>
      <c r="F4" s="3537"/>
      <c r="G4" s="3537"/>
      <c r="H4" s="3537"/>
      <c r="I4" s="3537"/>
      <c r="J4" s="3537"/>
      <c r="K4" s="3537"/>
      <c r="L4" s="3537"/>
      <c r="M4" s="3537"/>
      <c r="N4" s="3537"/>
      <c r="O4" s="3537"/>
      <c r="P4" s="3537"/>
      <c r="Q4" s="3537"/>
      <c r="R4" s="3537"/>
      <c r="S4" s="3537"/>
      <c r="T4" s="3537"/>
      <c r="U4" s="3537"/>
      <c r="V4" s="3537"/>
      <c r="W4" s="3537"/>
      <c r="X4" s="3537"/>
      <c r="Y4" s="3537"/>
      <c r="Z4" s="3537"/>
      <c r="AA4" s="3537"/>
      <c r="AB4" s="3537"/>
      <c r="AC4" s="3537"/>
      <c r="AD4" s="3537"/>
      <c r="AE4" s="3537"/>
      <c r="AF4" s="3537"/>
      <c r="AG4" s="3537"/>
      <c r="AH4" s="3537"/>
      <c r="AI4" s="3537"/>
      <c r="AJ4" s="3537"/>
      <c r="AK4" s="3537"/>
      <c r="AL4" s="3537"/>
      <c r="AM4" s="3537"/>
      <c r="AN4" s="3537"/>
      <c r="AO4" s="3537"/>
      <c r="AP4" s="3537"/>
      <c r="AQ4" s="3537"/>
      <c r="AR4" s="3537"/>
      <c r="AS4" s="3537"/>
      <c r="AT4" s="3537"/>
      <c r="AU4" s="3537"/>
      <c r="AV4" s="3537"/>
      <c r="AW4" s="3537"/>
      <c r="AX4" s="3537"/>
      <c r="AY4" s="3537"/>
      <c r="AZ4" s="3537"/>
      <c r="BA4" s="3537"/>
      <c r="BB4" s="3537"/>
      <c r="BC4" s="3537"/>
      <c r="BD4" s="3537"/>
      <c r="BE4" s="3537"/>
      <c r="BF4" s="3537"/>
      <c r="BG4" s="3537"/>
      <c r="BH4" s="3537"/>
      <c r="BI4" s="3537"/>
      <c r="BJ4" s="3537"/>
      <c r="BK4" s="3537"/>
      <c r="BL4" s="3537"/>
      <c r="BM4" s="3537"/>
      <c r="BN4" s="3538"/>
      <c r="BO4" s="1273" t="s">
        <v>7</v>
      </c>
      <c r="BP4" s="194" t="s">
        <v>8</v>
      </c>
      <c r="BQ4" s="191"/>
      <c r="BR4" s="191"/>
      <c r="BS4" s="191"/>
      <c r="BT4" s="191"/>
      <c r="BU4" s="191"/>
      <c r="BV4" s="191"/>
      <c r="BW4" s="191"/>
      <c r="BX4" s="191"/>
      <c r="BY4" s="191"/>
      <c r="BZ4" s="191"/>
      <c r="CA4" s="191"/>
      <c r="CB4" s="191"/>
      <c r="CC4" s="191"/>
      <c r="CD4" s="191"/>
      <c r="CE4" s="191"/>
      <c r="CF4" s="191"/>
      <c r="CG4" s="191"/>
      <c r="CH4" s="191"/>
      <c r="CI4" s="191"/>
    </row>
    <row r="5" spans="1:87" ht="22.5" customHeight="1" x14ac:dyDescent="0.25">
      <c r="A5" s="2664" t="s">
        <v>9</v>
      </c>
      <c r="B5" s="2664"/>
      <c r="C5" s="2664"/>
      <c r="D5" s="2664"/>
      <c r="E5" s="2664"/>
      <c r="F5" s="2664"/>
      <c r="G5" s="2664"/>
      <c r="H5" s="2664"/>
      <c r="I5" s="2664"/>
      <c r="J5" s="2664"/>
      <c r="K5" s="2664"/>
      <c r="L5" s="899"/>
      <c r="M5" s="2666" t="s">
        <v>10</v>
      </c>
      <c r="N5" s="2666"/>
      <c r="O5" s="2666"/>
      <c r="P5" s="2666"/>
      <c r="Q5" s="2666"/>
      <c r="R5" s="2666"/>
      <c r="S5" s="2666"/>
      <c r="T5" s="2666"/>
      <c r="U5" s="2666"/>
      <c r="V5" s="2666"/>
      <c r="W5" s="2666"/>
      <c r="X5" s="2666"/>
      <c r="Y5" s="2666"/>
      <c r="Z5" s="2666"/>
      <c r="AA5" s="2666"/>
      <c r="AB5" s="2666"/>
      <c r="AC5" s="2666"/>
      <c r="AD5" s="2666"/>
      <c r="AE5" s="2666"/>
      <c r="AF5" s="2666"/>
      <c r="AG5" s="2666"/>
      <c r="AH5" s="2666"/>
      <c r="AI5" s="2666"/>
      <c r="AJ5" s="2666"/>
      <c r="AK5" s="2666"/>
      <c r="AL5" s="2666"/>
      <c r="AM5" s="2666"/>
      <c r="AN5" s="2666"/>
      <c r="AO5" s="2666"/>
      <c r="AP5" s="2666"/>
      <c r="AQ5" s="2666"/>
      <c r="AR5" s="2666"/>
      <c r="AS5" s="2666"/>
      <c r="AT5" s="2666"/>
      <c r="AU5" s="2666"/>
      <c r="AV5" s="2666"/>
      <c r="AW5" s="2666"/>
      <c r="AX5" s="2666"/>
      <c r="AY5" s="2666"/>
      <c r="AZ5" s="2666"/>
      <c r="BA5" s="2666"/>
      <c r="BB5" s="2666"/>
      <c r="BC5" s="2666"/>
      <c r="BD5" s="2666"/>
      <c r="BE5" s="2666"/>
      <c r="BF5" s="2666"/>
      <c r="BG5" s="2666"/>
      <c r="BH5" s="2666"/>
      <c r="BI5" s="2666"/>
      <c r="BJ5" s="2666"/>
      <c r="BK5" s="2666"/>
      <c r="BL5" s="2666"/>
      <c r="BM5" s="2666"/>
      <c r="BN5" s="2666"/>
      <c r="BO5" s="2666"/>
      <c r="BP5" s="2666"/>
      <c r="BQ5" s="3"/>
      <c r="BR5" s="3"/>
      <c r="BS5" s="3"/>
      <c r="BT5" s="3"/>
      <c r="BU5" s="3"/>
      <c r="BV5" s="3"/>
      <c r="BW5" s="3"/>
      <c r="BX5" s="3"/>
      <c r="BY5" s="3"/>
      <c r="BZ5" s="3"/>
      <c r="CA5" s="3"/>
      <c r="CB5" s="3"/>
      <c r="CC5" s="3"/>
      <c r="CD5" s="3"/>
      <c r="CE5" s="3"/>
      <c r="CF5" s="3"/>
      <c r="CG5" s="3"/>
      <c r="CH5" s="3"/>
      <c r="CI5" s="3"/>
    </row>
    <row r="6" spans="1:87" ht="29.25" customHeight="1" x14ac:dyDescent="0.25">
      <c r="A6" s="2665"/>
      <c r="B6" s="2665"/>
      <c r="C6" s="2665"/>
      <c r="D6" s="2665"/>
      <c r="E6" s="2665"/>
      <c r="F6" s="2665"/>
      <c r="G6" s="2665"/>
      <c r="H6" s="2665"/>
      <c r="I6" s="2665"/>
      <c r="J6" s="2665"/>
      <c r="K6" s="2665"/>
      <c r="L6" s="900"/>
      <c r="M6" s="9"/>
      <c r="N6" s="10"/>
      <c r="O6" s="11"/>
      <c r="P6" s="900"/>
      <c r="Q6" s="10"/>
      <c r="R6" s="11"/>
      <c r="S6" s="11"/>
      <c r="T6" s="11"/>
      <c r="U6" s="10"/>
      <c r="V6" s="10"/>
      <c r="W6" s="10"/>
      <c r="X6" s="10"/>
      <c r="Y6" s="10"/>
      <c r="Z6" s="2972" t="s">
        <v>11</v>
      </c>
      <c r="AA6" s="3539"/>
      <c r="AB6" s="3539"/>
      <c r="AC6" s="3539"/>
      <c r="AD6" s="3539"/>
      <c r="AE6" s="3539"/>
      <c r="AF6" s="3539"/>
      <c r="AG6" s="3539"/>
      <c r="AH6" s="3539"/>
      <c r="AI6" s="3539"/>
      <c r="AJ6" s="3539"/>
      <c r="AK6" s="3539"/>
      <c r="AL6" s="3539"/>
      <c r="AM6" s="3539"/>
      <c r="AN6" s="3539"/>
      <c r="AO6" s="3539"/>
      <c r="AP6" s="3539"/>
      <c r="AQ6" s="3539"/>
      <c r="AR6" s="3539"/>
      <c r="AS6" s="3539"/>
      <c r="AT6" s="3539"/>
      <c r="AU6" s="3539"/>
      <c r="AV6" s="3539"/>
      <c r="AW6" s="3539"/>
      <c r="AX6" s="3539"/>
      <c r="AY6" s="3539"/>
      <c r="AZ6" s="3539"/>
      <c r="BA6" s="3539"/>
      <c r="BB6" s="3539"/>
      <c r="BC6" s="3539"/>
      <c r="BD6" s="3539"/>
      <c r="BE6" s="3539"/>
      <c r="BF6" s="900"/>
      <c r="BG6" s="900"/>
      <c r="BH6" s="900"/>
      <c r="BI6" s="900"/>
      <c r="BJ6" s="900"/>
      <c r="BK6" s="900"/>
      <c r="BL6" s="900"/>
      <c r="BM6" s="900"/>
      <c r="BN6" s="900"/>
      <c r="BO6" s="900"/>
      <c r="BP6" s="14"/>
      <c r="BQ6" s="3"/>
      <c r="BR6" s="3"/>
      <c r="BS6" s="3"/>
      <c r="BT6" s="3"/>
      <c r="BU6" s="3"/>
      <c r="BV6" s="3"/>
      <c r="BW6" s="3"/>
      <c r="BX6" s="3"/>
      <c r="BY6" s="3"/>
      <c r="BZ6" s="3"/>
      <c r="CA6" s="3"/>
      <c r="CB6" s="3"/>
      <c r="CC6" s="3"/>
      <c r="CD6" s="3"/>
      <c r="CE6" s="3"/>
      <c r="CF6" s="3"/>
      <c r="CG6" s="3"/>
      <c r="CH6" s="3"/>
      <c r="CI6" s="3"/>
    </row>
    <row r="7" spans="1:87" s="1274" customFormat="1" ht="45" customHeight="1" x14ac:dyDescent="0.25">
      <c r="A7" s="2534" t="s">
        <v>12</v>
      </c>
      <c r="B7" s="2536" t="s">
        <v>13</v>
      </c>
      <c r="C7" s="2537"/>
      <c r="D7" s="2516" t="s">
        <v>12</v>
      </c>
      <c r="E7" s="2536" t="s">
        <v>14</v>
      </c>
      <c r="F7" s="2537"/>
      <c r="G7" s="2516" t="s">
        <v>12</v>
      </c>
      <c r="H7" s="2516" t="s">
        <v>597</v>
      </c>
      <c r="I7" s="2516" t="s">
        <v>15</v>
      </c>
      <c r="J7" s="2516" t="s">
        <v>16</v>
      </c>
      <c r="K7" s="2536" t="s">
        <v>17</v>
      </c>
      <c r="L7" s="2537"/>
      <c r="M7" s="2516" t="s">
        <v>18</v>
      </c>
      <c r="N7" s="2516" t="s">
        <v>19</v>
      </c>
      <c r="O7" s="2516" t="s">
        <v>10</v>
      </c>
      <c r="P7" s="3547" t="s">
        <v>20</v>
      </c>
      <c r="Q7" s="2546" t="s">
        <v>21</v>
      </c>
      <c r="R7" s="2516" t="s">
        <v>22</v>
      </c>
      <c r="S7" s="2516" t="s">
        <v>23</v>
      </c>
      <c r="T7" s="2516" t="s">
        <v>24</v>
      </c>
      <c r="U7" s="2564" t="s">
        <v>21</v>
      </c>
      <c r="V7" s="3541"/>
      <c r="W7" s="3542"/>
      <c r="X7" s="2548" t="s">
        <v>12</v>
      </c>
      <c r="Y7" s="2516" t="s">
        <v>25</v>
      </c>
      <c r="Z7" s="2551" t="s">
        <v>26</v>
      </c>
      <c r="AA7" s="2552"/>
      <c r="AB7" s="2552"/>
      <c r="AC7" s="2553"/>
      <c r="AD7" s="2554" t="s">
        <v>27</v>
      </c>
      <c r="AE7" s="2555"/>
      <c r="AF7" s="2555"/>
      <c r="AG7" s="2555"/>
      <c r="AH7" s="2555"/>
      <c r="AI7" s="2555"/>
      <c r="AJ7" s="2555"/>
      <c r="AK7" s="2556"/>
      <c r="AL7" s="2554" t="s">
        <v>28</v>
      </c>
      <c r="AM7" s="2555"/>
      <c r="AN7" s="2555"/>
      <c r="AO7" s="2555"/>
      <c r="AP7" s="2555"/>
      <c r="AQ7" s="2555"/>
      <c r="AR7" s="2555"/>
      <c r="AS7" s="2555"/>
      <c r="AT7" s="2555"/>
      <c r="AU7" s="2555"/>
      <c r="AV7" s="2555"/>
      <c r="AW7" s="2556"/>
      <c r="AX7" s="2554" t="s">
        <v>29</v>
      </c>
      <c r="AY7" s="2555"/>
      <c r="AZ7" s="2555"/>
      <c r="BA7" s="2555"/>
      <c r="BB7" s="2555"/>
      <c r="BC7" s="2556"/>
      <c r="BD7" s="2554" t="s">
        <v>30</v>
      </c>
      <c r="BE7" s="2556"/>
      <c r="BF7" s="3543" t="s">
        <v>1000</v>
      </c>
      <c r="BG7" s="3544"/>
      <c r="BH7" s="3544"/>
      <c r="BI7" s="3544"/>
      <c r="BJ7" s="3544"/>
      <c r="BK7" s="3545"/>
      <c r="BL7" s="2541" t="s">
        <v>32</v>
      </c>
      <c r="BM7" s="2542"/>
      <c r="BN7" s="2541" t="s">
        <v>33</v>
      </c>
      <c r="BO7" s="2542"/>
      <c r="BP7" s="2671" t="s">
        <v>34</v>
      </c>
      <c r="BQ7" s="79"/>
      <c r="BR7" s="79"/>
      <c r="BS7" s="79"/>
      <c r="BT7" s="79"/>
      <c r="BU7" s="79"/>
      <c r="BV7" s="79"/>
      <c r="BW7" s="79"/>
      <c r="BX7" s="79"/>
      <c r="BY7" s="79"/>
      <c r="BZ7" s="79"/>
      <c r="CA7" s="79"/>
      <c r="CB7" s="79"/>
      <c r="CC7" s="79"/>
      <c r="CD7" s="79"/>
      <c r="CE7" s="79"/>
      <c r="CF7" s="79"/>
      <c r="CG7" s="79"/>
      <c r="CH7" s="79"/>
      <c r="CI7" s="79"/>
    </row>
    <row r="8" spans="1:87" s="1274" customFormat="1" ht="108" customHeight="1" x14ac:dyDescent="0.25">
      <c r="A8" s="2535"/>
      <c r="B8" s="2538"/>
      <c r="C8" s="2539"/>
      <c r="D8" s="2517"/>
      <c r="E8" s="2538"/>
      <c r="F8" s="2539"/>
      <c r="G8" s="2517"/>
      <c r="H8" s="2517"/>
      <c r="I8" s="2517"/>
      <c r="J8" s="2517"/>
      <c r="K8" s="2705"/>
      <c r="L8" s="2706"/>
      <c r="M8" s="2517"/>
      <c r="N8" s="2517"/>
      <c r="O8" s="2517"/>
      <c r="P8" s="3548"/>
      <c r="Q8" s="3550"/>
      <c r="R8" s="2517"/>
      <c r="S8" s="2517"/>
      <c r="T8" s="2517"/>
      <c r="U8" s="2546" t="s">
        <v>229</v>
      </c>
      <c r="V8" s="2546" t="s">
        <v>230</v>
      </c>
      <c r="W8" s="2546" t="s">
        <v>231</v>
      </c>
      <c r="X8" s="2549"/>
      <c r="Y8" s="2517"/>
      <c r="Z8" s="1275" t="s">
        <v>38</v>
      </c>
      <c r="AA8" s="1276"/>
      <c r="AB8" s="2675" t="s">
        <v>39</v>
      </c>
      <c r="AC8" s="2676"/>
      <c r="AD8" s="2673" t="s">
        <v>40</v>
      </c>
      <c r="AE8" s="2674"/>
      <c r="AF8" s="2673" t="s">
        <v>41</v>
      </c>
      <c r="AG8" s="2674"/>
      <c r="AH8" s="2673" t="s">
        <v>232</v>
      </c>
      <c r="AI8" s="2674"/>
      <c r="AJ8" s="2673" t="s">
        <v>43</v>
      </c>
      <c r="AK8" s="2674"/>
      <c r="AL8" s="2673" t="s">
        <v>44</v>
      </c>
      <c r="AM8" s="2674"/>
      <c r="AN8" s="2673" t="s">
        <v>45</v>
      </c>
      <c r="AO8" s="2674"/>
      <c r="AP8" s="2673" t="s">
        <v>46</v>
      </c>
      <c r="AQ8" s="2674"/>
      <c r="AR8" s="2673" t="s">
        <v>47</v>
      </c>
      <c r="AS8" s="2674"/>
      <c r="AT8" s="2673" t="s">
        <v>48</v>
      </c>
      <c r="AU8" s="2674"/>
      <c r="AV8" s="2673" t="s">
        <v>49</v>
      </c>
      <c r="AW8" s="2674"/>
      <c r="AX8" s="2673" t="s">
        <v>50</v>
      </c>
      <c r="AY8" s="2674"/>
      <c r="AZ8" s="2673" t="s">
        <v>51</v>
      </c>
      <c r="BA8" s="2674"/>
      <c r="BB8" s="2673" t="s">
        <v>52</v>
      </c>
      <c r="BC8" s="2674"/>
      <c r="BD8" s="2673" t="s">
        <v>30</v>
      </c>
      <c r="BE8" s="2674"/>
      <c r="BF8" s="2568" t="s">
        <v>53</v>
      </c>
      <c r="BG8" s="2567" t="s">
        <v>54</v>
      </c>
      <c r="BH8" s="2568" t="s">
        <v>55</v>
      </c>
      <c r="BI8" s="2569" t="s">
        <v>56</v>
      </c>
      <c r="BJ8" s="2568" t="s">
        <v>57</v>
      </c>
      <c r="BK8" s="2568" t="s">
        <v>58</v>
      </c>
      <c r="BL8" s="2543"/>
      <c r="BM8" s="2544"/>
      <c r="BN8" s="2543"/>
      <c r="BO8" s="2544"/>
      <c r="BP8" s="2672"/>
      <c r="BQ8" s="79"/>
      <c r="BR8" s="79"/>
      <c r="BS8" s="79"/>
      <c r="BT8" s="79"/>
      <c r="BU8" s="79"/>
      <c r="BV8" s="79"/>
      <c r="BW8" s="79"/>
      <c r="BX8" s="79"/>
      <c r="BY8" s="79"/>
      <c r="BZ8" s="79"/>
      <c r="CA8" s="79"/>
      <c r="CB8" s="79"/>
      <c r="CC8" s="79"/>
      <c r="CD8" s="79"/>
      <c r="CE8" s="79"/>
      <c r="CF8" s="79"/>
      <c r="CG8" s="79"/>
      <c r="CH8" s="79"/>
      <c r="CI8" s="79"/>
    </row>
    <row r="9" spans="1:87" s="1274" customFormat="1" ht="31.5" customHeight="1" x14ac:dyDescent="0.25">
      <c r="A9" s="3540"/>
      <c r="B9" s="2705"/>
      <c r="C9" s="2706"/>
      <c r="D9" s="2540"/>
      <c r="E9" s="2705"/>
      <c r="F9" s="2706"/>
      <c r="G9" s="2540"/>
      <c r="H9" s="2540"/>
      <c r="I9" s="2540"/>
      <c r="J9" s="2540"/>
      <c r="K9" s="873" t="s">
        <v>59</v>
      </c>
      <c r="L9" s="873" t="s">
        <v>60</v>
      </c>
      <c r="M9" s="2540"/>
      <c r="N9" s="2540"/>
      <c r="O9" s="2540"/>
      <c r="P9" s="3549"/>
      <c r="Q9" s="2547"/>
      <c r="R9" s="2540"/>
      <c r="S9" s="2540"/>
      <c r="T9" s="2540"/>
      <c r="U9" s="2547"/>
      <c r="V9" s="2547"/>
      <c r="W9" s="2547"/>
      <c r="X9" s="2550"/>
      <c r="Y9" s="2540"/>
      <c r="Z9" s="874" t="s">
        <v>59</v>
      </c>
      <c r="AA9" s="874" t="s">
        <v>60</v>
      </c>
      <c r="AB9" s="874" t="s">
        <v>59</v>
      </c>
      <c r="AC9" s="874" t="s">
        <v>60</v>
      </c>
      <c r="AD9" s="874" t="s">
        <v>59</v>
      </c>
      <c r="AE9" s="874" t="s">
        <v>60</v>
      </c>
      <c r="AF9" s="874" t="s">
        <v>59</v>
      </c>
      <c r="AG9" s="874" t="s">
        <v>60</v>
      </c>
      <c r="AH9" s="874" t="s">
        <v>59</v>
      </c>
      <c r="AI9" s="874" t="s">
        <v>60</v>
      </c>
      <c r="AJ9" s="874" t="s">
        <v>59</v>
      </c>
      <c r="AK9" s="874" t="s">
        <v>60</v>
      </c>
      <c r="AL9" s="874" t="s">
        <v>59</v>
      </c>
      <c r="AM9" s="874" t="s">
        <v>60</v>
      </c>
      <c r="AN9" s="874" t="s">
        <v>59</v>
      </c>
      <c r="AO9" s="874" t="s">
        <v>60</v>
      </c>
      <c r="AP9" s="874" t="s">
        <v>59</v>
      </c>
      <c r="AQ9" s="874" t="s">
        <v>60</v>
      </c>
      <c r="AR9" s="874" t="s">
        <v>59</v>
      </c>
      <c r="AS9" s="874" t="s">
        <v>60</v>
      </c>
      <c r="AT9" s="874" t="s">
        <v>59</v>
      </c>
      <c r="AU9" s="874" t="s">
        <v>60</v>
      </c>
      <c r="AV9" s="874" t="s">
        <v>59</v>
      </c>
      <c r="AW9" s="874" t="s">
        <v>60</v>
      </c>
      <c r="AX9" s="874" t="s">
        <v>59</v>
      </c>
      <c r="AY9" s="874" t="s">
        <v>60</v>
      </c>
      <c r="AZ9" s="874" t="s">
        <v>59</v>
      </c>
      <c r="BA9" s="874" t="s">
        <v>60</v>
      </c>
      <c r="BB9" s="874" t="s">
        <v>59</v>
      </c>
      <c r="BC9" s="874" t="s">
        <v>60</v>
      </c>
      <c r="BD9" s="874" t="s">
        <v>59</v>
      </c>
      <c r="BE9" s="874" t="s">
        <v>60</v>
      </c>
      <c r="BF9" s="2568"/>
      <c r="BG9" s="2567"/>
      <c r="BH9" s="2568"/>
      <c r="BI9" s="2569"/>
      <c r="BJ9" s="2568"/>
      <c r="BK9" s="2568"/>
      <c r="BL9" s="201" t="s">
        <v>59</v>
      </c>
      <c r="BM9" s="201" t="s">
        <v>60</v>
      </c>
      <c r="BN9" s="201" t="s">
        <v>59</v>
      </c>
      <c r="BO9" s="201" t="s">
        <v>60</v>
      </c>
      <c r="BP9" s="881"/>
      <c r="BQ9" s="79"/>
      <c r="BR9" s="79"/>
      <c r="BS9" s="79"/>
      <c r="BT9" s="79"/>
      <c r="BU9" s="79"/>
      <c r="BV9" s="79"/>
      <c r="BW9" s="79"/>
      <c r="BX9" s="79"/>
      <c r="BY9" s="79"/>
      <c r="BZ9" s="79"/>
      <c r="CA9" s="79"/>
      <c r="CB9" s="79"/>
      <c r="CC9" s="79"/>
      <c r="CD9" s="79"/>
      <c r="CE9" s="79"/>
      <c r="CF9" s="79"/>
      <c r="CG9" s="79"/>
      <c r="CH9" s="79"/>
      <c r="CI9" s="79"/>
    </row>
    <row r="10" spans="1:87" s="4" customFormat="1" ht="30.75" customHeight="1" x14ac:dyDescent="0.2">
      <c r="A10" s="1277">
        <v>2</v>
      </c>
      <c r="B10" s="204" t="s">
        <v>354</v>
      </c>
      <c r="C10" s="205"/>
      <c r="D10" s="206"/>
      <c r="E10" s="207"/>
      <c r="F10" s="207"/>
      <c r="G10" s="316"/>
      <c r="H10" s="316"/>
      <c r="I10" s="206"/>
      <c r="J10" s="206"/>
      <c r="K10" s="208"/>
      <c r="L10" s="208"/>
      <c r="M10" s="311"/>
      <c r="N10" s="209"/>
      <c r="O10" s="311"/>
      <c r="P10" s="211"/>
      <c r="Q10" s="212"/>
      <c r="R10" s="311"/>
      <c r="S10" s="311"/>
      <c r="T10" s="311"/>
      <c r="U10" s="213"/>
      <c r="V10" s="213"/>
      <c r="W10" s="213"/>
      <c r="X10" s="214"/>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317"/>
      <c r="BM10" s="317"/>
      <c r="BN10" s="317"/>
      <c r="BO10" s="317"/>
      <c r="BP10" s="44"/>
      <c r="BQ10" s="3"/>
      <c r="BR10" s="3"/>
      <c r="BS10" s="3"/>
      <c r="BT10" s="3"/>
      <c r="BU10" s="3"/>
      <c r="BV10" s="3"/>
      <c r="BW10" s="3"/>
      <c r="BX10" s="3"/>
      <c r="BY10" s="3"/>
      <c r="BZ10" s="3"/>
      <c r="CA10" s="3"/>
      <c r="CB10" s="3"/>
      <c r="CC10" s="3"/>
      <c r="CD10" s="3"/>
      <c r="CE10" s="3"/>
      <c r="CF10" s="3"/>
      <c r="CG10" s="3"/>
      <c r="CH10" s="3"/>
      <c r="CI10" s="3"/>
    </row>
    <row r="11" spans="1:87" s="4" customFormat="1" ht="23.25" customHeight="1" x14ac:dyDescent="0.2">
      <c r="A11" s="872"/>
      <c r="B11" s="217"/>
      <c r="C11" s="47"/>
      <c r="D11" s="218">
        <v>27</v>
      </c>
      <c r="E11" s="410" t="s">
        <v>495</v>
      </c>
      <c r="F11" s="220"/>
      <c r="G11" s="954"/>
      <c r="H11" s="954"/>
      <c r="I11" s="220"/>
      <c r="J11" s="220"/>
      <c r="K11" s="955"/>
      <c r="L11" s="790"/>
      <c r="M11" s="1278"/>
      <c r="N11" s="226"/>
      <c r="O11" s="1278"/>
      <c r="P11" s="1279"/>
      <c r="Q11" s="229"/>
      <c r="R11" s="1278"/>
      <c r="S11" s="1278"/>
      <c r="T11" s="1278"/>
      <c r="U11" s="231"/>
      <c r="V11" s="231"/>
      <c r="W11" s="231"/>
      <c r="X11" s="232"/>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226"/>
      <c r="BK11" s="226"/>
      <c r="BL11" s="1280"/>
      <c r="BM11" s="1280"/>
      <c r="BN11" s="1280"/>
      <c r="BO11" s="1280"/>
      <c r="BP11" s="61"/>
      <c r="BQ11" s="3"/>
      <c r="BR11" s="3"/>
      <c r="BS11" s="3"/>
      <c r="BT11" s="3"/>
      <c r="BU11" s="3"/>
      <c r="BV11" s="3"/>
      <c r="BW11" s="3"/>
      <c r="BX11" s="3"/>
      <c r="BY11" s="3"/>
      <c r="BZ11" s="3"/>
      <c r="CA11" s="3"/>
      <c r="CB11" s="3"/>
      <c r="CC11" s="3"/>
      <c r="CD11" s="3"/>
      <c r="CE11" s="3"/>
      <c r="CF11" s="3"/>
      <c r="CG11" s="3"/>
      <c r="CH11" s="3"/>
      <c r="CI11" s="3"/>
    </row>
    <row r="12" spans="1:87" s="4" customFormat="1" ht="57" customHeight="1" x14ac:dyDescent="0.2">
      <c r="A12" s="862"/>
      <c r="B12" s="79"/>
      <c r="C12" s="888"/>
      <c r="D12" s="1281"/>
      <c r="E12" s="1282"/>
      <c r="F12" s="1282"/>
      <c r="G12" s="3551">
        <v>3502006</v>
      </c>
      <c r="H12" s="3315" t="s">
        <v>1001</v>
      </c>
      <c r="I12" s="2698" t="s">
        <v>1002</v>
      </c>
      <c r="J12" s="2608" t="s">
        <v>1003</v>
      </c>
      <c r="K12" s="2622">
        <v>1</v>
      </c>
      <c r="L12" s="2813">
        <v>1</v>
      </c>
      <c r="M12" s="2608" t="s">
        <v>1004</v>
      </c>
      <c r="N12" s="2626" t="s">
        <v>1005</v>
      </c>
      <c r="O12" s="2608" t="s">
        <v>1006</v>
      </c>
      <c r="P12" s="3565">
        <f>U12/Q12</f>
        <v>0.4</v>
      </c>
      <c r="Q12" s="3567">
        <f>+U12+U14+U15+U16</f>
        <v>75000000</v>
      </c>
      <c r="R12" s="2585" t="s">
        <v>1007</v>
      </c>
      <c r="S12" s="3569" t="s">
        <v>1008</v>
      </c>
      <c r="T12" s="2585" t="s">
        <v>1009</v>
      </c>
      <c r="U12" s="3571">
        <v>30000000</v>
      </c>
      <c r="V12" s="3574">
        <v>18666666</v>
      </c>
      <c r="W12" s="3574">
        <v>18666666</v>
      </c>
      <c r="X12" s="3576" t="s">
        <v>1010</v>
      </c>
      <c r="Y12" s="2585" t="s">
        <v>74</v>
      </c>
      <c r="Z12" s="3510">
        <v>295972</v>
      </c>
      <c r="AA12" s="3510">
        <v>770</v>
      </c>
      <c r="AB12" s="3510">
        <v>285580</v>
      </c>
      <c r="AC12" s="3510">
        <v>750</v>
      </c>
      <c r="AD12" s="3510">
        <v>135545</v>
      </c>
      <c r="AE12" s="3510">
        <v>0</v>
      </c>
      <c r="AF12" s="3510">
        <v>44254</v>
      </c>
      <c r="AG12" s="3510">
        <v>0</v>
      </c>
      <c r="AH12" s="3510">
        <v>309146</v>
      </c>
      <c r="AI12" s="3510">
        <v>1520</v>
      </c>
      <c r="AJ12" s="3510">
        <v>92607</v>
      </c>
      <c r="AK12" s="3510">
        <v>0</v>
      </c>
      <c r="AL12" s="3510"/>
      <c r="AM12" s="3510"/>
      <c r="AN12" s="3510"/>
      <c r="AO12" s="1283"/>
      <c r="AP12" s="3510"/>
      <c r="AQ12" s="1283"/>
      <c r="AR12" s="3510"/>
      <c r="AS12" s="1283"/>
      <c r="AT12" s="3510"/>
      <c r="AU12" s="1283"/>
      <c r="AV12" s="1283"/>
      <c r="AW12" s="3510"/>
      <c r="AX12" s="3510"/>
      <c r="AY12" s="1283"/>
      <c r="AZ12" s="3510"/>
      <c r="BA12" s="1283"/>
      <c r="BB12" s="3510"/>
      <c r="BC12" s="1283"/>
      <c r="BD12" s="3510">
        <f>+Z12+AB12</f>
        <v>581552</v>
      </c>
      <c r="BE12" s="3510">
        <f>+AA12+AC12</f>
        <v>1520</v>
      </c>
      <c r="BF12" s="2738">
        <f>3+2</f>
        <v>5</v>
      </c>
      <c r="BG12" s="3510">
        <f>SUM(V12:V16)</f>
        <v>27416666</v>
      </c>
      <c r="BH12" s="3510">
        <f>SUM(W12:W16)</f>
        <v>27416666</v>
      </c>
      <c r="BI12" s="2587">
        <f>BH12/BG12</f>
        <v>1</v>
      </c>
      <c r="BJ12" s="2738" t="s">
        <v>1011</v>
      </c>
      <c r="BK12" s="2615" t="s">
        <v>1012</v>
      </c>
      <c r="BL12" s="2631">
        <v>43832</v>
      </c>
      <c r="BM12" s="2631">
        <v>44119</v>
      </c>
      <c r="BN12" s="2631">
        <v>44195</v>
      </c>
      <c r="BO12" s="2631">
        <v>44185</v>
      </c>
      <c r="BP12" s="2615" t="s">
        <v>1013</v>
      </c>
      <c r="BQ12" s="3"/>
      <c r="BR12" s="3"/>
      <c r="BS12" s="3"/>
      <c r="BT12" s="3"/>
      <c r="BU12" s="3"/>
      <c r="BV12" s="3"/>
      <c r="BW12" s="3"/>
      <c r="BX12" s="3"/>
      <c r="BY12" s="3"/>
      <c r="BZ12" s="3"/>
      <c r="CA12" s="3"/>
      <c r="CB12" s="3"/>
      <c r="CC12" s="3"/>
      <c r="CD12" s="3"/>
      <c r="CE12" s="3"/>
      <c r="CF12" s="3"/>
      <c r="CG12" s="3"/>
      <c r="CH12" s="3"/>
      <c r="CI12" s="3"/>
    </row>
    <row r="13" spans="1:87" s="4" customFormat="1" ht="63" customHeight="1" x14ac:dyDescent="0.2">
      <c r="A13" s="862"/>
      <c r="B13" s="79"/>
      <c r="C13" s="888"/>
      <c r="D13" s="3"/>
      <c r="E13" s="1284"/>
      <c r="F13" s="1284"/>
      <c r="G13" s="3078"/>
      <c r="H13" s="3315"/>
      <c r="I13" s="2698"/>
      <c r="J13" s="2608"/>
      <c r="K13" s="2624"/>
      <c r="L13" s="2783"/>
      <c r="M13" s="2608"/>
      <c r="N13" s="2626"/>
      <c r="O13" s="2608"/>
      <c r="P13" s="3566"/>
      <c r="Q13" s="3568"/>
      <c r="R13" s="2586"/>
      <c r="S13" s="3570"/>
      <c r="T13" s="3559"/>
      <c r="U13" s="3572"/>
      <c r="V13" s="3575"/>
      <c r="W13" s="3575"/>
      <c r="X13" s="3577"/>
      <c r="Y13" s="3559"/>
      <c r="Z13" s="3501"/>
      <c r="AA13" s="3501"/>
      <c r="AB13" s="3501"/>
      <c r="AC13" s="3501"/>
      <c r="AD13" s="3501"/>
      <c r="AE13" s="3501"/>
      <c r="AF13" s="3501"/>
      <c r="AG13" s="3501"/>
      <c r="AH13" s="3501"/>
      <c r="AI13" s="3501"/>
      <c r="AJ13" s="3501"/>
      <c r="AK13" s="3501"/>
      <c r="AL13" s="3501"/>
      <c r="AM13" s="3501"/>
      <c r="AN13" s="3501"/>
      <c r="AO13" s="1285"/>
      <c r="AP13" s="3501"/>
      <c r="AQ13" s="1285"/>
      <c r="AR13" s="3501"/>
      <c r="AS13" s="1285"/>
      <c r="AT13" s="3501"/>
      <c r="AU13" s="1285"/>
      <c r="AV13" s="1285"/>
      <c r="AW13" s="3501"/>
      <c r="AX13" s="3501"/>
      <c r="AY13" s="1285"/>
      <c r="AZ13" s="3501"/>
      <c r="BA13" s="1285"/>
      <c r="BB13" s="3501"/>
      <c r="BC13" s="1285"/>
      <c r="BD13" s="3501"/>
      <c r="BE13" s="3501"/>
      <c r="BF13" s="2739"/>
      <c r="BG13" s="3501"/>
      <c r="BH13" s="3501"/>
      <c r="BI13" s="2588"/>
      <c r="BJ13" s="2739"/>
      <c r="BK13" s="2616"/>
      <c r="BL13" s="2632"/>
      <c r="BM13" s="2632"/>
      <c r="BN13" s="2632"/>
      <c r="BO13" s="2632"/>
      <c r="BP13" s="2616"/>
      <c r="BQ13" s="3"/>
      <c r="BR13" s="3"/>
      <c r="BS13" s="3"/>
      <c r="BT13" s="3"/>
      <c r="BU13" s="3"/>
      <c r="BV13" s="3"/>
      <c r="BW13" s="3"/>
      <c r="BX13" s="3"/>
      <c r="BY13" s="3"/>
      <c r="BZ13" s="3"/>
      <c r="CA13" s="3"/>
      <c r="CB13" s="3"/>
      <c r="CC13" s="3"/>
      <c r="CD13" s="3"/>
      <c r="CE13" s="3"/>
      <c r="CF13" s="3"/>
      <c r="CG13" s="3"/>
      <c r="CH13" s="3"/>
      <c r="CI13" s="3"/>
    </row>
    <row r="14" spans="1:87" s="4" customFormat="1" ht="54" customHeight="1" x14ac:dyDescent="0.2">
      <c r="A14" s="862"/>
      <c r="B14" s="79"/>
      <c r="C14" s="888"/>
      <c r="D14" s="3"/>
      <c r="E14" s="1284"/>
      <c r="F14" s="1284"/>
      <c r="G14" s="3551">
        <v>3502007</v>
      </c>
      <c r="H14" s="3315" t="s">
        <v>501</v>
      </c>
      <c r="I14" s="2698" t="s">
        <v>1014</v>
      </c>
      <c r="J14" s="2608" t="s">
        <v>503</v>
      </c>
      <c r="K14" s="2622">
        <v>7</v>
      </c>
      <c r="L14" s="2813">
        <v>7</v>
      </c>
      <c r="M14" s="2608"/>
      <c r="N14" s="2626"/>
      <c r="O14" s="3546"/>
      <c r="P14" s="3573">
        <f>(U14+U15+U16)/(Q12)</f>
        <v>0.6</v>
      </c>
      <c r="Q14" s="3568"/>
      <c r="R14" s="2586"/>
      <c r="S14" s="3570"/>
      <c r="T14" s="2585" t="s">
        <v>1015</v>
      </c>
      <c r="U14" s="1286">
        <v>8000000</v>
      </c>
      <c r="V14" s="1287">
        <v>583333</v>
      </c>
      <c r="W14" s="1287">
        <v>583333</v>
      </c>
      <c r="X14" s="932">
        <v>88</v>
      </c>
      <c r="Y14" s="933" t="s">
        <v>74</v>
      </c>
      <c r="Z14" s="3501"/>
      <c r="AA14" s="3501"/>
      <c r="AB14" s="3501"/>
      <c r="AC14" s="3501"/>
      <c r="AD14" s="3501"/>
      <c r="AE14" s="3501"/>
      <c r="AF14" s="3501"/>
      <c r="AG14" s="3501"/>
      <c r="AH14" s="3501"/>
      <c r="AI14" s="3501"/>
      <c r="AJ14" s="3501"/>
      <c r="AK14" s="3501"/>
      <c r="AL14" s="3501"/>
      <c r="AM14" s="3501"/>
      <c r="AN14" s="3501"/>
      <c r="AO14" s="1285"/>
      <c r="AP14" s="3501"/>
      <c r="AQ14" s="1285"/>
      <c r="AR14" s="3501"/>
      <c r="AS14" s="1285"/>
      <c r="AT14" s="3501"/>
      <c r="AU14" s="1285"/>
      <c r="AV14" s="1285"/>
      <c r="AW14" s="3501"/>
      <c r="AX14" s="3501"/>
      <c r="AY14" s="1285"/>
      <c r="AZ14" s="3501"/>
      <c r="BA14" s="1285"/>
      <c r="BB14" s="3501"/>
      <c r="BC14" s="1285"/>
      <c r="BD14" s="3501"/>
      <c r="BE14" s="3501"/>
      <c r="BF14" s="2739"/>
      <c r="BG14" s="3501"/>
      <c r="BH14" s="3501"/>
      <c r="BI14" s="2588"/>
      <c r="BJ14" s="2739"/>
      <c r="BK14" s="2616"/>
      <c r="BL14" s="2632"/>
      <c r="BM14" s="2632"/>
      <c r="BN14" s="2632"/>
      <c r="BO14" s="2632"/>
      <c r="BP14" s="2616"/>
      <c r="BQ14" s="3"/>
      <c r="BR14" s="3"/>
      <c r="BS14" s="3"/>
      <c r="BT14" s="3"/>
      <c r="BU14" s="3"/>
      <c r="BV14" s="3"/>
      <c r="BW14" s="3"/>
      <c r="BX14" s="3"/>
      <c r="BY14" s="3"/>
      <c r="BZ14" s="3"/>
      <c r="CA14" s="3"/>
      <c r="CB14" s="3"/>
      <c r="CC14" s="3"/>
      <c r="CD14" s="3"/>
      <c r="CE14" s="3"/>
      <c r="CF14" s="3"/>
      <c r="CG14" s="3"/>
      <c r="CH14" s="3"/>
      <c r="CI14" s="3"/>
    </row>
    <row r="15" spans="1:87" s="4" customFormat="1" ht="54.75" customHeight="1" x14ac:dyDescent="0.2">
      <c r="A15" s="862"/>
      <c r="B15" s="79"/>
      <c r="C15" s="888"/>
      <c r="D15" s="3"/>
      <c r="E15" s="1284"/>
      <c r="F15" s="1284"/>
      <c r="G15" s="3552"/>
      <c r="H15" s="3315"/>
      <c r="I15" s="2698"/>
      <c r="J15" s="2608"/>
      <c r="K15" s="2623"/>
      <c r="L15" s="2782"/>
      <c r="M15" s="2608"/>
      <c r="N15" s="2626"/>
      <c r="O15" s="3546"/>
      <c r="P15" s="3573"/>
      <c r="Q15" s="3568"/>
      <c r="R15" s="2586"/>
      <c r="S15" s="3570"/>
      <c r="T15" s="3559"/>
      <c r="U15" s="1288">
        <v>25000000</v>
      </c>
      <c r="V15" s="1289">
        <v>0</v>
      </c>
      <c r="W15" s="1289">
        <v>0</v>
      </c>
      <c r="X15" s="938">
        <v>20</v>
      </c>
      <c r="Y15" s="871" t="s">
        <v>85</v>
      </c>
      <c r="Z15" s="3501"/>
      <c r="AA15" s="3501"/>
      <c r="AB15" s="3501"/>
      <c r="AC15" s="3501"/>
      <c r="AD15" s="3501"/>
      <c r="AE15" s="3501"/>
      <c r="AF15" s="3501"/>
      <c r="AG15" s="3501"/>
      <c r="AH15" s="3501"/>
      <c r="AI15" s="3501"/>
      <c r="AJ15" s="3501"/>
      <c r="AK15" s="3501"/>
      <c r="AL15" s="3501"/>
      <c r="AM15" s="3501"/>
      <c r="AN15" s="3501"/>
      <c r="AO15" s="1285"/>
      <c r="AP15" s="3501"/>
      <c r="AQ15" s="1285"/>
      <c r="AR15" s="3501"/>
      <c r="AS15" s="1285"/>
      <c r="AT15" s="3501"/>
      <c r="AU15" s="1285"/>
      <c r="AV15" s="1285"/>
      <c r="AW15" s="3501"/>
      <c r="AX15" s="3501"/>
      <c r="AY15" s="1285"/>
      <c r="AZ15" s="3501"/>
      <c r="BA15" s="1285"/>
      <c r="BB15" s="3501"/>
      <c r="BC15" s="1285"/>
      <c r="BD15" s="3501"/>
      <c r="BE15" s="3501"/>
      <c r="BF15" s="2739"/>
      <c r="BG15" s="3501"/>
      <c r="BH15" s="3501"/>
      <c r="BI15" s="2588"/>
      <c r="BJ15" s="2739"/>
      <c r="BK15" s="2616"/>
      <c r="BL15" s="2632"/>
      <c r="BM15" s="2632"/>
      <c r="BN15" s="2632"/>
      <c r="BO15" s="2632"/>
      <c r="BP15" s="2616"/>
      <c r="BQ15" s="3"/>
      <c r="BR15" s="3"/>
      <c r="BS15" s="3"/>
      <c r="BT15" s="3"/>
      <c r="BU15" s="3"/>
      <c r="BV15" s="3"/>
      <c r="BW15" s="3"/>
      <c r="BX15" s="3"/>
      <c r="BY15" s="3"/>
      <c r="BZ15" s="3"/>
      <c r="CA15" s="3"/>
      <c r="CB15" s="3"/>
      <c r="CC15" s="3"/>
      <c r="CD15" s="3"/>
      <c r="CE15" s="3"/>
      <c r="CF15" s="3"/>
      <c r="CG15" s="3"/>
      <c r="CH15" s="3"/>
      <c r="CI15" s="3"/>
    </row>
    <row r="16" spans="1:87" s="4" customFormat="1" ht="86.25" customHeight="1" x14ac:dyDescent="0.2">
      <c r="A16" s="862"/>
      <c r="B16" s="79"/>
      <c r="C16" s="888"/>
      <c r="D16" s="1284"/>
      <c r="E16" s="1284"/>
      <c r="F16" s="1284"/>
      <c r="G16" s="3552"/>
      <c r="H16" s="3315"/>
      <c r="I16" s="2698"/>
      <c r="J16" s="2608"/>
      <c r="K16" s="2624"/>
      <c r="L16" s="2783"/>
      <c r="M16" s="2608"/>
      <c r="N16" s="2626"/>
      <c r="O16" s="3546"/>
      <c r="P16" s="3573"/>
      <c r="Q16" s="3568"/>
      <c r="R16" s="2586"/>
      <c r="S16" s="3570"/>
      <c r="T16" s="869" t="s">
        <v>1016</v>
      </c>
      <c r="U16" s="1290">
        <v>12000000</v>
      </c>
      <c r="V16" s="1291">
        <v>8166667</v>
      </c>
      <c r="W16" s="1291">
        <v>8166667</v>
      </c>
      <c r="X16" s="932">
        <v>88</v>
      </c>
      <c r="Y16" s="933" t="s">
        <v>74</v>
      </c>
      <c r="Z16" s="3553"/>
      <c r="AA16" s="3553"/>
      <c r="AB16" s="3553"/>
      <c r="AC16" s="3553"/>
      <c r="AD16" s="3553"/>
      <c r="AE16" s="3553"/>
      <c r="AF16" s="3553"/>
      <c r="AG16" s="3553"/>
      <c r="AH16" s="3553"/>
      <c r="AI16" s="3553"/>
      <c r="AJ16" s="3553"/>
      <c r="AK16" s="3553"/>
      <c r="AL16" s="3553"/>
      <c r="AM16" s="3553"/>
      <c r="AN16" s="3553"/>
      <c r="AO16" s="1292"/>
      <c r="AP16" s="3553"/>
      <c r="AQ16" s="1292"/>
      <c r="AR16" s="3553"/>
      <c r="AS16" s="1292"/>
      <c r="AT16" s="3553"/>
      <c r="AU16" s="1292"/>
      <c r="AV16" s="1292"/>
      <c r="AW16" s="3553"/>
      <c r="AX16" s="3553"/>
      <c r="AY16" s="1292"/>
      <c r="AZ16" s="3553"/>
      <c r="BA16" s="1292"/>
      <c r="BB16" s="3553"/>
      <c r="BC16" s="1292"/>
      <c r="BD16" s="3553"/>
      <c r="BE16" s="3553"/>
      <c r="BF16" s="2740"/>
      <c r="BG16" s="3553"/>
      <c r="BH16" s="3553"/>
      <c r="BI16" s="2744"/>
      <c r="BJ16" s="2740"/>
      <c r="BK16" s="2752"/>
      <c r="BL16" s="2756"/>
      <c r="BM16" s="2756"/>
      <c r="BN16" s="2756"/>
      <c r="BO16" s="2756"/>
      <c r="BP16" s="2752"/>
      <c r="BQ16" s="3"/>
      <c r="BR16" s="3"/>
      <c r="BS16" s="3"/>
      <c r="BT16" s="3"/>
      <c r="BU16" s="3"/>
      <c r="BV16" s="3"/>
      <c r="BW16" s="3"/>
      <c r="BX16" s="3"/>
      <c r="BY16" s="3"/>
      <c r="BZ16" s="3"/>
      <c r="CA16" s="3"/>
      <c r="CB16" s="3"/>
      <c r="CC16" s="3"/>
      <c r="CD16" s="3"/>
      <c r="CE16" s="3"/>
      <c r="CF16" s="3"/>
      <c r="CG16" s="3"/>
      <c r="CH16" s="3"/>
      <c r="CI16" s="3"/>
    </row>
    <row r="17" spans="1:87" s="4" customFormat="1" ht="65.25" customHeight="1" x14ac:dyDescent="0.2">
      <c r="A17" s="862"/>
      <c r="B17" s="79"/>
      <c r="C17" s="888"/>
      <c r="D17" s="1284"/>
      <c r="E17" s="1284"/>
      <c r="F17" s="1284"/>
      <c r="G17" s="3554">
        <v>3502022</v>
      </c>
      <c r="H17" s="3557" t="s">
        <v>1017</v>
      </c>
      <c r="I17" s="2831" t="s">
        <v>1018</v>
      </c>
      <c r="J17" s="2646" t="s">
        <v>1019</v>
      </c>
      <c r="K17" s="2622">
        <v>14</v>
      </c>
      <c r="L17" s="2813">
        <v>15</v>
      </c>
      <c r="M17" s="2646" t="s">
        <v>1020</v>
      </c>
      <c r="N17" s="3019" t="s">
        <v>1021</v>
      </c>
      <c r="O17" s="2646" t="s">
        <v>1022</v>
      </c>
      <c r="P17" s="3560">
        <f>(U17+U18+U19)/Q17</f>
        <v>0.77251217640918579</v>
      </c>
      <c r="Q17" s="3105">
        <f>+U17+U18+U19+U20</f>
        <v>191600000</v>
      </c>
      <c r="R17" s="2645" t="s">
        <v>1023</v>
      </c>
      <c r="S17" s="3562" t="s">
        <v>1024</v>
      </c>
      <c r="T17" s="867" t="s">
        <v>1025</v>
      </c>
      <c r="U17" s="1293">
        <v>52013333</v>
      </c>
      <c r="V17" s="1294">
        <v>52013333</v>
      </c>
      <c r="W17" s="1294">
        <v>52013333</v>
      </c>
      <c r="X17" s="932">
        <v>20</v>
      </c>
      <c r="Y17" s="933" t="s">
        <v>85</v>
      </c>
      <c r="Z17" s="3510">
        <v>295972</v>
      </c>
      <c r="AA17" s="3510">
        <v>1550</v>
      </c>
      <c r="AB17" s="3510">
        <v>285580</v>
      </c>
      <c r="AC17" s="3510">
        <v>1480</v>
      </c>
      <c r="AD17" s="3510">
        <v>135545</v>
      </c>
      <c r="AE17" s="3510">
        <v>0</v>
      </c>
      <c r="AF17" s="3510">
        <v>44254</v>
      </c>
      <c r="AG17" s="3510">
        <v>0</v>
      </c>
      <c r="AH17" s="3510">
        <v>309146</v>
      </c>
      <c r="AI17" s="3510">
        <v>3030</v>
      </c>
      <c r="AJ17" s="3510">
        <v>92607</v>
      </c>
      <c r="AK17" s="3510">
        <v>0</v>
      </c>
      <c r="AL17" s="3510"/>
      <c r="AM17" s="3510"/>
      <c r="AN17" s="3510"/>
      <c r="AO17" s="3510"/>
      <c r="AP17" s="3510"/>
      <c r="AQ17" s="3510"/>
      <c r="AR17" s="3510"/>
      <c r="AS17" s="3510"/>
      <c r="AT17" s="3510"/>
      <c r="AU17" s="3510"/>
      <c r="AV17" s="3510"/>
      <c r="AW17" s="3510"/>
      <c r="AX17" s="3510"/>
      <c r="AY17" s="3510"/>
      <c r="AZ17" s="3510"/>
      <c r="BA17" s="3510"/>
      <c r="BB17" s="3510"/>
      <c r="BC17" s="3510"/>
      <c r="BD17" s="3510">
        <f>+Z17+AB17</f>
        <v>581552</v>
      </c>
      <c r="BE17" s="2738">
        <f>+AA17+AC17</f>
        <v>3030</v>
      </c>
      <c r="BF17" s="3062">
        <f>6+2</f>
        <v>8</v>
      </c>
      <c r="BG17" s="3578">
        <f>SUM(V17:V20)</f>
        <v>165413333</v>
      </c>
      <c r="BH17" s="3578">
        <f>SUM(W17:W20)</f>
        <v>165413333</v>
      </c>
      <c r="BI17" s="3579">
        <f>BH17/BG17</f>
        <v>1</v>
      </c>
      <c r="BJ17" s="3062" t="s">
        <v>301</v>
      </c>
      <c r="BK17" s="3592" t="s">
        <v>1026</v>
      </c>
      <c r="BL17" s="3064">
        <v>43832</v>
      </c>
      <c r="BM17" s="3064">
        <v>43879</v>
      </c>
      <c r="BN17" s="3064">
        <v>44195</v>
      </c>
      <c r="BO17" s="3064">
        <v>44185</v>
      </c>
      <c r="BP17" s="2615" t="s">
        <v>1013</v>
      </c>
      <c r="BQ17" s="3"/>
      <c r="BR17" s="3"/>
      <c r="BS17" s="3"/>
      <c r="BT17" s="3"/>
      <c r="BU17" s="3"/>
      <c r="BV17" s="3"/>
      <c r="BW17" s="3"/>
      <c r="BX17" s="3"/>
      <c r="BY17" s="3"/>
      <c r="BZ17" s="3"/>
      <c r="CA17" s="3"/>
      <c r="CB17" s="3"/>
      <c r="CC17" s="3"/>
      <c r="CD17" s="3"/>
      <c r="CE17" s="3"/>
      <c r="CF17" s="3"/>
      <c r="CG17" s="3"/>
      <c r="CH17" s="3"/>
      <c r="CI17" s="3"/>
    </row>
    <row r="18" spans="1:87" s="4" customFormat="1" ht="72.75" customHeight="1" x14ac:dyDescent="0.2">
      <c r="A18" s="862"/>
      <c r="B18" s="79"/>
      <c r="C18" s="888"/>
      <c r="D18" s="1284"/>
      <c r="E18" s="1284"/>
      <c r="F18" s="1284"/>
      <c r="G18" s="3555"/>
      <c r="H18" s="3557"/>
      <c r="I18" s="2831"/>
      <c r="J18" s="2646"/>
      <c r="K18" s="2623"/>
      <c r="L18" s="2782"/>
      <c r="M18" s="2646"/>
      <c r="N18" s="3019"/>
      <c r="O18" s="2646"/>
      <c r="P18" s="3560"/>
      <c r="Q18" s="3105"/>
      <c r="R18" s="2646"/>
      <c r="S18" s="3563"/>
      <c r="T18" s="867" t="s">
        <v>1027</v>
      </c>
      <c r="U18" s="1293">
        <v>22400000</v>
      </c>
      <c r="V18" s="1294">
        <f>11666666+10733334</f>
        <v>22400000</v>
      </c>
      <c r="W18" s="1294">
        <f>11666666+10733334</f>
        <v>22400000</v>
      </c>
      <c r="X18" s="932">
        <v>88</v>
      </c>
      <c r="Y18" s="870" t="s">
        <v>74</v>
      </c>
      <c r="Z18" s="3501"/>
      <c r="AA18" s="3501"/>
      <c r="AB18" s="3501"/>
      <c r="AC18" s="3501"/>
      <c r="AD18" s="3501"/>
      <c r="AE18" s="3501"/>
      <c r="AF18" s="3501"/>
      <c r="AG18" s="3501"/>
      <c r="AH18" s="3501"/>
      <c r="AI18" s="3501"/>
      <c r="AJ18" s="3501"/>
      <c r="AK18" s="3501"/>
      <c r="AL18" s="3501"/>
      <c r="AM18" s="3501"/>
      <c r="AN18" s="3501"/>
      <c r="AO18" s="3501"/>
      <c r="AP18" s="3501"/>
      <c r="AQ18" s="3501"/>
      <c r="AR18" s="3501"/>
      <c r="AS18" s="3501"/>
      <c r="AT18" s="3501"/>
      <c r="AU18" s="3501"/>
      <c r="AV18" s="3501"/>
      <c r="AW18" s="3501"/>
      <c r="AX18" s="3501"/>
      <c r="AY18" s="3501"/>
      <c r="AZ18" s="3501"/>
      <c r="BA18" s="3501"/>
      <c r="BB18" s="3501"/>
      <c r="BC18" s="3501"/>
      <c r="BD18" s="3501"/>
      <c r="BE18" s="2739"/>
      <c r="BF18" s="3062"/>
      <c r="BG18" s="3578"/>
      <c r="BH18" s="3578"/>
      <c r="BI18" s="3579"/>
      <c r="BJ18" s="3062"/>
      <c r="BK18" s="3592"/>
      <c r="BL18" s="3064"/>
      <c r="BM18" s="3064"/>
      <c r="BN18" s="3064"/>
      <c r="BO18" s="3064"/>
      <c r="BP18" s="2616"/>
    </row>
    <row r="19" spans="1:87" s="4" customFormat="1" ht="91.5" customHeight="1" x14ac:dyDescent="0.2">
      <c r="A19" s="862"/>
      <c r="B19" s="79"/>
      <c r="C19" s="888"/>
      <c r="D19" s="1284"/>
      <c r="E19" s="1284"/>
      <c r="F19" s="1284"/>
      <c r="G19" s="3556"/>
      <c r="H19" s="3558"/>
      <c r="I19" s="2787"/>
      <c r="J19" s="2621"/>
      <c r="K19" s="2624"/>
      <c r="L19" s="2782"/>
      <c r="M19" s="2646"/>
      <c r="N19" s="3019"/>
      <c r="O19" s="2646"/>
      <c r="P19" s="3561"/>
      <c r="Q19" s="3105"/>
      <c r="R19" s="2646"/>
      <c r="S19" s="3563"/>
      <c r="T19" s="889" t="s">
        <v>1028</v>
      </c>
      <c r="U19" s="1293">
        <f>91600000-18000000</f>
        <v>73600000</v>
      </c>
      <c r="V19" s="1293">
        <f t="shared" ref="V19:W19" si="0">91600000-18000000</f>
        <v>73600000</v>
      </c>
      <c r="W19" s="1293">
        <f t="shared" si="0"/>
        <v>73600000</v>
      </c>
      <c r="X19" s="1072">
        <v>88</v>
      </c>
      <c r="Y19" s="867" t="s">
        <v>74</v>
      </c>
      <c r="Z19" s="3501"/>
      <c r="AA19" s="3501"/>
      <c r="AB19" s="3501"/>
      <c r="AC19" s="3501"/>
      <c r="AD19" s="3501"/>
      <c r="AE19" s="3501"/>
      <c r="AF19" s="3501"/>
      <c r="AG19" s="3501"/>
      <c r="AH19" s="3501"/>
      <c r="AI19" s="3501"/>
      <c r="AJ19" s="3501"/>
      <c r="AK19" s="3501"/>
      <c r="AL19" s="3501"/>
      <c r="AM19" s="3501"/>
      <c r="AN19" s="3501"/>
      <c r="AO19" s="3501"/>
      <c r="AP19" s="3501"/>
      <c r="AQ19" s="3501"/>
      <c r="AR19" s="3501"/>
      <c r="AS19" s="3501"/>
      <c r="AT19" s="3501"/>
      <c r="AU19" s="3501"/>
      <c r="AV19" s="3501"/>
      <c r="AW19" s="3501"/>
      <c r="AX19" s="3501"/>
      <c r="AY19" s="3501"/>
      <c r="AZ19" s="3501"/>
      <c r="BA19" s="3501"/>
      <c r="BB19" s="3501"/>
      <c r="BC19" s="3501"/>
      <c r="BD19" s="3501"/>
      <c r="BE19" s="2739"/>
      <c r="BF19" s="3062"/>
      <c r="BG19" s="3578"/>
      <c r="BH19" s="3578"/>
      <c r="BI19" s="3579"/>
      <c r="BJ19" s="3062"/>
      <c r="BK19" s="3592"/>
      <c r="BL19" s="3064"/>
      <c r="BM19" s="3064"/>
      <c r="BN19" s="3064"/>
      <c r="BO19" s="3064"/>
      <c r="BP19" s="2616"/>
    </row>
    <row r="20" spans="1:87" s="4" customFormat="1" ht="130.5" customHeight="1" x14ac:dyDescent="0.2">
      <c r="A20" s="862"/>
      <c r="B20" s="79"/>
      <c r="C20" s="888"/>
      <c r="D20" s="1284"/>
      <c r="E20" s="1284"/>
      <c r="F20" s="1284"/>
      <c r="G20" s="1295">
        <v>3502047</v>
      </c>
      <c r="H20" s="1918" t="s">
        <v>1029</v>
      </c>
      <c r="I20" s="885" t="s">
        <v>403</v>
      </c>
      <c r="J20" s="865" t="s">
        <v>1030</v>
      </c>
      <c r="K20" s="1296">
        <v>0.3</v>
      </c>
      <c r="L20" s="884" t="s">
        <v>1031</v>
      </c>
      <c r="M20" s="2621"/>
      <c r="N20" s="3168"/>
      <c r="O20" s="2621"/>
      <c r="P20" s="1297">
        <f>(U20)/(Q17)</f>
        <v>0.22748782359081421</v>
      </c>
      <c r="Q20" s="3105"/>
      <c r="R20" s="2621"/>
      <c r="S20" s="3564"/>
      <c r="T20" s="885" t="s">
        <v>1032</v>
      </c>
      <c r="U20" s="1298">
        <v>43586667</v>
      </c>
      <c r="V20" s="1294">
        <f>12500000+4900000</f>
        <v>17400000</v>
      </c>
      <c r="W20" s="1294">
        <f>12500000+4900000</f>
        <v>17400000</v>
      </c>
      <c r="X20" s="932">
        <v>88</v>
      </c>
      <c r="Y20" s="933" t="s">
        <v>74</v>
      </c>
      <c r="Z20" s="3553"/>
      <c r="AA20" s="3553"/>
      <c r="AB20" s="3553"/>
      <c r="AC20" s="3553"/>
      <c r="AD20" s="3553"/>
      <c r="AE20" s="3553"/>
      <c r="AF20" s="3553"/>
      <c r="AG20" s="3553"/>
      <c r="AH20" s="3553"/>
      <c r="AI20" s="3553"/>
      <c r="AJ20" s="3553"/>
      <c r="AK20" s="3553"/>
      <c r="AL20" s="3553"/>
      <c r="AM20" s="3553"/>
      <c r="AN20" s="3553"/>
      <c r="AO20" s="3553"/>
      <c r="AP20" s="3553"/>
      <c r="AQ20" s="3553"/>
      <c r="AR20" s="3553"/>
      <c r="AS20" s="3553"/>
      <c r="AT20" s="3553"/>
      <c r="AU20" s="3553"/>
      <c r="AV20" s="3553"/>
      <c r="AW20" s="3553"/>
      <c r="AX20" s="3553"/>
      <c r="AY20" s="3553"/>
      <c r="AZ20" s="3553"/>
      <c r="BA20" s="3553"/>
      <c r="BB20" s="3553"/>
      <c r="BC20" s="3553"/>
      <c r="BD20" s="3553"/>
      <c r="BE20" s="2740"/>
      <c r="BF20" s="3062"/>
      <c r="BG20" s="3578"/>
      <c r="BH20" s="3578"/>
      <c r="BI20" s="3579"/>
      <c r="BJ20" s="3062"/>
      <c r="BK20" s="3592"/>
      <c r="BL20" s="3064"/>
      <c r="BM20" s="3064"/>
      <c r="BN20" s="3064"/>
      <c r="BO20" s="3064"/>
      <c r="BP20" s="2752"/>
    </row>
    <row r="21" spans="1:87" s="4" customFormat="1" ht="102.75" customHeight="1" x14ac:dyDescent="0.2">
      <c r="A21" s="862"/>
      <c r="B21" s="79"/>
      <c r="C21" s="888"/>
      <c r="D21" s="1284"/>
      <c r="E21" s="1284"/>
      <c r="F21" s="1284"/>
      <c r="G21" s="3588">
        <v>3502039</v>
      </c>
      <c r="H21" s="3590" t="s">
        <v>1033</v>
      </c>
      <c r="I21" s="2698" t="s">
        <v>1034</v>
      </c>
      <c r="J21" s="2788" t="s">
        <v>1035</v>
      </c>
      <c r="K21" s="2622">
        <v>12</v>
      </c>
      <c r="L21" s="2813">
        <v>12</v>
      </c>
      <c r="M21" s="2645" t="s">
        <v>1036</v>
      </c>
      <c r="N21" s="3167" t="s">
        <v>1037</v>
      </c>
      <c r="O21" s="2645" t="s">
        <v>1038</v>
      </c>
      <c r="P21" s="3580">
        <f>(U21+U22+U23+U24)/(Q21)</f>
        <v>0.68173448869487485</v>
      </c>
      <c r="Q21" s="3003">
        <f>+U21+U22+U23+U24+U25+U26+U27</f>
        <v>343007436</v>
      </c>
      <c r="R21" s="2646" t="s">
        <v>1039</v>
      </c>
      <c r="S21" s="3583" t="s">
        <v>1040</v>
      </c>
      <c r="T21" s="892" t="s">
        <v>1041</v>
      </c>
      <c r="U21" s="1288">
        <f>130000000-29706671</f>
        <v>100293329</v>
      </c>
      <c r="V21" s="1299">
        <v>100293329</v>
      </c>
      <c r="W21" s="1299">
        <v>100293329</v>
      </c>
      <c r="X21" s="931">
        <v>88</v>
      </c>
      <c r="Y21" s="933" t="s">
        <v>74</v>
      </c>
      <c r="Z21" s="3510">
        <v>6041</v>
      </c>
      <c r="AA21" s="3510">
        <v>4425</v>
      </c>
      <c r="AB21" s="3510">
        <v>6016</v>
      </c>
      <c r="AC21" s="3510">
        <v>3800</v>
      </c>
      <c r="AD21" s="3510"/>
      <c r="AE21" s="3510"/>
      <c r="AF21" s="3510"/>
      <c r="AG21" s="3510"/>
      <c r="AH21" s="3424">
        <v>12057</v>
      </c>
      <c r="AI21" s="3510">
        <v>8225</v>
      </c>
      <c r="AJ21" s="3510"/>
      <c r="AK21" s="3510"/>
      <c r="AL21" s="3510"/>
      <c r="AM21" s="3510"/>
      <c r="AN21" s="3510"/>
      <c r="AO21" s="3510"/>
      <c r="AP21" s="3510"/>
      <c r="AQ21" s="3510"/>
      <c r="AR21" s="3510"/>
      <c r="AS21" s="3510"/>
      <c r="AT21" s="3510"/>
      <c r="AU21" s="3510"/>
      <c r="AV21" s="3510"/>
      <c r="AW21" s="3510"/>
      <c r="AX21" s="3510"/>
      <c r="AY21" s="3510"/>
      <c r="AZ21" s="3510"/>
      <c r="BA21" s="3510"/>
      <c r="BB21" s="3510"/>
      <c r="BC21" s="3510"/>
      <c r="BD21" s="3510">
        <f>+Z21+AB21</f>
        <v>12057</v>
      </c>
      <c r="BE21" s="3510">
        <f>+AA21+AC21</f>
        <v>8225</v>
      </c>
      <c r="BF21" s="3062">
        <f>24+2</f>
        <v>26</v>
      </c>
      <c r="BG21" s="3578">
        <f>SUM(V21:V27)</f>
        <v>290839999</v>
      </c>
      <c r="BH21" s="3578">
        <f>SUM(W21:W27)</f>
        <v>290839999</v>
      </c>
      <c r="BI21" s="3579">
        <f>BH21/BG21</f>
        <v>1</v>
      </c>
      <c r="BJ21" s="3062" t="s">
        <v>301</v>
      </c>
      <c r="BK21" s="2615" t="s">
        <v>1042</v>
      </c>
      <c r="BL21" s="3064">
        <v>43832</v>
      </c>
      <c r="BM21" s="3064">
        <v>43881</v>
      </c>
      <c r="BN21" s="3064">
        <v>44195</v>
      </c>
      <c r="BO21" s="3064">
        <v>44185</v>
      </c>
      <c r="BP21" s="2615" t="s">
        <v>1013</v>
      </c>
    </row>
    <row r="22" spans="1:87" s="4" customFormat="1" ht="90.75" customHeight="1" x14ac:dyDescent="0.2">
      <c r="A22" s="862"/>
      <c r="B22" s="79"/>
      <c r="C22" s="888"/>
      <c r="D22" s="1284"/>
      <c r="E22" s="1284"/>
      <c r="F22" s="1284"/>
      <c r="G22" s="3589"/>
      <c r="H22" s="3557"/>
      <c r="I22" s="2698"/>
      <c r="J22" s="2831"/>
      <c r="K22" s="2623"/>
      <c r="L22" s="2782"/>
      <c r="M22" s="2646"/>
      <c r="N22" s="3019"/>
      <c r="O22" s="2646"/>
      <c r="P22" s="3581"/>
      <c r="Q22" s="3003"/>
      <c r="R22" s="2646"/>
      <c r="S22" s="3584"/>
      <c r="T22" s="134" t="s">
        <v>1043</v>
      </c>
      <c r="U22" s="1300">
        <f>10000000-10000000</f>
        <v>0</v>
      </c>
      <c r="V22" s="1301">
        <v>0</v>
      </c>
      <c r="W22" s="1302">
        <v>0</v>
      </c>
      <c r="X22" s="1303">
        <v>88</v>
      </c>
      <c r="Y22" s="1304" t="s">
        <v>74</v>
      </c>
      <c r="Z22" s="3501"/>
      <c r="AA22" s="3501"/>
      <c r="AB22" s="3501"/>
      <c r="AC22" s="3501"/>
      <c r="AD22" s="3501"/>
      <c r="AE22" s="3501"/>
      <c r="AF22" s="3501"/>
      <c r="AG22" s="3501"/>
      <c r="AH22" s="3425"/>
      <c r="AI22" s="3501"/>
      <c r="AJ22" s="3501"/>
      <c r="AK22" s="3501"/>
      <c r="AL22" s="3501"/>
      <c r="AM22" s="3501"/>
      <c r="AN22" s="3501"/>
      <c r="AO22" s="3501"/>
      <c r="AP22" s="3501"/>
      <c r="AQ22" s="3501"/>
      <c r="AR22" s="3501"/>
      <c r="AS22" s="3501"/>
      <c r="AT22" s="3501"/>
      <c r="AU22" s="3501"/>
      <c r="AV22" s="3501"/>
      <c r="AW22" s="3501"/>
      <c r="AX22" s="3501"/>
      <c r="AY22" s="3501"/>
      <c r="AZ22" s="3501"/>
      <c r="BA22" s="3501"/>
      <c r="BB22" s="3501"/>
      <c r="BC22" s="3501"/>
      <c r="BD22" s="3501"/>
      <c r="BE22" s="3501"/>
      <c r="BF22" s="3062"/>
      <c r="BG22" s="3578"/>
      <c r="BH22" s="3578"/>
      <c r="BI22" s="3579"/>
      <c r="BJ22" s="3062"/>
      <c r="BK22" s="2616"/>
      <c r="BL22" s="3064"/>
      <c r="BM22" s="3064"/>
      <c r="BN22" s="3064"/>
      <c r="BO22" s="3064"/>
      <c r="BP22" s="2616"/>
    </row>
    <row r="23" spans="1:87" s="4" customFormat="1" ht="81" customHeight="1" x14ac:dyDescent="0.2">
      <c r="A23" s="862"/>
      <c r="B23" s="79"/>
      <c r="C23" s="888"/>
      <c r="D23" s="1284"/>
      <c r="E23" s="1284"/>
      <c r="F23" s="1284"/>
      <c r="G23" s="3589"/>
      <c r="H23" s="3557"/>
      <c r="I23" s="2698"/>
      <c r="J23" s="2831"/>
      <c r="K23" s="2623"/>
      <c r="L23" s="2782"/>
      <c r="M23" s="2646"/>
      <c r="N23" s="3019"/>
      <c r="O23" s="2646"/>
      <c r="P23" s="3581"/>
      <c r="Q23" s="3003"/>
      <c r="R23" s="2646"/>
      <c r="S23" s="3584"/>
      <c r="T23" s="892" t="s">
        <v>1044</v>
      </c>
      <c r="U23" s="1288">
        <f>61320062+32519937</f>
        <v>93839999</v>
      </c>
      <c r="V23" s="1289">
        <v>93839999</v>
      </c>
      <c r="W23" s="1289">
        <v>93839999</v>
      </c>
      <c r="X23" s="1149">
        <v>20</v>
      </c>
      <c r="Y23" s="871" t="s">
        <v>85</v>
      </c>
      <c r="Z23" s="3501"/>
      <c r="AA23" s="3501"/>
      <c r="AB23" s="3501"/>
      <c r="AC23" s="3501"/>
      <c r="AD23" s="3501"/>
      <c r="AE23" s="3501"/>
      <c r="AF23" s="3501"/>
      <c r="AG23" s="3501"/>
      <c r="AH23" s="3425"/>
      <c r="AI23" s="3501"/>
      <c r="AJ23" s="3501"/>
      <c r="AK23" s="3501"/>
      <c r="AL23" s="3501"/>
      <c r="AM23" s="3501"/>
      <c r="AN23" s="3501"/>
      <c r="AO23" s="3501"/>
      <c r="AP23" s="3501"/>
      <c r="AQ23" s="3501"/>
      <c r="AR23" s="3501"/>
      <c r="AS23" s="3501"/>
      <c r="AT23" s="3501"/>
      <c r="AU23" s="3501"/>
      <c r="AV23" s="3501"/>
      <c r="AW23" s="3501"/>
      <c r="AX23" s="3501"/>
      <c r="AY23" s="3501"/>
      <c r="AZ23" s="3501"/>
      <c r="BA23" s="3501"/>
      <c r="BB23" s="3501"/>
      <c r="BC23" s="3501"/>
      <c r="BD23" s="3501"/>
      <c r="BE23" s="3501"/>
      <c r="BF23" s="3062"/>
      <c r="BG23" s="3578"/>
      <c r="BH23" s="3578"/>
      <c r="BI23" s="3579"/>
      <c r="BJ23" s="3062"/>
      <c r="BK23" s="2616"/>
      <c r="BL23" s="3064"/>
      <c r="BM23" s="3064"/>
      <c r="BN23" s="3064"/>
      <c r="BO23" s="3064"/>
      <c r="BP23" s="2616"/>
    </row>
    <row r="24" spans="1:87" s="4" customFormat="1" ht="86.25" customHeight="1" x14ac:dyDescent="0.2">
      <c r="A24" s="862"/>
      <c r="B24" s="79"/>
      <c r="C24" s="888"/>
      <c r="D24" s="1284"/>
      <c r="E24" s="1284"/>
      <c r="F24" s="1284"/>
      <c r="G24" s="3589"/>
      <c r="H24" s="3558"/>
      <c r="I24" s="2698"/>
      <c r="J24" s="2787"/>
      <c r="K24" s="2624"/>
      <c r="L24" s="3591"/>
      <c r="M24" s="2646"/>
      <c r="N24" s="3019"/>
      <c r="O24" s="2646"/>
      <c r="P24" s="3582"/>
      <c r="Q24" s="3003"/>
      <c r="R24" s="2646"/>
      <c r="S24" s="3584"/>
      <c r="T24" s="134" t="s">
        <v>1045</v>
      </c>
      <c r="U24" s="1300">
        <f>10000000+29706671</f>
        <v>39706671</v>
      </c>
      <c r="V24" s="1300">
        <f t="shared" ref="V24:W24" si="1">10000000+29706671</f>
        <v>39706671</v>
      </c>
      <c r="W24" s="1300">
        <f t="shared" si="1"/>
        <v>39706671</v>
      </c>
      <c r="X24" s="1305">
        <v>88</v>
      </c>
      <c r="Y24" s="1306" t="s">
        <v>74</v>
      </c>
      <c r="Z24" s="3501"/>
      <c r="AA24" s="3501"/>
      <c r="AB24" s="3501"/>
      <c r="AC24" s="3501"/>
      <c r="AD24" s="3501"/>
      <c r="AE24" s="3501"/>
      <c r="AF24" s="3501"/>
      <c r="AG24" s="3501"/>
      <c r="AH24" s="3425"/>
      <c r="AI24" s="3501"/>
      <c r="AJ24" s="3501"/>
      <c r="AK24" s="3501"/>
      <c r="AL24" s="3501"/>
      <c r="AM24" s="3501"/>
      <c r="AN24" s="3501"/>
      <c r="AO24" s="3501"/>
      <c r="AP24" s="3501"/>
      <c r="AQ24" s="3501"/>
      <c r="AR24" s="3501"/>
      <c r="AS24" s="3501"/>
      <c r="AT24" s="3501"/>
      <c r="AU24" s="3501"/>
      <c r="AV24" s="3501"/>
      <c r="AW24" s="3501"/>
      <c r="AX24" s="3501"/>
      <c r="AY24" s="3501"/>
      <c r="AZ24" s="3501"/>
      <c r="BA24" s="3501"/>
      <c r="BB24" s="3501"/>
      <c r="BC24" s="3501"/>
      <c r="BD24" s="3501"/>
      <c r="BE24" s="3501"/>
      <c r="BF24" s="3062"/>
      <c r="BG24" s="3578"/>
      <c r="BH24" s="3578"/>
      <c r="BI24" s="3579"/>
      <c r="BJ24" s="3062"/>
      <c r="BK24" s="2616"/>
      <c r="BL24" s="3064"/>
      <c r="BM24" s="3064"/>
      <c r="BN24" s="3064"/>
      <c r="BO24" s="3064"/>
      <c r="BP24" s="2616"/>
    </row>
    <row r="25" spans="1:87" s="4" customFormat="1" ht="62.25" customHeight="1" x14ac:dyDescent="0.2">
      <c r="A25" s="862"/>
      <c r="B25" s="79"/>
      <c r="C25" s="888"/>
      <c r="D25" s="1284"/>
      <c r="E25" s="1284"/>
      <c r="F25" s="1284"/>
      <c r="G25" s="3589"/>
      <c r="H25" s="3593" t="s">
        <v>1033</v>
      </c>
      <c r="I25" s="2698"/>
      <c r="J25" s="3594" t="s">
        <v>1046</v>
      </c>
      <c r="K25" s="2622">
        <v>1</v>
      </c>
      <c r="L25" s="3596">
        <v>2</v>
      </c>
      <c r="M25" s="2646"/>
      <c r="N25" s="3019"/>
      <c r="O25" s="2646"/>
      <c r="P25" s="3580">
        <f>(U26+U25)/Q21</f>
        <v>0.30660395653929789</v>
      </c>
      <c r="Q25" s="3003"/>
      <c r="R25" s="2646"/>
      <c r="S25" s="3584"/>
      <c r="T25" s="3586" t="s">
        <v>1047</v>
      </c>
      <c r="U25" s="1307">
        <v>78882499</v>
      </c>
      <c r="V25" s="1308">
        <v>46715062</v>
      </c>
      <c r="W25" s="1308">
        <v>46715062</v>
      </c>
      <c r="X25" s="1309" t="s">
        <v>383</v>
      </c>
      <c r="Y25" s="871" t="s">
        <v>85</v>
      </c>
      <c r="Z25" s="3501"/>
      <c r="AA25" s="3501"/>
      <c r="AB25" s="3501"/>
      <c r="AC25" s="3501"/>
      <c r="AD25" s="3501"/>
      <c r="AE25" s="3501"/>
      <c r="AF25" s="3501"/>
      <c r="AG25" s="3501"/>
      <c r="AH25" s="3425"/>
      <c r="AI25" s="3501"/>
      <c r="AJ25" s="3501"/>
      <c r="AK25" s="3501"/>
      <c r="AL25" s="3501"/>
      <c r="AM25" s="3501"/>
      <c r="AN25" s="3501"/>
      <c r="AO25" s="3501"/>
      <c r="AP25" s="3501"/>
      <c r="AQ25" s="3501"/>
      <c r="AR25" s="3501"/>
      <c r="AS25" s="3501"/>
      <c r="AT25" s="3501"/>
      <c r="AU25" s="3501"/>
      <c r="AV25" s="3501"/>
      <c r="AW25" s="3501"/>
      <c r="AX25" s="3501"/>
      <c r="AY25" s="3501"/>
      <c r="AZ25" s="3501"/>
      <c r="BA25" s="3501"/>
      <c r="BB25" s="3501"/>
      <c r="BC25" s="3501"/>
      <c r="BD25" s="3501"/>
      <c r="BE25" s="3501"/>
      <c r="BF25" s="3062"/>
      <c r="BG25" s="3578"/>
      <c r="BH25" s="3578"/>
      <c r="BI25" s="3579"/>
      <c r="BJ25" s="3062"/>
      <c r="BK25" s="2616"/>
      <c r="BL25" s="3064"/>
      <c r="BM25" s="3064"/>
      <c r="BN25" s="3064"/>
      <c r="BO25" s="3064"/>
      <c r="BP25" s="2616"/>
    </row>
    <row r="26" spans="1:87" s="4" customFormat="1" ht="69.75" customHeight="1" x14ac:dyDescent="0.2">
      <c r="A26" s="862"/>
      <c r="B26" s="79"/>
      <c r="C26" s="888"/>
      <c r="D26" s="1284"/>
      <c r="E26" s="1284"/>
      <c r="F26" s="1284"/>
      <c r="G26" s="3589"/>
      <c r="H26" s="3593"/>
      <c r="I26" s="2698"/>
      <c r="J26" s="3595"/>
      <c r="K26" s="2623"/>
      <c r="L26" s="2782"/>
      <c r="M26" s="2646"/>
      <c r="N26" s="3019"/>
      <c r="O26" s="2646"/>
      <c r="P26" s="3581"/>
      <c r="Q26" s="3003"/>
      <c r="R26" s="2646"/>
      <c r="S26" s="3584"/>
      <c r="T26" s="3587"/>
      <c r="U26" s="1310">
        <f>8284938+18000000</f>
        <v>26284938</v>
      </c>
      <c r="V26" s="1311">
        <v>8284938</v>
      </c>
      <c r="W26" s="1311">
        <v>8284938</v>
      </c>
      <c r="X26" s="1312">
        <v>88</v>
      </c>
      <c r="Y26" s="871" t="s">
        <v>74</v>
      </c>
      <c r="Z26" s="3501"/>
      <c r="AA26" s="3501"/>
      <c r="AB26" s="3501"/>
      <c r="AC26" s="3501"/>
      <c r="AD26" s="3501"/>
      <c r="AE26" s="3501"/>
      <c r="AF26" s="3501"/>
      <c r="AG26" s="3501"/>
      <c r="AH26" s="3425"/>
      <c r="AI26" s="3501"/>
      <c r="AJ26" s="3501"/>
      <c r="AK26" s="3501"/>
      <c r="AL26" s="3501"/>
      <c r="AM26" s="3501"/>
      <c r="AN26" s="3501"/>
      <c r="AO26" s="3501"/>
      <c r="AP26" s="3501"/>
      <c r="AQ26" s="3501"/>
      <c r="AR26" s="3501"/>
      <c r="AS26" s="3501"/>
      <c r="AT26" s="3501"/>
      <c r="AU26" s="3501"/>
      <c r="AV26" s="3501"/>
      <c r="AW26" s="3501"/>
      <c r="AX26" s="3501"/>
      <c r="AY26" s="3501"/>
      <c r="AZ26" s="3501"/>
      <c r="BA26" s="3501"/>
      <c r="BB26" s="3501"/>
      <c r="BC26" s="3501"/>
      <c r="BD26" s="3501"/>
      <c r="BE26" s="3501"/>
      <c r="BF26" s="3062"/>
      <c r="BG26" s="3578"/>
      <c r="BH26" s="3578"/>
      <c r="BI26" s="3579"/>
      <c r="BJ26" s="3062"/>
      <c r="BK26" s="2616"/>
      <c r="BL26" s="3064"/>
      <c r="BM26" s="3064"/>
      <c r="BN26" s="3064"/>
      <c r="BO26" s="3064"/>
      <c r="BP26" s="2616"/>
    </row>
    <row r="27" spans="1:87" s="4" customFormat="1" ht="102" customHeight="1" x14ac:dyDescent="0.2">
      <c r="A27" s="862"/>
      <c r="B27" s="79"/>
      <c r="C27" s="888"/>
      <c r="D27" s="1284"/>
      <c r="E27" s="1284"/>
      <c r="F27" s="1284"/>
      <c r="G27" s="1295">
        <v>3502047</v>
      </c>
      <c r="H27" s="1918" t="s">
        <v>1029</v>
      </c>
      <c r="I27" s="885" t="s">
        <v>403</v>
      </c>
      <c r="J27" s="865" t="s">
        <v>1030</v>
      </c>
      <c r="K27" s="1296">
        <v>0.3</v>
      </c>
      <c r="L27" s="884" t="s">
        <v>1031</v>
      </c>
      <c r="M27" s="2646"/>
      <c r="N27" s="3019"/>
      <c r="O27" s="2646"/>
      <c r="P27" s="1313">
        <f>(U27)/(Q21)</f>
        <v>1.1661554765827293E-2</v>
      </c>
      <c r="Q27" s="3003"/>
      <c r="R27" s="2646"/>
      <c r="S27" s="3585"/>
      <c r="T27" s="892" t="s">
        <v>1048</v>
      </c>
      <c r="U27" s="1314">
        <v>4000000</v>
      </c>
      <c r="V27" s="1289">
        <v>2000000</v>
      </c>
      <c r="W27" s="1289">
        <v>2000000</v>
      </c>
      <c r="X27" s="1315">
        <v>88</v>
      </c>
      <c r="Y27" s="1304" t="s">
        <v>74</v>
      </c>
      <c r="Z27" s="3553"/>
      <c r="AA27" s="3553"/>
      <c r="AB27" s="3553"/>
      <c r="AC27" s="3553"/>
      <c r="AD27" s="3553"/>
      <c r="AE27" s="3553"/>
      <c r="AF27" s="3553"/>
      <c r="AG27" s="3553"/>
      <c r="AH27" s="3426"/>
      <c r="AI27" s="3553"/>
      <c r="AJ27" s="3553"/>
      <c r="AK27" s="3553"/>
      <c r="AL27" s="3553"/>
      <c r="AM27" s="3553"/>
      <c r="AN27" s="3553"/>
      <c r="AO27" s="3553"/>
      <c r="AP27" s="3553"/>
      <c r="AQ27" s="3553"/>
      <c r="AR27" s="3553"/>
      <c r="AS27" s="3553"/>
      <c r="AT27" s="3553"/>
      <c r="AU27" s="3553"/>
      <c r="AV27" s="3553"/>
      <c r="AW27" s="3553"/>
      <c r="AX27" s="3553"/>
      <c r="AY27" s="3553"/>
      <c r="AZ27" s="3553"/>
      <c r="BA27" s="3553"/>
      <c r="BB27" s="3553"/>
      <c r="BC27" s="3553"/>
      <c r="BD27" s="3553"/>
      <c r="BE27" s="3553"/>
      <c r="BF27" s="3062"/>
      <c r="BG27" s="3578"/>
      <c r="BH27" s="3578"/>
      <c r="BI27" s="3579"/>
      <c r="BJ27" s="3062"/>
      <c r="BK27" s="2752"/>
      <c r="BL27" s="3064"/>
      <c r="BM27" s="3064"/>
      <c r="BN27" s="3064"/>
      <c r="BO27" s="3064"/>
      <c r="BP27" s="2752"/>
    </row>
    <row r="28" spans="1:87" s="4" customFormat="1" ht="75" customHeight="1" x14ac:dyDescent="0.2">
      <c r="A28" s="862"/>
      <c r="B28" s="79"/>
      <c r="C28" s="888"/>
      <c r="D28" s="1284"/>
      <c r="E28" s="1284"/>
      <c r="F28" s="1284"/>
      <c r="G28" s="3598">
        <v>3502046</v>
      </c>
      <c r="H28" s="3590" t="s">
        <v>1049</v>
      </c>
      <c r="I28" s="2788" t="s">
        <v>1050</v>
      </c>
      <c r="J28" s="2645" t="s">
        <v>1051</v>
      </c>
      <c r="K28" s="2622">
        <v>1</v>
      </c>
      <c r="L28" s="2813">
        <v>1</v>
      </c>
      <c r="M28" s="2645" t="s">
        <v>1052</v>
      </c>
      <c r="N28" s="3167" t="s">
        <v>1053</v>
      </c>
      <c r="O28" s="2788" t="s">
        <v>1054</v>
      </c>
      <c r="P28" s="3580">
        <f>(U28+U29+U30+U31+U32+U33+U34+U35)/(Q28)</f>
        <v>1</v>
      </c>
      <c r="Q28" s="3002">
        <f>+U28+U29+U30+U31+U32+U33+U34+U35</f>
        <v>933596635.85000002</v>
      </c>
      <c r="R28" s="3597" t="s">
        <v>1055</v>
      </c>
      <c r="S28" s="3601" t="s">
        <v>1056</v>
      </c>
      <c r="T28" s="886" t="s">
        <v>1057</v>
      </c>
      <c r="U28" s="1316">
        <v>232026666</v>
      </c>
      <c r="V28" s="1299">
        <v>232026666</v>
      </c>
      <c r="W28" s="1299">
        <v>232026666</v>
      </c>
      <c r="X28" s="1317" t="s">
        <v>1058</v>
      </c>
      <c r="Y28" s="1318" t="s">
        <v>1059</v>
      </c>
      <c r="Z28" s="3599">
        <v>6041</v>
      </c>
      <c r="AA28" s="3578">
        <v>1850</v>
      </c>
      <c r="AB28" s="3599">
        <v>6016</v>
      </c>
      <c r="AC28" s="3578">
        <v>1732</v>
      </c>
      <c r="AD28" s="3599"/>
      <c r="AE28" s="3578"/>
      <c r="AF28" s="3599"/>
      <c r="AG28" s="3578"/>
      <c r="AH28" s="3599">
        <v>12057</v>
      </c>
      <c r="AI28" s="3600">
        <v>3582</v>
      </c>
      <c r="AJ28" s="3599"/>
      <c r="AK28" s="3578"/>
      <c r="AL28" s="3599"/>
      <c r="AM28" s="3578"/>
      <c r="AN28" s="3599"/>
      <c r="AO28" s="3578"/>
      <c r="AP28" s="3599"/>
      <c r="AQ28" s="3578"/>
      <c r="AR28" s="3599"/>
      <c r="AS28" s="3578"/>
      <c r="AT28" s="3599"/>
      <c r="AU28" s="3578"/>
      <c r="AV28" s="3599"/>
      <c r="AW28" s="3578"/>
      <c r="AX28" s="3599"/>
      <c r="AY28" s="3578"/>
      <c r="AZ28" s="3599"/>
      <c r="BA28" s="3578"/>
      <c r="BB28" s="3599"/>
      <c r="BC28" s="3578"/>
      <c r="BD28" s="3599">
        <f>+Z28+AB28</f>
        <v>12057</v>
      </c>
      <c r="BE28" s="3578">
        <f>+AA28+AC28</f>
        <v>3582</v>
      </c>
      <c r="BF28" s="2727">
        <v>5</v>
      </c>
      <c r="BG28" s="3607">
        <f>SUM(V28:V35)</f>
        <v>283654552</v>
      </c>
      <c r="BH28" s="3607">
        <f>SUM(W28:W35)</f>
        <v>283654552</v>
      </c>
      <c r="BI28" s="3579">
        <f>BH28/BG28</f>
        <v>1</v>
      </c>
      <c r="BJ28" s="2727" t="s">
        <v>1060</v>
      </c>
      <c r="BK28" s="2725" t="s">
        <v>1061</v>
      </c>
      <c r="BL28" s="3064">
        <v>43832</v>
      </c>
      <c r="BM28" s="3064">
        <v>43886</v>
      </c>
      <c r="BN28" s="3064">
        <v>44195</v>
      </c>
      <c r="BO28" s="3064">
        <v>44185</v>
      </c>
      <c r="BP28" s="2593" t="s">
        <v>1013</v>
      </c>
    </row>
    <row r="29" spans="1:87" s="4" customFormat="1" ht="52.5" customHeight="1" x14ac:dyDescent="0.2">
      <c r="A29" s="862"/>
      <c r="B29" s="79"/>
      <c r="C29" s="888"/>
      <c r="D29" s="1284"/>
      <c r="E29" s="1284"/>
      <c r="F29" s="1284"/>
      <c r="G29" s="3555"/>
      <c r="H29" s="3557"/>
      <c r="I29" s="2831"/>
      <c r="J29" s="2646"/>
      <c r="K29" s="2623"/>
      <c r="L29" s="2782"/>
      <c r="M29" s="2646"/>
      <c r="N29" s="3019"/>
      <c r="O29" s="2831"/>
      <c r="P29" s="3581"/>
      <c r="Q29" s="3003"/>
      <c r="R29" s="2646"/>
      <c r="S29" s="3563"/>
      <c r="T29" s="3609" t="s">
        <v>1062</v>
      </c>
      <c r="U29" s="1319">
        <v>38000000</v>
      </c>
      <c r="V29" s="1299">
        <v>19715333</v>
      </c>
      <c r="W29" s="1299">
        <v>19715333</v>
      </c>
      <c r="X29" s="1320" t="s">
        <v>1058</v>
      </c>
      <c r="Y29" s="883" t="s">
        <v>1059</v>
      </c>
      <c r="Z29" s="3599"/>
      <c r="AA29" s="3578"/>
      <c r="AB29" s="3599"/>
      <c r="AC29" s="3578"/>
      <c r="AD29" s="3599"/>
      <c r="AE29" s="3578"/>
      <c r="AF29" s="3599"/>
      <c r="AG29" s="3578"/>
      <c r="AH29" s="3599"/>
      <c r="AI29" s="3600"/>
      <c r="AJ29" s="3599"/>
      <c r="AK29" s="3578"/>
      <c r="AL29" s="3599"/>
      <c r="AM29" s="3578"/>
      <c r="AN29" s="3599"/>
      <c r="AO29" s="3578"/>
      <c r="AP29" s="3599"/>
      <c r="AQ29" s="3578"/>
      <c r="AR29" s="3599"/>
      <c r="AS29" s="3578"/>
      <c r="AT29" s="3599"/>
      <c r="AU29" s="3578"/>
      <c r="AV29" s="3599"/>
      <c r="AW29" s="3578"/>
      <c r="AX29" s="3599"/>
      <c r="AY29" s="3578"/>
      <c r="AZ29" s="3599"/>
      <c r="BA29" s="3578"/>
      <c r="BB29" s="3599"/>
      <c r="BC29" s="3578"/>
      <c r="BD29" s="3599"/>
      <c r="BE29" s="3578"/>
      <c r="BF29" s="2727"/>
      <c r="BG29" s="2727"/>
      <c r="BH29" s="2727"/>
      <c r="BI29" s="3579"/>
      <c r="BJ29" s="2727"/>
      <c r="BK29" s="2725"/>
      <c r="BL29" s="3064"/>
      <c r="BM29" s="3064"/>
      <c r="BN29" s="3064"/>
      <c r="BO29" s="3064"/>
      <c r="BP29" s="2593"/>
    </row>
    <row r="30" spans="1:87" s="4" customFormat="1" ht="51" customHeight="1" x14ac:dyDescent="0.2">
      <c r="A30" s="862"/>
      <c r="B30" s="79"/>
      <c r="C30" s="888"/>
      <c r="D30" s="1284"/>
      <c r="E30" s="1284"/>
      <c r="F30" s="1284"/>
      <c r="G30" s="3555"/>
      <c r="H30" s="3557"/>
      <c r="I30" s="2831"/>
      <c r="J30" s="2646"/>
      <c r="K30" s="2623"/>
      <c r="L30" s="2782"/>
      <c r="M30" s="2646"/>
      <c r="N30" s="3019"/>
      <c r="O30" s="2831"/>
      <c r="P30" s="3581"/>
      <c r="Q30" s="3003"/>
      <c r="R30" s="2646"/>
      <c r="S30" s="3563"/>
      <c r="T30" s="3608"/>
      <c r="U30" s="1310">
        <v>15000000</v>
      </c>
      <c r="V30" s="1302">
        <v>12201332</v>
      </c>
      <c r="W30" s="1302">
        <v>12201332</v>
      </c>
      <c r="X30" s="1321">
        <v>94</v>
      </c>
      <c r="Y30" s="882" t="s">
        <v>1063</v>
      </c>
      <c r="Z30" s="3599"/>
      <c r="AA30" s="3578"/>
      <c r="AB30" s="3599"/>
      <c r="AC30" s="3578"/>
      <c r="AD30" s="3599"/>
      <c r="AE30" s="3578"/>
      <c r="AF30" s="3599"/>
      <c r="AG30" s="3578"/>
      <c r="AH30" s="3599"/>
      <c r="AI30" s="3600"/>
      <c r="AJ30" s="3599"/>
      <c r="AK30" s="3578"/>
      <c r="AL30" s="3599"/>
      <c r="AM30" s="3578"/>
      <c r="AN30" s="3599"/>
      <c r="AO30" s="3578"/>
      <c r="AP30" s="3599"/>
      <c r="AQ30" s="3578"/>
      <c r="AR30" s="3599"/>
      <c r="AS30" s="3578"/>
      <c r="AT30" s="3599"/>
      <c r="AU30" s="3578"/>
      <c r="AV30" s="3599"/>
      <c r="AW30" s="3578"/>
      <c r="AX30" s="3599"/>
      <c r="AY30" s="3578"/>
      <c r="AZ30" s="3599"/>
      <c r="BA30" s="3578"/>
      <c r="BB30" s="3599"/>
      <c r="BC30" s="3578"/>
      <c r="BD30" s="3599"/>
      <c r="BE30" s="3578"/>
      <c r="BF30" s="2727"/>
      <c r="BG30" s="2727"/>
      <c r="BH30" s="2727"/>
      <c r="BI30" s="3579"/>
      <c r="BJ30" s="2727"/>
      <c r="BK30" s="2725"/>
      <c r="BL30" s="3064"/>
      <c r="BM30" s="3064"/>
      <c r="BN30" s="3064"/>
      <c r="BO30" s="3064"/>
      <c r="BP30" s="2593"/>
    </row>
    <row r="31" spans="1:87" s="4" customFormat="1" ht="56.25" customHeight="1" x14ac:dyDescent="0.2">
      <c r="A31" s="862"/>
      <c r="B31" s="79"/>
      <c r="C31" s="888"/>
      <c r="D31" s="1284"/>
      <c r="E31" s="1284"/>
      <c r="F31" s="1284"/>
      <c r="G31" s="3555"/>
      <c r="H31" s="3557"/>
      <c r="I31" s="2831"/>
      <c r="J31" s="2646"/>
      <c r="K31" s="2623"/>
      <c r="L31" s="2782"/>
      <c r="M31" s="2646"/>
      <c r="N31" s="3019"/>
      <c r="O31" s="2831"/>
      <c r="P31" s="3581"/>
      <c r="Q31" s="3003"/>
      <c r="R31" s="2646"/>
      <c r="S31" s="3563"/>
      <c r="T31" s="3610" t="s">
        <v>1064</v>
      </c>
      <c r="U31" s="1298">
        <v>203851239</v>
      </c>
      <c r="V31" s="1294">
        <v>0</v>
      </c>
      <c r="W31" s="1294">
        <v>0</v>
      </c>
      <c r="X31" s="1317" t="s">
        <v>1058</v>
      </c>
      <c r="Y31" s="1318" t="s">
        <v>1059</v>
      </c>
      <c r="Z31" s="3599"/>
      <c r="AA31" s="3578"/>
      <c r="AB31" s="3599"/>
      <c r="AC31" s="3578"/>
      <c r="AD31" s="3599"/>
      <c r="AE31" s="3578"/>
      <c r="AF31" s="3599"/>
      <c r="AG31" s="3578"/>
      <c r="AH31" s="3599"/>
      <c r="AI31" s="3600"/>
      <c r="AJ31" s="3599"/>
      <c r="AK31" s="3578"/>
      <c r="AL31" s="3599"/>
      <c r="AM31" s="3578"/>
      <c r="AN31" s="3599"/>
      <c r="AO31" s="3578"/>
      <c r="AP31" s="3599"/>
      <c r="AQ31" s="3578"/>
      <c r="AR31" s="3599"/>
      <c r="AS31" s="3578"/>
      <c r="AT31" s="3599"/>
      <c r="AU31" s="3578"/>
      <c r="AV31" s="3599"/>
      <c r="AW31" s="3578"/>
      <c r="AX31" s="3599"/>
      <c r="AY31" s="3578"/>
      <c r="AZ31" s="3599"/>
      <c r="BA31" s="3578"/>
      <c r="BB31" s="3599"/>
      <c r="BC31" s="3578"/>
      <c r="BD31" s="3599"/>
      <c r="BE31" s="3578"/>
      <c r="BF31" s="2727"/>
      <c r="BG31" s="2727"/>
      <c r="BH31" s="2727"/>
      <c r="BI31" s="3579"/>
      <c r="BJ31" s="2727"/>
      <c r="BK31" s="2725"/>
      <c r="BL31" s="3064"/>
      <c r="BM31" s="3064"/>
      <c r="BN31" s="3064"/>
      <c r="BO31" s="3064"/>
      <c r="BP31" s="2593"/>
    </row>
    <row r="32" spans="1:87" s="4" customFormat="1" ht="56.25" customHeight="1" x14ac:dyDescent="0.2">
      <c r="A32" s="862"/>
      <c r="B32" s="79"/>
      <c r="C32" s="888"/>
      <c r="D32" s="1284"/>
      <c r="E32" s="1284"/>
      <c r="F32" s="1284"/>
      <c r="G32" s="3555"/>
      <c r="H32" s="3557"/>
      <c r="I32" s="2831"/>
      <c r="J32" s="2646"/>
      <c r="K32" s="2623"/>
      <c r="L32" s="2782"/>
      <c r="M32" s="2646"/>
      <c r="N32" s="3019"/>
      <c r="O32" s="2831"/>
      <c r="P32" s="3581"/>
      <c r="Q32" s="3003"/>
      <c r="R32" s="2646"/>
      <c r="S32" s="3563"/>
      <c r="T32" s="3611"/>
      <c r="U32" s="1322">
        <f>(360000000+60000000)-3281269</f>
        <v>416718731</v>
      </c>
      <c r="V32" s="1294">
        <v>0</v>
      </c>
      <c r="W32" s="1294">
        <v>0</v>
      </c>
      <c r="X32" s="1317">
        <v>88</v>
      </c>
      <c r="Y32" s="1318" t="s">
        <v>74</v>
      </c>
      <c r="Z32" s="3599"/>
      <c r="AA32" s="3578"/>
      <c r="AB32" s="3599"/>
      <c r="AC32" s="3578"/>
      <c r="AD32" s="3599"/>
      <c r="AE32" s="3578"/>
      <c r="AF32" s="3599"/>
      <c r="AG32" s="3578"/>
      <c r="AH32" s="3599"/>
      <c r="AI32" s="3600"/>
      <c r="AJ32" s="3599"/>
      <c r="AK32" s="3578"/>
      <c r="AL32" s="3599"/>
      <c r="AM32" s="3578"/>
      <c r="AN32" s="3599"/>
      <c r="AO32" s="3578"/>
      <c r="AP32" s="3599"/>
      <c r="AQ32" s="3578"/>
      <c r="AR32" s="3599"/>
      <c r="AS32" s="3578"/>
      <c r="AT32" s="3599"/>
      <c r="AU32" s="3578"/>
      <c r="AV32" s="3599"/>
      <c r="AW32" s="3578"/>
      <c r="AX32" s="3599"/>
      <c r="AY32" s="3578"/>
      <c r="AZ32" s="3599"/>
      <c r="BA32" s="3578"/>
      <c r="BB32" s="3599"/>
      <c r="BC32" s="3578"/>
      <c r="BD32" s="3599"/>
      <c r="BE32" s="3578"/>
      <c r="BF32" s="2727"/>
      <c r="BG32" s="2727"/>
      <c r="BH32" s="2727"/>
      <c r="BI32" s="3579"/>
      <c r="BJ32" s="2727"/>
      <c r="BK32" s="2725"/>
      <c r="BL32" s="3064"/>
      <c r="BM32" s="3064"/>
      <c r="BN32" s="3064"/>
      <c r="BO32" s="3064"/>
      <c r="BP32" s="2593"/>
    </row>
    <row r="33" spans="1:68" s="4" customFormat="1" ht="54" customHeight="1" x14ac:dyDescent="0.2">
      <c r="A33" s="862"/>
      <c r="B33" s="79"/>
      <c r="C33" s="888"/>
      <c r="D33" s="1284"/>
      <c r="E33" s="1284"/>
      <c r="F33" s="1284"/>
      <c r="G33" s="3555"/>
      <c r="H33" s="3557"/>
      <c r="I33" s="2831"/>
      <c r="J33" s="2646"/>
      <c r="K33" s="2623"/>
      <c r="L33" s="2782"/>
      <c r="M33" s="2646"/>
      <c r="N33" s="3019"/>
      <c r="O33" s="2831"/>
      <c r="P33" s="3581"/>
      <c r="Q33" s="3003"/>
      <c r="R33" s="2646"/>
      <c r="S33" s="3563"/>
      <c r="T33" s="1323" t="s">
        <v>1065</v>
      </c>
      <c r="U33" s="1316">
        <v>10000000</v>
      </c>
      <c r="V33" s="1324">
        <v>5962821</v>
      </c>
      <c r="W33" s="1324">
        <v>5962821</v>
      </c>
      <c r="X33" s="1325" t="s">
        <v>1058</v>
      </c>
      <c r="Y33" s="883" t="s">
        <v>1059</v>
      </c>
      <c r="Z33" s="3599"/>
      <c r="AA33" s="3578"/>
      <c r="AB33" s="3599"/>
      <c r="AC33" s="3578"/>
      <c r="AD33" s="3599"/>
      <c r="AE33" s="3578"/>
      <c r="AF33" s="3599"/>
      <c r="AG33" s="3578"/>
      <c r="AH33" s="3599"/>
      <c r="AI33" s="3600"/>
      <c r="AJ33" s="3599"/>
      <c r="AK33" s="3578"/>
      <c r="AL33" s="3599"/>
      <c r="AM33" s="3578"/>
      <c r="AN33" s="3599"/>
      <c r="AO33" s="3578"/>
      <c r="AP33" s="3599"/>
      <c r="AQ33" s="3578"/>
      <c r="AR33" s="3599"/>
      <c r="AS33" s="3578"/>
      <c r="AT33" s="3599"/>
      <c r="AU33" s="3578"/>
      <c r="AV33" s="3599"/>
      <c r="AW33" s="3578"/>
      <c r="AX33" s="3599"/>
      <c r="AY33" s="3578"/>
      <c r="AZ33" s="3599"/>
      <c r="BA33" s="3578"/>
      <c r="BB33" s="3599"/>
      <c r="BC33" s="3578"/>
      <c r="BD33" s="3599"/>
      <c r="BE33" s="3578"/>
      <c r="BF33" s="2727"/>
      <c r="BG33" s="2727"/>
      <c r="BH33" s="2727"/>
      <c r="BI33" s="3579"/>
      <c r="BJ33" s="2727"/>
      <c r="BK33" s="2725"/>
      <c r="BL33" s="3064"/>
      <c r="BM33" s="3064"/>
      <c r="BN33" s="3064"/>
      <c r="BO33" s="3064"/>
      <c r="BP33" s="2593"/>
    </row>
    <row r="34" spans="1:68" s="4" customFormat="1" ht="52.5" customHeight="1" x14ac:dyDescent="0.2">
      <c r="A34" s="862"/>
      <c r="B34" s="79"/>
      <c r="C34" s="888"/>
      <c r="D34" s="1284"/>
      <c r="E34" s="1284"/>
      <c r="F34" s="1284"/>
      <c r="G34" s="3555"/>
      <c r="H34" s="3557"/>
      <c r="I34" s="2831"/>
      <c r="J34" s="2646"/>
      <c r="K34" s="2623"/>
      <c r="L34" s="2782"/>
      <c r="M34" s="2646"/>
      <c r="N34" s="3019"/>
      <c r="O34" s="2831"/>
      <c r="P34" s="3581"/>
      <c r="Q34" s="3003"/>
      <c r="R34" s="2646"/>
      <c r="S34" s="3563"/>
      <c r="T34" s="3612" t="s">
        <v>1066</v>
      </c>
      <c r="U34" s="1316">
        <v>10890095</v>
      </c>
      <c r="V34" s="1294">
        <v>6638496</v>
      </c>
      <c r="W34" s="1294">
        <v>6638496</v>
      </c>
      <c r="X34" s="1321">
        <v>52</v>
      </c>
      <c r="Y34" s="179" t="s">
        <v>1067</v>
      </c>
      <c r="Z34" s="3599"/>
      <c r="AA34" s="3578"/>
      <c r="AB34" s="3599"/>
      <c r="AC34" s="3578"/>
      <c r="AD34" s="3599"/>
      <c r="AE34" s="3578"/>
      <c r="AF34" s="3599"/>
      <c r="AG34" s="3578"/>
      <c r="AH34" s="3599"/>
      <c r="AI34" s="3600"/>
      <c r="AJ34" s="3599"/>
      <c r="AK34" s="3578"/>
      <c r="AL34" s="3599"/>
      <c r="AM34" s="3578"/>
      <c r="AN34" s="3599"/>
      <c r="AO34" s="3578"/>
      <c r="AP34" s="3599"/>
      <c r="AQ34" s="3578"/>
      <c r="AR34" s="3599"/>
      <c r="AS34" s="3578"/>
      <c r="AT34" s="3599"/>
      <c r="AU34" s="3578"/>
      <c r="AV34" s="3599"/>
      <c r="AW34" s="3578"/>
      <c r="AX34" s="3599"/>
      <c r="AY34" s="3578"/>
      <c r="AZ34" s="3599"/>
      <c r="BA34" s="3578"/>
      <c r="BB34" s="3599"/>
      <c r="BC34" s="3578"/>
      <c r="BD34" s="3599"/>
      <c r="BE34" s="3578"/>
      <c r="BF34" s="2727"/>
      <c r="BG34" s="2727"/>
      <c r="BH34" s="2727"/>
      <c r="BI34" s="3579"/>
      <c r="BJ34" s="2727"/>
      <c r="BK34" s="2725"/>
      <c r="BL34" s="3064"/>
      <c r="BM34" s="3064"/>
      <c r="BN34" s="3064"/>
      <c r="BO34" s="3064"/>
      <c r="BP34" s="2593"/>
    </row>
    <row r="35" spans="1:68" s="4" customFormat="1" ht="58.5" customHeight="1" x14ac:dyDescent="0.2">
      <c r="A35" s="862"/>
      <c r="B35" s="79"/>
      <c r="C35" s="888"/>
      <c r="D35" s="1284"/>
      <c r="E35" s="1284"/>
      <c r="F35" s="1284"/>
      <c r="G35" s="3556"/>
      <c r="H35" s="3558"/>
      <c r="I35" s="2787"/>
      <c r="J35" s="2621"/>
      <c r="K35" s="2624"/>
      <c r="L35" s="2783"/>
      <c r="M35" s="2621"/>
      <c r="N35" s="3168"/>
      <c r="O35" s="2787"/>
      <c r="P35" s="3582"/>
      <c r="Q35" s="3086"/>
      <c r="R35" s="2621"/>
      <c r="S35" s="3564"/>
      <c r="T35" s="3613"/>
      <c r="U35" s="1293">
        <v>7109904.8499999996</v>
      </c>
      <c r="V35" s="1293">
        <v>7109904</v>
      </c>
      <c r="W35" s="1293">
        <v>7109904</v>
      </c>
      <c r="X35" s="1317">
        <v>94</v>
      </c>
      <c r="Y35" s="1318" t="s">
        <v>1063</v>
      </c>
      <c r="Z35" s="3599"/>
      <c r="AA35" s="3578"/>
      <c r="AB35" s="3599"/>
      <c r="AC35" s="3578"/>
      <c r="AD35" s="3599"/>
      <c r="AE35" s="3578"/>
      <c r="AF35" s="3599"/>
      <c r="AG35" s="3578"/>
      <c r="AH35" s="3599"/>
      <c r="AI35" s="3600"/>
      <c r="AJ35" s="3599"/>
      <c r="AK35" s="3578"/>
      <c r="AL35" s="3599"/>
      <c r="AM35" s="3578"/>
      <c r="AN35" s="3599"/>
      <c r="AO35" s="3578"/>
      <c r="AP35" s="3599"/>
      <c r="AQ35" s="3578"/>
      <c r="AR35" s="3599"/>
      <c r="AS35" s="3578"/>
      <c r="AT35" s="3599"/>
      <c r="AU35" s="3578"/>
      <c r="AV35" s="3599"/>
      <c r="AW35" s="3578"/>
      <c r="AX35" s="3599"/>
      <c r="AY35" s="3578"/>
      <c r="AZ35" s="3599"/>
      <c r="BA35" s="3578"/>
      <c r="BB35" s="3599"/>
      <c r="BC35" s="3578"/>
      <c r="BD35" s="3599"/>
      <c r="BE35" s="3578"/>
      <c r="BF35" s="2727"/>
      <c r="BG35" s="2727"/>
      <c r="BH35" s="2727"/>
      <c r="BI35" s="3579"/>
      <c r="BJ35" s="2727"/>
      <c r="BK35" s="2725"/>
      <c r="BL35" s="3064"/>
      <c r="BM35" s="3064"/>
      <c r="BN35" s="3064"/>
      <c r="BO35" s="3064"/>
      <c r="BP35" s="2593"/>
    </row>
    <row r="36" spans="1:68" s="4" customFormat="1" ht="29.25" customHeight="1" x14ac:dyDescent="0.2">
      <c r="A36" s="45"/>
      <c r="B36" s="275"/>
      <c r="C36" s="276"/>
      <c r="D36" s="410">
        <v>28</v>
      </c>
      <c r="E36" s="410" t="s">
        <v>1068</v>
      </c>
      <c r="F36" s="220"/>
      <c r="G36" s="1326"/>
      <c r="H36" s="1326"/>
      <c r="I36" s="789"/>
      <c r="J36" s="789"/>
      <c r="K36" s="1278"/>
      <c r="L36" s="1278"/>
      <c r="M36" s="1278"/>
      <c r="N36" s="226"/>
      <c r="O36" s="1278"/>
      <c r="P36" s="1279"/>
      <c r="Q36" s="1327"/>
      <c r="R36" s="1278"/>
      <c r="S36" s="1278"/>
      <c r="T36" s="1328"/>
      <c r="U36" s="1329"/>
      <c r="V36" s="231"/>
      <c r="W36" s="231"/>
      <c r="X36" s="232"/>
      <c r="Y36" s="1278"/>
      <c r="Z36" s="1330"/>
      <c r="AA36" s="1330"/>
      <c r="AB36" s="1330"/>
      <c r="AC36" s="1330"/>
      <c r="AD36" s="1330"/>
      <c r="AE36" s="1330"/>
      <c r="AF36" s="1330"/>
      <c r="AG36" s="1330"/>
      <c r="AH36" s="1330"/>
      <c r="AI36" s="1330"/>
      <c r="AJ36" s="1330"/>
      <c r="AK36" s="1330"/>
      <c r="AL36" s="1330"/>
      <c r="AM36" s="1330"/>
      <c r="AN36" s="1330"/>
      <c r="AO36" s="1330"/>
      <c r="AP36" s="1330"/>
      <c r="AQ36" s="1330"/>
      <c r="AR36" s="1330"/>
      <c r="AS36" s="1330"/>
      <c r="AT36" s="1330"/>
      <c r="AU36" s="1330"/>
      <c r="AV36" s="1330"/>
      <c r="AW36" s="1330"/>
      <c r="AX36" s="1330"/>
      <c r="AY36" s="1330"/>
      <c r="AZ36" s="1330"/>
      <c r="BA36" s="1330"/>
      <c r="BB36" s="1330"/>
      <c r="BC36" s="1330"/>
      <c r="BD36" s="1330"/>
      <c r="BE36" s="1330"/>
      <c r="BF36" s="1330"/>
      <c r="BG36" s="1330"/>
      <c r="BH36" s="1330"/>
      <c r="BI36" s="1331"/>
      <c r="BJ36" s="1330"/>
      <c r="BK36" s="328"/>
      <c r="BL36" s="1332"/>
      <c r="BM36" s="1332"/>
      <c r="BN36" s="1332"/>
      <c r="BO36" s="1332"/>
      <c r="BP36" s="1333"/>
    </row>
    <row r="37" spans="1:68" s="4" customFormat="1" ht="61.5" customHeight="1" x14ac:dyDescent="0.2">
      <c r="A37" s="1334"/>
      <c r="B37" s="898"/>
      <c r="C37" s="898"/>
      <c r="D37" s="3602"/>
      <c r="E37" s="2528"/>
      <c r="F37" s="3604"/>
      <c r="G37" s="2618">
        <v>3602018</v>
      </c>
      <c r="H37" s="2620" t="s">
        <v>1069</v>
      </c>
      <c r="I37" s="3608" t="s">
        <v>1070</v>
      </c>
      <c r="J37" s="3546" t="s">
        <v>1071</v>
      </c>
      <c r="K37" s="2953">
        <v>3</v>
      </c>
      <c r="L37" s="3312">
        <v>3</v>
      </c>
      <c r="M37" s="2608" t="s">
        <v>1072</v>
      </c>
      <c r="N37" s="2626" t="s">
        <v>1073</v>
      </c>
      <c r="O37" s="2698" t="s">
        <v>1074</v>
      </c>
      <c r="P37" s="3573">
        <f>(U37+U38+U39)/Q37</f>
        <v>0.89851782614501263</v>
      </c>
      <c r="Q37" s="3105">
        <f>SUM(U37:U46)</f>
        <v>1235685000</v>
      </c>
      <c r="R37" s="2645" t="s">
        <v>1075</v>
      </c>
      <c r="S37" s="3562" t="s">
        <v>1076</v>
      </c>
      <c r="T37" s="867" t="s">
        <v>1077</v>
      </c>
      <c r="U37" s="1293">
        <v>9000000</v>
      </c>
      <c r="V37" s="1335">
        <v>9000000</v>
      </c>
      <c r="W37" s="1335">
        <v>9000000</v>
      </c>
      <c r="X37" s="1336" t="s">
        <v>383</v>
      </c>
      <c r="Y37" s="867" t="s">
        <v>85</v>
      </c>
      <c r="Z37" s="3617">
        <v>295972</v>
      </c>
      <c r="AA37" s="3614">
        <v>5400</v>
      </c>
      <c r="AB37" s="3617">
        <v>285580</v>
      </c>
      <c r="AC37" s="3614">
        <v>4821</v>
      </c>
      <c r="AD37" s="3617">
        <v>135545</v>
      </c>
      <c r="AE37" s="3614">
        <v>0</v>
      </c>
      <c r="AF37" s="3617">
        <v>44254</v>
      </c>
      <c r="AG37" s="3614">
        <v>0</v>
      </c>
      <c r="AH37" s="3617">
        <v>309146</v>
      </c>
      <c r="AI37" s="3614">
        <v>10221</v>
      </c>
      <c r="AJ37" s="3617">
        <v>92607</v>
      </c>
      <c r="AK37" s="3614">
        <v>0</v>
      </c>
      <c r="AL37" s="3617"/>
      <c r="AM37" s="3614"/>
      <c r="AN37" s="3617"/>
      <c r="AO37" s="3614"/>
      <c r="AP37" s="3617"/>
      <c r="AQ37" s="3614"/>
      <c r="AR37" s="3617"/>
      <c r="AS37" s="3614"/>
      <c r="AT37" s="3617"/>
      <c r="AU37" s="3614"/>
      <c r="AV37" s="3617"/>
      <c r="AW37" s="3614"/>
      <c r="AX37" s="3617">
        <v>44.35</v>
      </c>
      <c r="AY37" s="3614">
        <v>0</v>
      </c>
      <c r="AZ37" s="3617">
        <v>21.44</v>
      </c>
      <c r="BA37" s="3614">
        <v>0</v>
      </c>
      <c r="BB37" s="3617">
        <v>75687</v>
      </c>
      <c r="BC37" s="3614">
        <v>0</v>
      </c>
      <c r="BD37" s="3617">
        <f>+Z37+AB37</f>
        <v>581552</v>
      </c>
      <c r="BE37" s="3614">
        <f>+AA37+AC37</f>
        <v>10221</v>
      </c>
      <c r="BF37" s="2635">
        <v>7</v>
      </c>
      <c r="BG37" s="3618">
        <f>SUM(V37:V46)</f>
        <v>1126359998</v>
      </c>
      <c r="BH37" s="3618">
        <f>SUM(W37:W46)</f>
        <v>1126359998</v>
      </c>
      <c r="BI37" s="2642">
        <f>BH37/BG37</f>
        <v>1</v>
      </c>
      <c r="BJ37" s="2622" t="s">
        <v>301</v>
      </c>
      <c r="BK37" s="2645" t="s">
        <v>1012</v>
      </c>
      <c r="BL37" s="2654">
        <v>43832</v>
      </c>
      <c r="BM37" s="2655">
        <v>43876</v>
      </c>
      <c r="BN37" s="2654">
        <v>44195</v>
      </c>
      <c r="BO37" s="2655">
        <v>44196</v>
      </c>
      <c r="BP37" s="2608" t="s">
        <v>1013</v>
      </c>
    </row>
    <row r="38" spans="1:68" s="4" customFormat="1" ht="54" customHeight="1" x14ac:dyDescent="0.2">
      <c r="A38" s="1334"/>
      <c r="B38" s="898"/>
      <c r="C38" s="898"/>
      <c r="D38" s="3603"/>
      <c r="E38" s="3039"/>
      <c r="F38" s="3605"/>
      <c r="G38" s="2618"/>
      <c r="H38" s="2620"/>
      <c r="I38" s="3608"/>
      <c r="J38" s="3546"/>
      <c r="K38" s="2953"/>
      <c r="L38" s="3313"/>
      <c r="M38" s="2608"/>
      <c r="N38" s="2626"/>
      <c r="O38" s="2698"/>
      <c r="P38" s="3573"/>
      <c r="Q38" s="3105"/>
      <c r="R38" s="2646"/>
      <c r="S38" s="3563"/>
      <c r="T38" s="2608" t="s">
        <v>1078</v>
      </c>
      <c r="U38" s="1293">
        <v>130600000</v>
      </c>
      <c r="V38" s="1335">
        <v>29315000</v>
      </c>
      <c r="W38" s="1335">
        <v>29315000</v>
      </c>
      <c r="X38" s="1336" t="s">
        <v>383</v>
      </c>
      <c r="Y38" s="867" t="s">
        <v>85</v>
      </c>
      <c r="Z38" s="3617"/>
      <c r="AA38" s="3615"/>
      <c r="AB38" s="3617"/>
      <c r="AC38" s="3615"/>
      <c r="AD38" s="3617"/>
      <c r="AE38" s="3615"/>
      <c r="AF38" s="3617"/>
      <c r="AG38" s="3615"/>
      <c r="AH38" s="3617"/>
      <c r="AI38" s="3615"/>
      <c r="AJ38" s="3617"/>
      <c r="AK38" s="3615"/>
      <c r="AL38" s="3617"/>
      <c r="AM38" s="3615"/>
      <c r="AN38" s="3617"/>
      <c r="AO38" s="3615"/>
      <c r="AP38" s="3617"/>
      <c r="AQ38" s="3615"/>
      <c r="AR38" s="3617"/>
      <c r="AS38" s="3615"/>
      <c r="AT38" s="3617"/>
      <c r="AU38" s="3615"/>
      <c r="AV38" s="3617"/>
      <c r="AW38" s="3615"/>
      <c r="AX38" s="3617"/>
      <c r="AY38" s="3615"/>
      <c r="AZ38" s="3617"/>
      <c r="BA38" s="3615"/>
      <c r="BB38" s="3617"/>
      <c r="BC38" s="3615"/>
      <c r="BD38" s="3617"/>
      <c r="BE38" s="3615"/>
      <c r="BF38" s="2636"/>
      <c r="BG38" s="2636"/>
      <c r="BH38" s="2636"/>
      <c r="BI38" s="2643"/>
      <c r="BJ38" s="2623"/>
      <c r="BK38" s="2646"/>
      <c r="BL38" s="2654"/>
      <c r="BM38" s="2656"/>
      <c r="BN38" s="2654"/>
      <c r="BO38" s="2656"/>
      <c r="BP38" s="2608"/>
    </row>
    <row r="39" spans="1:68" s="4" customFormat="1" ht="54.75" customHeight="1" x14ac:dyDescent="0.2">
      <c r="A39" s="862"/>
      <c r="B39" s="79"/>
      <c r="C39" s="79"/>
      <c r="D39" s="3125"/>
      <c r="E39" s="2530"/>
      <c r="F39" s="3606"/>
      <c r="G39" s="2618"/>
      <c r="H39" s="2620"/>
      <c r="I39" s="3608"/>
      <c r="J39" s="3546"/>
      <c r="K39" s="2953"/>
      <c r="L39" s="3314"/>
      <c r="M39" s="2608"/>
      <c r="N39" s="2626"/>
      <c r="O39" s="2698"/>
      <c r="P39" s="3573"/>
      <c r="Q39" s="3105"/>
      <c r="R39" s="2646"/>
      <c r="S39" s="3563"/>
      <c r="T39" s="2608"/>
      <c r="U39" s="1293">
        <v>970685000</v>
      </c>
      <c r="V39" s="1335">
        <v>970685000</v>
      </c>
      <c r="W39" s="1335">
        <v>970685000</v>
      </c>
      <c r="X39" s="1336">
        <v>88</v>
      </c>
      <c r="Y39" s="867" t="s">
        <v>411</v>
      </c>
      <c r="Z39" s="3617"/>
      <c r="AA39" s="3615"/>
      <c r="AB39" s="3617"/>
      <c r="AC39" s="3615"/>
      <c r="AD39" s="3617"/>
      <c r="AE39" s="3615"/>
      <c r="AF39" s="3617"/>
      <c r="AG39" s="3615"/>
      <c r="AH39" s="3617"/>
      <c r="AI39" s="3615"/>
      <c r="AJ39" s="3617"/>
      <c r="AK39" s="3615"/>
      <c r="AL39" s="3617"/>
      <c r="AM39" s="3615"/>
      <c r="AN39" s="3617"/>
      <c r="AO39" s="3615"/>
      <c r="AP39" s="3617"/>
      <c r="AQ39" s="3615"/>
      <c r="AR39" s="3617"/>
      <c r="AS39" s="3615"/>
      <c r="AT39" s="3617"/>
      <c r="AU39" s="3615"/>
      <c r="AV39" s="3617"/>
      <c r="AW39" s="3615"/>
      <c r="AX39" s="3617"/>
      <c r="AY39" s="3615"/>
      <c r="AZ39" s="3617"/>
      <c r="BA39" s="3615"/>
      <c r="BB39" s="3617"/>
      <c r="BC39" s="3615"/>
      <c r="BD39" s="3617"/>
      <c r="BE39" s="3615"/>
      <c r="BF39" s="2636"/>
      <c r="BG39" s="2636"/>
      <c r="BH39" s="2636"/>
      <c r="BI39" s="2643"/>
      <c r="BJ39" s="2623"/>
      <c r="BK39" s="2646"/>
      <c r="BL39" s="2654"/>
      <c r="BM39" s="2656"/>
      <c r="BN39" s="2654"/>
      <c r="BO39" s="2656"/>
      <c r="BP39" s="2608"/>
    </row>
    <row r="40" spans="1:68" s="4" customFormat="1" ht="87.75" customHeight="1" x14ac:dyDescent="0.2">
      <c r="A40" s="862"/>
      <c r="B40" s="79"/>
      <c r="C40" s="888"/>
      <c r="E40" s="1337"/>
      <c r="F40" s="1337"/>
      <c r="G40" s="3078">
        <v>3602032</v>
      </c>
      <c r="H40" s="3314" t="s">
        <v>1079</v>
      </c>
      <c r="I40" s="2698" t="s">
        <v>1080</v>
      </c>
      <c r="J40" s="3546" t="s">
        <v>1081</v>
      </c>
      <c r="K40" s="3620">
        <v>14</v>
      </c>
      <c r="L40" s="2873">
        <v>14</v>
      </c>
      <c r="M40" s="2608"/>
      <c r="N40" s="2626"/>
      <c r="O40" s="2698"/>
      <c r="P40" s="3573">
        <f>(U40+U41)/(Q37)</f>
        <v>5.8267276854538169E-2</v>
      </c>
      <c r="Q40" s="3105"/>
      <c r="R40" s="2646"/>
      <c r="S40" s="3563"/>
      <c r="T40" s="867" t="s">
        <v>1082</v>
      </c>
      <c r="U40" s="1293">
        <v>22000000</v>
      </c>
      <c r="V40" s="1335">
        <f>18919999+1999999</f>
        <v>20919998</v>
      </c>
      <c r="W40" s="1335">
        <f>18919999+1999999</f>
        <v>20919998</v>
      </c>
      <c r="X40" s="1336">
        <v>88</v>
      </c>
      <c r="Y40" s="867" t="s">
        <v>411</v>
      </c>
      <c r="Z40" s="3617"/>
      <c r="AA40" s="3615"/>
      <c r="AB40" s="3617"/>
      <c r="AC40" s="3615"/>
      <c r="AD40" s="3617"/>
      <c r="AE40" s="3615"/>
      <c r="AF40" s="3617"/>
      <c r="AG40" s="3615"/>
      <c r="AH40" s="3617"/>
      <c r="AI40" s="3615"/>
      <c r="AJ40" s="3617"/>
      <c r="AK40" s="3615"/>
      <c r="AL40" s="3617"/>
      <c r="AM40" s="3615"/>
      <c r="AN40" s="3617"/>
      <c r="AO40" s="3615"/>
      <c r="AP40" s="3617"/>
      <c r="AQ40" s="3615"/>
      <c r="AR40" s="3617"/>
      <c r="AS40" s="3615"/>
      <c r="AT40" s="3617"/>
      <c r="AU40" s="3615"/>
      <c r="AV40" s="3617"/>
      <c r="AW40" s="3615"/>
      <c r="AX40" s="3617"/>
      <c r="AY40" s="3615"/>
      <c r="AZ40" s="3617"/>
      <c r="BA40" s="3615"/>
      <c r="BB40" s="3617"/>
      <c r="BC40" s="3615"/>
      <c r="BD40" s="3617"/>
      <c r="BE40" s="3615"/>
      <c r="BF40" s="2636"/>
      <c r="BG40" s="2636"/>
      <c r="BH40" s="2636"/>
      <c r="BI40" s="2643"/>
      <c r="BJ40" s="2623"/>
      <c r="BK40" s="2646"/>
      <c r="BL40" s="2654"/>
      <c r="BM40" s="2656"/>
      <c r="BN40" s="2654"/>
      <c r="BO40" s="2656"/>
      <c r="BP40" s="2608"/>
    </row>
    <row r="41" spans="1:68" s="4" customFormat="1" ht="90" customHeight="1" x14ac:dyDescent="0.2">
      <c r="A41" s="262"/>
      <c r="C41" s="123"/>
      <c r="G41" s="3619"/>
      <c r="H41" s="3315"/>
      <c r="I41" s="2698"/>
      <c r="J41" s="3546"/>
      <c r="K41" s="3620"/>
      <c r="L41" s="2873"/>
      <c r="M41" s="2608"/>
      <c r="N41" s="2626"/>
      <c r="O41" s="2698"/>
      <c r="P41" s="3573"/>
      <c r="Q41" s="3105"/>
      <c r="R41" s="2646"/>
      <c r="S41" s="3563"/>
      <c r="T41" s="889" t="s">
        <v>1083</v>
      </c>
      <c r="U41" s="1293">
        <v>50000000</v>
      </c>
      <c r="V41" s="1293">
        <v>50000000</v>
      </c>
      <c r="W41" s="1293">
        <v>50000000</v>
      </c>
      <c r="X41" s="1336">
        <v>88</v>
      </c>
      <c r="Y41" s="867" t="s">
        <v>411</v>
      </c>
      <c r="Z41" s="3617"/>
      <c r="AA41" s="3615"/>
      <c r="AB41" s="3617"/>
      <c r="AC41" s="3615"/>
      <c r="AD41" s="3617"/>
      <c r="AE41" s="3615"/>
      <c r="AF41" s="3617"/>
      <c r="AG41" s="3615"/>
      <c r="AH41" s="3617"/>
      <c r="AI41" s="3615"/>
      <c r="AJ41" s="3617"/>
      <c r="AK41" s="3615"/>
      <c r="AL41" s="3617"/>
      <c r="AM41" s="3615"/>
      <c r="AN41" s="3617"/>
      <c r="AO41" s="3615"/>
      <c r="AP41" s="3617"/>
      <c r="AQ41" s="3615"/>
      <c r="AR41" s="3617"/>
      <c r="AS41" s="3615"/>
      <c r="AT41" s="3617"/>
      <c r="AU41" s="3615"/>
      <c r="AV41" s="3617"/>
      <c r="AW41" s="3615"/>
      <c r="AX41" s="3617"/>
      <c r="AY41" s="3615"/>
      <c r="AZ41" s="3617"/>
      <c r="BA41" s="3615"/>
      <c r="BB41" s="3617"/>
      <c r="BC41" s="3615"/>
      <c r="BD41" s="3617"/>
      <c r="BE41" s="3615"/>
      <c r="BF41" s="2636"/>
      <c r="BG41" s="2636"/>
      <c r="BH41" s="2636"/>
      <c r="BI41" s="2643"/>
      <c r="BJ41" s="2623"/>
      <c r="BK41" s="2646"/>
      <c r="BL41" s="2654"/>
      <c r="BM41" s="2656"/>
      <c r="BN41" s="2654"/>
      <c r="BO41" s="2656"/>
      <c r="BP41" s="2608"/>
    </row>
    <row r="42" spans="1:68" s="4" customFormat="1" ht="71.25" customHeight="1" x14ac:dyDescent="0.2">
      <c r="A42" s="262"/>
      <c r="C42" s="123"/>
      <c r="G42" s="3622">
        <v>3602029</v>
      </c>
      <c r="H42" s="3312" t="s">
        <v>1084</v>
      </c>
      <c r="I42" s="2788" t="s">
        <v>1085</v>
      </c>
      <c r="J42" s="2622" t="s">
        <v>1086</v>
      </c>
      <c r="K42" s="3622">
        <v>5</v>
      </c>
      <c r="L42" s="3312">
        <v>5</v>
      </c>
      <c r="M42" s="2608"/>
      <c r="N42" s="2626"/>
      <c r="O42" s="2698"/>
      <c r="P42" s="3580">
        <f>(U42+U43+U44)/Q37</f>
        <v>2.7838810052723793E-2</v>
      </c>
      <c r="Q42" s="3105"/>
      <c r="R42" s="2646"/>
      <c r="S42" s="3563"/>
      <c r="T42" s="889" t="s">
        <v>1087</v>
      </c>
      <c r="U42" s="1293">
        <v>15400000</v>
      </c>
      <c r="V42" s="1335">
        <v>15400000</v>
      </c>
      <c r="W42" s="1335">
        <v>15400000</v>
      </c>
      <c r="X42" s="1336">
        <v>20</v>
      </c>
      <c r="Y42" s="867" t="s">
        <v>85</v>
      </c>
      <c r="Z42" s="3617"/>
      <c r="AA42" s="3615"/>
      <c r="AB42" s="3617"/>
      <c r="AC42" s="3615"/>
      <c r="AD42" s="3617"/>
      <c r="AE42" s="3615"/>
      <c r="AF42" s="3617"/>
      <c r="AG42" s="3615"/>
      <c r="AH42" s="3617"/>
      <c r="AI42" s="3615"/>
      <c r="AJ42" s="3617"/>
      <c r="AK42" s="3615"/>
      <c r="AL42" s="3617"/>
      <c r="AM42" s="3615"/>
      <c r="AN42" s="3617"/>
      <c r="AO42" s="3615"/>
      <c r="AP42" s="3617"/>
      <c r="AQ42" s="3615"/>
      <c r="AR42" s="3617"/>
      <c r="AS42" s="3615"/>
      <c r="AT42" s="3617"/>
      <c r="AU42" s="3615"/>
      <c r="AV42" s="3617"/>
      <c r="AW42" s="3615"/>
      <c r="AX42" s="3617"/>
      <c r="AY42" s="3615"/>
      <c r="AZ42" s="3617"/>
      <c r="BA42" s="3615"/>
      <c r="BB42" s="3617"/>
      <c r="BC42" s="3615"/>
      <c r="BD42" s="3617"/>
      <c r="BE42" s="3615"/>
      <c r="BF42" s="2636"/>
      <c r="BG42" s="2636"/>
      <c r="BH42" s="2636"/>
      <c r="BI42" s="2643"/>
      <c r="BJ42" s="2623"/>
      <c r="BK42" s="2646"/>
      <c r="BL42" s="2654"/>
      <c r="BM42" s="2656"/>
      <c r="BN42" s="2654"/>
      <c r="BO42" s="2656"/>
      <c r="BP42" s="2608"/>
    </row>
    <row r="43" spans="1:68" s="4" customFormat="1" ht="86.25" customHeight="1" x14ac:dyDescent="0.2">
      <c r="A43" s="262"/>
      <c r="C43" s="123"/>
      <c r="G43" s="3623"/>
      <c r="H43" s="3313"/>
      <c r="I43" s="2831"/>
      <c r="J43" s="2623"/>
      <c r="K43" s="3623"/>
      <c r="L43" s="3313"/>
      <c r="M43" s="2608"/>
      <c r="N43" s="2626"/>
      <c r="O43" s="2698"/>
      <c r="P43" s="3581"/>
      <c r="Q43" s="3105"/>
      <c r="R43" s="2646"/>
      <c r="S43" s="3563"/>
      <c r="T43" s="889" t="s">
        <v>1088</v>
      </c>
      <c r="U43" s="1293">
        <f>14000000+5000000</f>
        <v>19000000</v>
      </c>
      <c r="V43" s="1335">
        <f>11666666+7333334</f>
        <v>19000000</v>
      </c>
      <c r="W43" s="1335">
        <f>11666666+7333334</f>
        <v>19000000</v>
      </c>
      <c r="X43" s="1336">
        <v>88</v>
      </c>
      <c r="Y43" s="867" t="s">
        <v>411</v>
      </c>
      <c r="Z43" s="3617"/>
      <c r="AA43" s="3615"/>
      <c r="AB43" s="3617"/>
      <c r="AC43" s="3615"/>
      <c r="AD43" s="3617"/>
      <c r="AE43" s="3615"/>
      <c r="AF43" s="3617"/>
      <c r="AG43" s="3615"/>
      <c r="AH43" s="3617"/>
      <c r="AI43" s="3615"/>
      <c r="AJ43" s="3617"/>
      <c r="AK43" s="3615"/>
      <c r="AL43" s="3617"/>
      <c r="AM43" s="3615"/>
      <c r="AN43" s="3617"/>
      <c r="AO43" s="3615"/>
      <c r="AP43" s="3617"/>
      <c r="AQ43" s="3615"/>
      <c r="AR43" s="3617"/>
      <c r="AS43" s="3615"/>
      <c r="AT43" s="3617"/>
      <c r="AU43" s="3615"/>
      <c r="AV43" s="3617"/>
      <c r="AW43" s="3615"/>
      <c r="AX43" s="3617"/>
      <c r="AY43" s="3615"/>
      <c r="AZ43" s="3617"/>
      <c r="BA43" s="3615"/>
      <c r="BB43" s="3617"/>
      <c r="BC43" s="3615"/>
      <c r="BD43" s="3617"/>
      <c r="BE43" s="3615"/>
      <c r="BF43" s="2636"/>
      <c r="BG43" s="2636"/>
      <c r="BH43" s="2636"/>
      <c r="BI43" s="2643"/>
      <c r="BJ43" s="2623"/>
      <c r="BK43" s="2646"/>
      <c r="BL43" s="2654"/>
      <c r="BM43" s="2656"/>
      <c r="BN43" s="2654"/>
      <c r="BO43" s="2656"/>
      <c r="BP43" s="2608"/>
    </row>
    <row r="44" spans="1:68" s="4" customFormat="1" ht="86.25" customHeight="1" x14ac:dyDescent="0.2">
      <c r="A44" s="262"/>
      <c r="C44" s="123"/>
      <c r="G44" s="3624"/>
      <c r="H44" s="3314"/>
      <c r="I44" s="2787"/>
      <c r="J44" s="2624"/>
      <c r="K44" s="3624"/>
      <c r="L44" s="3314"/>
      <c r="M44" s="2608"/>
      <c r="N44" s="2626"/>
      <c r="O44" s="2698"/>
      <c r="P44" s="3582"/>
      <c r="Q44" s="3105"/>
      <c r="R44" s="2646"/>
      <c r="S44" s="3563"/>
      <c r="T44" s="889" t="s">
        <v>1089</v>
      </c>
      <c r="U44" s="1293">
        <v>0</v>
      </c>
      <c r="V44" s="1335">
        <v>0</v>
      </c>
      <c r="W44" s="1335">
        <v>0</v>
      </c>
      <c r="X44" s="1336"/>
      <c r="Y44" s="867"/>
      <c r="Z44" s="3617"/>
      <c r="AA44" s="3615"/>
      <c r="AB44" s="3617"/>
      <c r="AC44" s="3615"/>
      <c r="AD44" s="3617"/>
      <c r="AE44" s="3615"/>
      <c r="AF44" s="3617"/>
      <c r="AG44" s="3615"/>
      <c r="AH44" s="3617"/>
      <c r="AI44" s="3615"/>
      <c r="AJ44" s="3617"/>
      <c r="AK44" s="3615"/>
      <c r="AL44" s="3617"/>
      <c r="AM44" s="3615"/>
      <c r="AN44" s="3617"/>
      <c r="AO44" s="3615"/>
      <c r="AP44" s="3617"/>
      <c r="AQ44" s="3615"/>
      <c r="AR44" s="3617"/>
      <c r="AS44" s="3615"/>
      <c r="AT44" s="3617"/>
      <c r="AU44" s="3615"/>
      <c r="AV44" s="3617"/>
      <c r="AW44" s="3615"/>
      <c r="AX44" s="3617"/>
      <c r="AY44" s="3615"/>
      <c r="AZ44" s="3617"/>
      <c r="BA44" s="3615"/>
      <c r="BB44" s="3617"/>
      <c r="BC44" s="3615"/>
      <c r="BD44" s="3617"/>
      <c r="BE44" s="3615"/>
      <c r="BF44" s="2636"/>
      <c r="BG44" s="2636"/>
      <c r="BH44" s="2636"/>
      <c r="BI44" s="2643"/>
      <c r="BJ44" s="2623"/>
      <c r="BK44" s="2646"/>
      <c r="BL44" s="2654"/>
      <c r="BM44" s="2656"/>
      <c r="BN44" s="2654"/>
      <c r="BO44" s="2656"/>
      <c r="BP44" s="2608"/>
    </row>
    <row r="45" spans="1:68" s="4" customFormat="1" ht="84.75" customHeight="1" x14ac:dyDescent="0.2">
      <c r="A45" s="262"/>
      <c r="C45" s="123"/>
      <c r="G45" s="2953">
        <v>3602030</v>
      </c>
      <c r="H45" s="3621" t="s">
        <v>1090</v>
      </c>
      <c r="I45" s="2698" t="s">
        <v>1091</v>
      </c>
      <c r="J45" s="3546" t="s">
        <v>1092</v>
      </c>
      <c r="K45" s="2953">
        <v>1</v>
      </c>
      <c r="L45" s="3312">
        <v>1</v>
      </c>
      <c r="M45" s="2608"/>
      <c r="N45" s="2626"/>
      <c r="O45" s="2698"/>
      <c r="P45" s="3573">
        <f>(U45+U46)/(Q37)</f>
        <v>1.537608694772535E-2</v>
      </c>
      <c r="Q45" s="3105"/>
      <c r="R45" s="2646"/>
      <c r="S45" s="3563"/>
      <c r="T45" s="889" t="s">
        <v>1093</v>
      </c>
      <c r="U45" s="1293">
        <v>14000000</v>
      </c>
      <c r="V45" s="1335">
        <v>12040000</v>
      </c>
      <c r="W45" s="1335">
        <v>12040000</v>
      </c>
      <c r="X45" s="1336">
        <v>88</v>
      </c>
      <c r="Y45" s="867" t="s">
        <v>411</v>
      </c>
      <c r="Z45" s="3617"/>
      <c r="AA45" s="3615"/>
      <c r="AB45" s="3617"/>
      <c r="AC45" s="3615"/>
      <c r="AD45" s="3617"/>
      <c r="AE45" s="3615"/>
      <c r="AF45" s="3617"/>
      <c r="AG45" s="3615"/>
      <c r="AH45" s="3617"/>
      <c r="AI45" s="3615"/>
      <c r="AJ45" s="3617"/>
      <c r="AK45" s="3615"/>
      <c r="AL45" s="3617"/>
      <c r="AM45" s="3615"/>
      <c r="AN45" s="3617"/>
      <c r="AO45" s="3615"/>
      <c r="AP45" s="3617"/>
      <c r="AQ45" s="3615"/>
      <c r="AR45" s="3617"/>
      <c r="AS45" s="3615"/>
      <c r="AT45" s="3617"/>
      <c r="AU45" s="3615"/>
      <c r="AV45" s="3617"/>
      <c r="AW45" s="3615"/>
      <c r="AX45" s="3617"/>
      <c r="AY45" s="3615"/>
      <c r="AZ45" s="3617"/>
      <c r="BA45" s="3615"/>
      <c r="BB45" s="3617"/>
      <c r="BC45" s="3615"/>
      <c r="BD45" s="3617"/>
      <c r="BE45" s="3615"/>
      <c r="BF45" s="2636"/>
      <c r="BG45" s="2636"/>
      <c r="BH45" s="2636"/>
      <c r="BI45" s="2643"/>
      <c r="BJ45" s="2623"/>
      <c r="BK45" s="2646"/>
      <c r="BL45" s="2654"/>
      <c r="BM45" s="2656"/>
      <c r="BN45" s="2654"/>
      <c r="BO45" s="2656"/>
      <c r="BP45" s="2608"/>
    </row>
    <row r="46" spans="1:68" s="4" customFormat="1" ht="75" customHeight="1" x14ac:dyDescent="0.2">
      <c r="A46" s="262"/>
      <c r="C46" s="123"/>
      <c r="D46" s="263"/>
      <c r="E46" s="263"/>
      <c r="F46" s="263"/>
      <c r="G46" s="2953"/>
      <c r="H46" s="3621"/>
      <c r="I46" s="2698"/>
      <c r="J46" s="3546"/>
      <c r="K46" s="2953"/>
      <c r="L46" s="3314"/>
      <c r="M46" s="2608"/>
      <c r="N46" s="2626"/>
      <c r="O46" s="2698"/>
      <c r="P46" s="3573"/>
      <c r="Q46" s="3105"/>
      <c r="R46" s="2621"/>
      <c r="S46" s="3564"/>
      <c r="T46" s="889" t="s">
        <v>1094</v>
      </c>
      <c r="U46" s="1293">
        <v>5000000</v>
      </c>
      <c r="V46" s="1335">
        <v>0</v>
      </c>
      <c r="W46" s="1335">
        <v>0</v>
      </c>
      <c r="X46" s="1336">
        <v>88</v>
      </c>
      <c r="Y46" s="867" t="s">
        <v>411</v>
      </c>
      <c r="Z46" s="3617"/>
      <c r="AA46" s="3616"/>
      <c r="AB46" s="3617"/>
      <c r="AC46" s="3616"/>
      <c r="AD46" s="3617"/>
      <c r="AE46" s="3616"/>
      <c r="AF46" s="3617"/>
      <c r="AG46" s="3616"/>
      <c r="AH46" s="3617"/>
      <c r="AI46" s="3616"/>
      <c r="AJ46" s="3617"/>
      <c r="AK46" s="3616"/>
      <c r="AL46" s="3617"/>
      <c r="AM46" s="3616"/>
      <c r="AN46" s="3617"/>
      <c r="AO46" s="3616"/>
      <c r="AP46" s="3617"/>
      <c r="AQ46" s="3616"/>
      <c r="AR46" s="3617"/>
      <c r="AS46" s="3616"/>
      <c r="AT46" s="3617"/>
      <c r="AU46" s="3616"/>
      <c r="AV46" s="3617"/>
      <c r="AW46" s="3616"/>
      <c r="AX46" s="3617"/>
      <c r="AY46" s="3616"/>
      <c r="AZ46" s="3617"/>
      <c r="BA46" s="3616"/>
      <c r="BB46" s="3617"/>
      <c r="BC46" s="3616"/>
      <c r="BD46" s="3617"/>
      <c r="BE46" s="3616"/>
      <c r="BF46" s="2637"/>
      <c r="BG46" s="2637"/>
      <c r="BH46" s="2637"/>
      <c r="BI46" s="2644"/>
      <c r="BJ46" s="2624"/>
      <c r="BK46" s="2621"/>
      <c r="BL46" s="2654"/>
      <c r="BM46" s="2657"/>
      <c r="BN46" s="2654"/>
      <c r="BO46" s="2657"/>
      <c r="BP46" s="2608"/>
    </row>
    <row r="47" spans="1:68" s="4" customFormat="1" ht="33" customHeight="1" x14ac:dyDescent="0.2">
      <c r="A47" s="349"/>
      <c r="B47" s="350"/>
      <c r="C47" s="351"/>
      <c r="D47" s="352"/>
      <c r="E47" s="352"/>
      <c r="F47" s="353"/>
      <c r="G47" s="1338"/>
      <c r="H47" s="1338"/>
      <c r="I47" s="894"/>
      <c r="J47" s="894"/>
      <c r="K47" s="354"/>
      <c r="L47" s="354"/>
      <c r="M47" s="894"/>
      <c r="N47" s="688"/>
      <c r="O47" s="894"/>
      <c r="P47" s="357"/>
      <c r="Q47" s="1339">
        <f>SUM(Q12:Q46)</f>
        <v>2778889071.8499999</v>
      </c>
      <c r="R47" s="933"/>
      <c r="S47" s="933"/>
      <c r="T47" s="933"/>
      <c r="U47" s="1340">
        <f>SUM(U12:U46)</f>
        <v>2778889071.8499999</v>
      </c>
      <c r="V47" s="1340">
        <f>SUM(V12:V46)</f>
        <v>1893684548</v>
      </c>
      <c r="W47" s="1340">
        <f>SUM(W12:W46)</f>
        <v>1893684548</v>
      </c>
      <c r="X47" s="890"/>
      <c r="Y47" s="914"/>
      <c r="Z47" s="1338"/>
      <c r="AA47" s="1338"/>
      <c r="AB47" s="1338"/>
      <c r="AC47" s="1338"/>
      <c r="AD47" s="1338"/>
      <c r="AE47" s="1338"/>
      <c r="AF47" s="1338"/>
      <c r="AG47" s="1338"/>
      <c r="AH47" s="1338"/>
      <c r="AI47" s="1338"/>
      <c r="AJ47" s="1338"/>
      <c r="AK47" s="1338"/>
      <c r="AL47" s="1338"/>
      <c r="AM47" s="1338"/>
      <c r="AN47" s="1338"/>
      <c r="AO47" s="1338"/>
      <c r="AP47" s="1338"/>
      <c r="AQ47" s="1338"/>
      <c r="AR47" s="1338"/>
      <c r="AS47" s="1338"/>
      <c r="AT47" s="1338"/>
      <c r="AU47" s="1338"/>
      <c r="AV47" s="1338"/>
      <c r="AW47" s="1338"/>
      <c r="AX47" s="1338"/>
      <c r="AY47" s="1338"/>
      <c r="AZ47" s="1338"/>
      <c r="BA47" s="1338"/>
      <c r="BB47" s="1338"/>
      <c r="BC47" s="1338"/>
      <c r="BD47" s="1338"/>
      <c r="BE47" s="1338"/>
      <c r="BF47" s="1338"/>
      <c r="BG47" s="1340">
        <f>SUM(BG12:BG46)</f>
        <v>1893684548</v>
      </c>
      <c r="BH47" s="1340">
        <f>SUM(BH12:BH46)</f>
        <v>1893684548</v>
      </c>
      <c r="BI47" s="1338"/>
      <c r="BJ47" s="1338"/>
      <c r="BK47" s="1338"/>
      <c r="BL47" s="935"/>
      <c r="BM47" s="935"/>
      <c r="BN47" s="1341"/>
      <c r="BO47" s="1341"/>
      <c r="BP47" s="1342"/>
    </row>
    <row r="48" spans="1:68" s="4" customFormat="1" ht="33" customHeight="1" x14ac:dyDescent="0.2">
      <c r="A48" s="121"/>
      <c r="B48" s="121"/>
      <c r="C48" s="121"/>
      <c r="D48" s="121"/>
      <c r="E48" s="121"/>
      <c r="F48" s="121"/>
      <c r="G48" s="178"/>
      <c r="H48" s="178"/>
      <c r="I48" s="171"/>
      <c r="J48" s="171"/>
      <c r="K48" s="3"/>
      <c r="L48" s="3"/>
      <c r="M48" s="171"/>
      <c r="N48" s="172"/>
      <c r="O48" s="171"/>
      <c r="P48" s="173"/>
      <c r="Q48" s="1343"/>
      <c r="R48" s="179"/>
      <c r="S48" s="179"/>
      <c r="T48" s="179"/>
      <c r="U48" s="1343"/>
      <c r="V48" s="1343"/>
      <c r="W48" s="1343"/>
      <c r="X48" s="177"/>
      <c r="Y48" s="184"/>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80"/>
      <c r="BM48" s="180"/>
      <c r="BN48" s="181"/>
      <c r="BO48" s="181"/>
      <c r="BP48" s="182"/>
    </row>
    <row r="49" spans="1:68" s="4" customFormat="1" ht="33" customHeight="1" x14ac:dyDescent="0.2">
      <c r="A49" s="121"/>
      <c r="B49" s="121"/>
      <c r="C49" s="121"/>
      <c r="D49" s="121"/>
      <c r="E49" s="121"/>
      <c r="F49" s="121"/>
      <c r="G49" s="178"/>
      <c r="H49" s="178"/>
      <c r="I49" s="171"/>
      <c r="J49" s="171"/>
      <c r="K49" s="3"/>
      <c r="L49" s="3"/>
      <c r="M49" s="171"/>
      <c r="N49" s="172"/>
      <c r="O49" s="171"/>
      <c r="P49" s="173"/>
      <c r="Q49" s="1343"/>
      <c r="R49" s="179"/>
      <c r="S49" s="179"/>
      <c r="T49" s="179"/>
      <c r="U49" s="1343"/>
      <c r="V49" s="1343">
        <f>+V47-W47</f>
        <v>0</v>
      </c>
      <c r="W49" s="1343"/>
      <c r="X49" s="177"/>
      <c r="Y49" s="184"/>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80"/>
      <c r="BM49" s="180"/>
      <c r="BN49" s="181"/>
      <c r="BO49" s="181"/>
      <c r="BP49" s="182"/>
    </row>
    <row r="50" spans="1:68" ht="15.75" x14ac:dyDescent="0.25">
      <c r="A50" s="1344"/>
      <c r="B50" s="1345"/>
      <c r="C50" s="182"/>
      <c r="D50" s="4"/>
      <c r="E50" s="4"/>
      <c r="F50" s="4"/>
      <c r="G50" s="178"/>
      <c r="H50" s="178"/>
      <c r="I50" s="179"/>
      <c r="J50" s="179"/>
      <c r="K50" s="4"/>
      <c r="L50" s="4"/>
      <c r="M50" s="179"/>
      <c r="N50" s="178"/>
      <c r="O50" s="179"/>
      <c r="P50" s="1344"/>
      <c r="Q50" s="1345"/>
      <c r="R50" s="179"/>
      <c r="S50" s="179"/>
      <c r="T50" s="179"/>
      <c r="U50" s="1346"/>
      <c r="V50" s="1346"/>
      <c r="W50" s="1346"/>
      <c r="X50" s="1347"/>
      <c r="Y50" s="134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80"/>
      <c r="BM50" s="180"/>
      <c r="BN50" s="181"/>
      <c r="BO50" s="181"/>
      <c r="BP50" s="182"/>
    </row>
    <row r="51" spans="1:68" ht="15.75" x14ac:dyDescent="0.25">
      <c r="A51" s="1344"/>
      <c r="B51" s="169"/>
      <c r="C51" s="182"/>
      <c r="D51" s="4"/>
      <c r="E51" s="4"/>
      <c r="F51" s="4"/>
      <c r="G51" s="178"/>
      <c r="H51" s="178"/>
      <c r="I51" s="179"/>
      <c r="J51" s="179"/>
      <c r="K51" s="4"/>
      <c r="L51" s="4"/>
      <c r="M51" s="179"/>
      <c r="N51" s="178"/>
      <c r="O51" s="179"/>
      <c r="P51" s="1344"/>
      <c r="Q51" s="1345"/>
      <c r="R51" s="179"/>
      <c r="S51" s="179"/>
      <c r="T51" s="179"/>
      <c r="U51" s="1272"/>
      <c r="V51" s="1272"/>
      <c r="W51" s="1272"/>
      <c r="X51" s="1347"/>
      <c r="Y51" s="134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80"/>
      <c r="BM51" s="180"/>
      <c r="BN51" s="181"/>
      <c r="BO51" s="181"/>
      <c r="BP51" s="182"/>
    </row>
    <row r="52" spans="1:68" ht="15.75" x14ac:dyDescent="0.25">
      <c r="A52" s="173"/>
      <c r="B52" s="169"/>
      <c r="C52" s="170"/>
      <c r="D52" s="4"/>
      <c r="E52" s="4"/>
      <c r="F52" s="4"/>
      <c r="G52" s="178"/>
      <c r="H52" s="178"/>
      <c r="I52" s="171"/>
      <c r="J52" s="171"/>
      <c r="K52" s="3"/>
      <c r="L52" s="3"/>
      <c r="M52" s="171"/>
      <c r="N52" s="172"/>
      <c r="O52" s="171"/>
      <c r="P52" s="173"/>
      <c r="Q52" s="1345"/>
      <c r="R52" s="179"/>
      <c r="S52" s="179"/>
      <c r="T52" s="179"/>
      <c r="U52" s="1346"/>
      <c r="V52" s="1346"/>
      <c r="W52" s="1346"/>
      <c r="X52" s="177"/>
      <c r="Y52" s="184"/>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80"/>
      <c r="BM52" s="180"/>
      <c r="BN52" s="181"/>
      <c r="BO52" s="181"/>
      <c r="BP52" s="182"/>
    </row>
    <row r="53" spans="1:68" ht="30" customHeight="1" x14ac:dyDescent="0.25">
      <c r="A53" s="173"/>
      <c r="B53" s="1349" t="s">
        <v>1095</v>
      </c>
      <c r="C53" s="1350"/>
      <c r="D53" s="1245"/>
      <c r="E53" s="1245"/>
      <c r="F53" s="1245"/>
      <c r="G53" s="1351"/>
      <c r="H53" s="1351"/>
      <c r="I53" s="171"/>
      <c r="J53" s="171"/>
      <c r="K53" s="3"/>
      <c r="L53" s="3"/>
      <c r="M53" s="171"/>
      <c r="N53" s="172"/>
      <c r="O53" s="171"/>
      <c r="P53" s="173"/>
      <c r="Q53" s="174"/>
      <c r="R53" s="171"/>
      <c r="S53" s="171"/>
      <c r="T53" s="171"/>
      <c r="U53" s="988"/>
      <c r="V53" s="988"/>
      <c r="W53" s="988"/>
      <c r="X53" s="177"/>
      <c r="Y53" s="184"/>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80"/>
      <c r="BM53" s="180"/>
      <c r="BN53" s="181"/>
      <c r="BO53" s="181"/>
      <c r="BP53" s="182"/>
    </row>
    <row r="54" spans="1:68" ht="18.75" customHeight="1" x14ac:dyDescent="0.25">
      <c r="B54" s="169" t="s">
        <v>1096</v>
      </c>
      <c r="C54" s="170"/>
      <c r="D54" s="4"/>
      <c r="E54" s="4"/>
      <c r="F54" s="4"/>
      <c r="G54" s="178"/>
      <c r="H54" s="178"/>
      <c r="M54" s="480"/>
      <c r="U54" s="483"/>
      <c r="V54" s="483"/>
      <c r="W54" s="483"/>
      <c r="BL54" s="1352"/>
      <c r="BM54" s="1352"/>
    </row>
    <row r="55" spans="1:68" x14ac:dyDescent="0.25">
      <c r="G55" s="1353"/>
      <c r="H55" s="1353"/>
      <c r="M55" s="480"/>
      <c r="U55" s="1354"/>
      <c r="V55" s="1354"/>
      <c r="W55" s="1354"/>
      <c r="BG55" s="1272"/>
      <c r="BH55" s="1272"/>
      <c r="BL55" s="1352"/>
      <c r="BM55" s="1352"/>
    </row>
    <row r="56" spans="1:68" x14ac:dyDescent="0.25">
      <c r="G56" s="1353"/>
      <c r="H56" s="1353"/>
      <c r="M56" s="480"/>
      <c r="BL56" s="1352"/>
      <c r="BM56" s="1352"/>
    </row>
    <row r="57" spans="1:68" x14ac:dyDescent="0.25">
      <c r="G57" s="1353"/>
      <c r="H57" s="1353"/>
      <c r="M57" s="480"/>
      <c r="BL57" s="1352"/>
      <c r="BM57" s="1352"/>
    </row>
  </sheetData>
  <sheetProtection password="A60F" sheet="1" objects="1" scenarios="1"/>
  <mergeCells count="377">
    <mergeCell ref="G45:G46"/>
    <mergeCell ref="H45:H46"/>
    <mergeCell ref="I45:I46"/>
    <mergeCell ref="J45:J46"/>
    <mergeCell ref="K45:K46"/>
    <mergeCell ref="L45:L46"/>
    <mergeCell ref="K42:K44"/>
    <mergeCell ref="L42:L44"/>
    <mergeCell ref="H42:H44"/>
    <mergeCell ref="I42:I44"/>
    <mergeCell ref="J42:J44"/>
    <mergeCell ref="G42:G44"/>
    <mergeCell ref="G40:G41"/>
    <mergeCell ref="H40:H41"/>
    <mergeCell ref="I40:I41"/>
    <mergeCell ref="J40:J41"/>
    <mergeCell ref="K40:K41"/>
    <mergeCell ref="L40:L41"/>
    <mergeCell ref="BK37:BK46"/>
    <mergeCell ref="BL37:BL46"/>
    <mergeCell ref="BM37:BM46"/>
    <mergeCell ref="AY37:AY46"/>
    <mergeCell ref="AZ37:AZ46"/>
    <mergeCell ref="BA37:BA46"/>
    <mergeCell ref="BB37:BB46"/>
    <mergeCell ref="BC37:BC46"/>
    <mergeCell ref="BD37:BD46"/>
    <mergeCell ref="AS37:AS46"/>
    <mergeCell ref="AT37:AT46"/>
    <mergeCell ref="AU37:AU46"/>
    <mergeCell ref="AV37:AV46"/>
    <mergeCell ref="AW37:AW46"/>
    <mergeCell ref="AX37:AX46"/>
    <mergeCell ref="AM37:AM46"/>
    <mergeCell ref="AN37:AN46"/>
    <mergeCell ref="AO37:AO46"/>
    <mergeCell ref="BN37:BN46"/>
    <mergeCell ref="BO37:BO46"/>
    <mergeCell ref="BP37:BP46"/>
    <mergeCell ref="BE37:BE46"/>
    <mergeCell ref="BF37:BF46"/>
    <mergeCell ref="BG37:BG46"/>
    <mergeCell ref="BH37:BH46"/>
    <mergeCell ref="BI37:BI46"/>
    <mergeCell ref="BJ37:BJ46"/>
    <mergeCell ref="AP37:AP46"/>
    <mergeCell ref="AQ37:AQ46"/>
    <mergeCell ref="AR37:AR46"/>
    <mergeCell ref="AG37:AG46"/>
    <mergeCell ref="AH37:AH46"/>
    <mergeCell ref="AI37:AI46"/>
    <mergeCell ref="AJ37:AJ46"/>
    <mergeCell ref="AK37:AK46"/>
    <mergeCell ref="AL37:AL46"/>
    <mergeCell ref="AA37:AA46"/>
    <mergeCell ref="AB37:AB46"/>
    <mergeCell ref="AC37:AC46"/>
    <mergeCell ref="AD37:AD46"/>
    <mergeCell ref="AE37:AE46"/>
    <mergeCell ref="AF37:AF46"/>
    <mergeCell ref="O37:O46"/>
    <mergeCell ref="P37:P39"/>
    <mergeCell ref="Q37:Q46"/>
    <mergeCell ref="R37:R46"/>
    <mergeCell ref="S37:S46"/>
    <mergeCell ref="Z37:Z46"/>
    <mergeCell ref="T38:T39"/>
    <mergeCell ref="P40:P41"/>
    <mergeCell ref="P42:P44"/>
    <mergeCell ref="P45:P46"/>
    <mergeCell ref="I37:I39"/>
    <mergeCell ref="J37:J39"/>
    <mergeCell ref="K37:K39"/>
    <mergeCell ref="L37:L39"/>
    <mergeCell ref="M37:M46"/>
    <mergeCell ref="N37:N46"/>
    <mergeCell ref="BO28:BO35"/>
    <mergeCell ref="BP28:BP35"/>
    <mergeCell ref="T29:T30"/>
    <mergeCell ref="T31:T32"/>
    <mergeCell ref="T34:T35"/>
    <mergeCell ref="BM28:BM35"/>
    <mergeCell ref="BN28:BN35"/>
    <mergeCell ref="AT28:AT35"/>
    <mergeCell ref="AU28:AU35"/>
    <mergeCell ref="AV28:AV35"/>
    <mergeCell ref="AK28:AK35"/>
    <mergeCell ref="AL28:AL35"/>
    <mergeCell ref="AM28:AM35"/>
    <mergeCell ref="AN28:AN35"/>
    <mergeCell ref="AO28:AO35"/>
    <mergeCell ref="AP28:AP35"/>
    <mergeCell ref="AE28:AE35"/>
    <mergeCell ref="AF28:AF35"/>
    <mergeCell ref="D37:D39"/>
    <mergeCell ref="E37:E39"/>
    <mergeCell ref="F37:F39"/>
    <mergeCell ref="G37:G39"/>
    <mergeCell ref="H37:H39"/>
    <mergeCell ref="BI28:BI35"/>
    <mergeCell ref="BJ28:BJ35"/>
    <mergeCell ref="BK28:BK35"/>
    <mergeCell ref="BL28:BL35"/>
    <mergeCell ref="BC28:BC35"/>
    <mergeCell ref="BD28:BD35"/>
    <mergeCell ref="BE28:BE35"/>
    <mergeCell ref="BF28:BF35"/>
    <mergeCell ref="BG28:BG35"/>
    <mergeCell ref="BH28:BH35"/>
    <mergeCell ref="AW28:AW35"/>
    <mergeCell ref="AX28:AX35"/>
    <mergeCell ref="AY28:AY35"/>
    <mergeCell ref="AZ28:AZ35"/>
    <mergeCell ref="BA28:BA35"/>
    <mergeCell ref="BB28:BB35"/>
    <mergeCell ref="AQ28:AQ35"/>
    <mergeCell ref="AR28:AR35"/>
    <mergeCell ref="AS28:AS35"/>
    <mergeCell ref="AG28:AG35"/>
    <mergeCell ref="AH28:AH35"/>
    <mergeCell ref="AI28:AI35"/>
    <mergeCell ref="AJ28:AJ35"/>
    <mergeCell ref="S28:S35"/>
    <mergeCell ref="Z28:Z35"/>
    <mergeCell ref="AA28:AA35"/>
    <mergeCell ref="AB28:AB35"/>
    <mergeCell ref="AC28:AC35"/>
    <mergeCell ref="AD28:AD35"/>
    <mergeCell ref="M28:M35"/>
    <mergeCell ref="N28:N35"/>
    <mergeCell ref="O28:O35"/>
    <mergeCell ref="P28:P35"/>
    <mergeCell ref="Q28:Q35"/>
    <mergeCell ref="R28:R35"/>
    <mergeCell ref="G28:G35"/>
    <mergeCell ref="H28:H35"/>
    <mergeCell ref="I28:I35"/>
    <mergeCell ref="J28:J35"/>
    <mergeCell ref="K28:K35"/>
    <mergeCell ref="L28:L35"/>
    <mergeCell ref="BL21:BL27"/>
    <mergeCell ref="BM21:BM27"/>
    <mergeCell ref="BN21:BN27"/>
    <mergeCell ref="BO21:BO27"/>
    <mergeCell ref="BP21:BP27"/>
    <mergeCell ref="H25:H26"/>
    <mergeCell ref="J25:J26"/>
    <mergeCell ref="K25:K26"/>
    <mergeCell ref="L25:L26"/>
    <mergeCell ref="P25:P26"/>
    <mergeCell ref="BF21:BF27"/>
    <mergeCell ref="BG21:BG27"/>
    <mergeCell ref="BH21:BH27"/>
    <mergeCell ref="BI21:BI27"/>
    <mergeCell ref="BJ21:BJ27"/>
    <mergeCell ref="BK21:BK27"/>
    <mergeCell ref="AZ21:AZ27"/>
    <mergeCell ref="BA21:BA27"/>
    <mergeCell ref="BB21:BB27"/>
    <mergeCell ref="BC21:BC27"/>
    <mergeCell ref="BD21:BD27"/>
    <mergeCell ref="BE21:BE27"/>
    <mergeCell ref="AT21:AT27"/>
    <mergeCell ref="AU21:AU27"/>
    <mergeCell ref="AV21:AV27"/>
    <mergeCell ref="AW21:AW27"/>
    <mergeCell ref="AX21:AX27"/>
    <mergeCell ref="AY21:AY27"/>
    <mergeCell ref="AN21:AN27"/>
    <mergeCell ref="AO21:AO27"/>
    <mergeCell ref="AP21:AP27"/>
    <mergeCell ref="AQ21:AQ27"/>
    <mergeCell ref="AR21:AR27"/>
    <mergeCell ref="AS21:AS27"/>
    <mergeCell ref="AH21:AH27"/>
    <mergeCell ref="AI21:AI27"/>
    <mergeCell ref="AJ21:AJ27"/>
    <mergeCell ref="AK21:AK27"/>
    <mergeCell ref="AL21:AL27"/>
    <mergeCell ref="AM21:AM27"/>
    <mergeCell ref="AB21:AB27"/>
    <mergeCell ref="AC21:AC27"/>
    <mergeCell ref="AD21:AD27"/>
    <mergeCell ref="AE21:AE27"/>
    <mergeCell ref="AF21:AF27"/>
    <mergeCell ref="AG21:AG27"/>
    <mergeCell ref="P21:P24"/>
    <mergeCell ref="Q21:Q27"/>
    <mergeCell ref="R21:R27"/>
    <mergeCell ref="S21:S27"/>
    <mergeCell ref="Z21:Z27"/>
    <mergeCell ref="AA21:AA27"/>
    <mergeCell ref="T25:T26"/>
    <mergeCell ref="BP17:BP20"/>
    <mergeCell ref="G21:G26"/>
    <mergeCell ref="H21:H24"/>
    <mergeCell ref="I21:I26"/>
    <mergeCell ref="J21:J24"/>
    <mergeCell ref="K21:K24"/>
    <mergeCell ref="L21:L24"/>
    <mergeCell ref="M21:M27"/>
    <mergeCell ref="N21:N27"/>
    <mergeCell ref="O21:O27"/>
    <mergeCell ref="BJ17:BJ20"/>
    <mergeCell ref="BK17:BK20"/>
    <mergeCell ref="BL17:BL20"/>
    <mergeCell ref="BM17:BM20"/>
    <mergeCell ref="BN17:BN20"/>
    <mergeCell ref="BO17:BO20"/>
    <mergeCell ref="BD17:BD20"/>
    <mergeCell ref="BE17:BE20"/>
    <mergeCell ref="BF17:BF20"/>
    <mergeCell ref="BG17:BG20"/>
    <mergeCell ref="BH17:BH20"/>
    <mergeCell ref="BI17:BI20"/>
    <mergeCell ref="AX17:AX20"/>
    <mergeCell ref="AY17:AY20"/>
    <mergeCell ref="AZ17:AZ20"/>
    <mergeCell ref="BA17:BA20"/>
    <mergeCell ref="BB17:BB20"/>
    <mergeCell ref="BC17:BC20"/>
    <mergeCell ref="AR17:AR20"/>
    <mergeCell ref="AS17:AS20"/>
    <mergeCell ref="AT17:AT20"/>
    <mergeCell ref="AU17:AU20"/>
    <mergeCell ref="AV17:AV20"/>
    <mergeCell ref="AW17:AW20"/>
    <mergeCell ref="AL17:AL20"/>
    <mergeCell ref="AM17:AM20"/>
    <mergeCell ref="AN17:AN20"/>
    <mergeCell ref="AO17:AO20"/>
    <mergeCell ref="AP17:AP20"/>
    <mergeCell ref="AQ17:AQ20"/>
    <mergeCell ref="L14:L16"/>
    <mergeCell ref="P14:P16"/>
    <mergeCell ref="T14:T15"/>
    <mergeCell ref="AF17:AF20"/>
    <mergeCell ref="AG17:AG20"/>
    <mergeCell ref="AH17:AH20"/>
    <mergeCell ref="AI17:AI20"/>
    <mergeCell ref="AJ17:AJ20"/>
    <mergeCell ref="AK17:AK20"/>
    <mergeCell ref="Z17:Z20"/>
    <mergeCell ref="AA17:AA20"/>
    <mergeCell ref="AB17:AB20"/>
    <mergeCell ref="AC17:AC20"/>
    <mergeCell ref="AD17:AD20"/>
    <mergeCell ref="AE17:AE20"/>
    <mergeCell ref="AB12:AB16"/>
    <mergeCell ref="AC12:AC16"/>
    <mergeCell ref="AD12:AD16"/>
    <mergeCell ref="AE12:AE16"/>
    <mergeCell ref="V12:V13"/>
    <mergeCell ref="W12:W13"/>
    <mergeCell ref="X12:X13"/>
    <mergeCell ref="Y12:Y13"/>
    <mergeCell ref="N12:N16"/>
    <mergeCell ref="BL12:BL16"/>
    <mergeCell ref="BM12:BM16"/>
    <mergeCell ref="AR12:AR16"/>
    <mergeCell ref="AT12:AT16"/>
    <mergeCell ref="AF12:AF16"/>
    <mergeCell ref="AG12:AG16"/>
    <mergeCell ref="AH12:AH16"/>
    <mergeCell ref="AI12:AI16"/>
    <mergeCell ref="AJ12:AJ16"/>
    <mergeCell ref="AK12:AK16"/>
    <mergeCell ref="AL12:AL16"/>
    <mergeCell ref="AM12:AM16"/>
    <mergeCell ref="AN12:AN16"/>
    <mergeCell ref="AP12:AP16"/>
    <mergeCell ref="G17:G19"/>
    <mergeCell ref="H17:H19"/>
    <mergeCell ref="I17:I19"/>
    <mergeCell ref="J17:J19"/>
    <mergeCell ref="K17:K19"/>
    <mergeCell ref="L17:L19"/>
    <mergeCell ref="M17:M20"/>
    <mergeCell ref="Z12:Z16"/>
    <mergeCell ref="AA12:AA16"/>
    <mergeCell ref="T12:T13"/>
    <mergeCell ref="N17:N20"/>
    <mergeCell ref="O17:O20"/>
    <mergeCell ref="P17:P19"/>
    <mergeCell ref="Q17:Q20"/>
    <mergeCell ref="R17:R20"/>
    <mergeCell ref="S17:S20"/>
    <mergeCell ref="P12:P13"/>
    <mergeCell ref="Q12:Q16"/>
    <mergeCell ref="R12:R16"/>
    <mergeCell ref="S12:S16"/>
    <mergeCell ref="K12:K13"/>
    <mergeCell ref="L12:L13"/>
    <mergeCell ref="M12:M16"/>
    <mergeCell ref="U12:U13"/>
    <mergeCell ref="BN12:BN16"/>
    <mergeCell ref="BO12:BO16"/>
    <mergeCell ref="BP12:BP16"/>
    <mergeCell ref="G14:G16"/>
    <mergeCell ref="H14:H16"/>
    <mergeCell ref="I14:I16"/>
    <mergeCell ref="J14:J16"/>
    <mergeCell ref="K14:K16"/>
    <mergeCell ref="BF12:BF16"/>
    <mergeCell ref="BG12:BG16"/>
    <mergeCell ref="BH12:BH16"/>
    <mergeCell ref="BI12:BI16"/>
    <mergeCell ref="BJ12:BJ16"/>
    <mergeCell ref="BK12:BK16"/>
    <mergeCell ref="AW12:AW16"/>
    <mergeCell ref="AX12:AX16"/>
    <mergeCell ref="AZ12:AZ16"/>
    <mergeCell ref="BB12:BB16"/>
    <mergeCell ref="BD12:BD16"/>
    <mergeCell ref="BE12:BE16"/>
    <mergeCell ref="G12:G13"/>
    <mergeCell ref="H12:H13"/>
    <mergeCell ref="I12:I13"/>
    <mergeCell ref="J12:J13"/>
    <mergeCell ref="AZ8:BA8"/>
    <mergeCell ref="BB8:BC8"/>
    <mergeCell ref="AN8:AO8"/>
    <mergeCell ref="AP8:AQ8"/>
    <mergeCell ref="AR8:AS8"/>
    <mergeCell ref="AT8:AU8"/>
    <mergeCell ref="AV8:AW8"/>
    <mergeCell ref="AX8:AY8"/>
    <mergeCell ref="P7:P9"/>
    <mergeCell ref="Q7:Q9"/>
    <mergeCell ref="O12:O16"/>
    <mergeCell ref="BP7:BP8"/>
    <mergeCell ref="U8:U9"/>
    <mergeCell ref="V8:V9"/>
    <mergeCell ref="W8:W9"/>
    <mergeCell ref="AB8:AC8"/>
    <mergeCell ref="AD8:AE8"/>
    <mergeCell ref="X7:X9"/>
    <mergeCell ref="Y7:Y9"/>
    <mergeCell ref="Z7:AC7"/>
    <mergeCell ref="AD7:AK7"/>
    <mergeCell ref="AL7:AW7"/>
    <mergeCell ref="AX7:BC7"/>
    <mergeCell ref="AF8:AG8"/>
    <mergeCell ref="AH8:AI8"/>
    <mergeCell ref="AJ8:AK8"/>
    <mergeCell ref="AL8:AM8"/>
    <mergeCell ref="BI8:BI9"/>
    <mergeCell ref="BJ8:BJ9"/>
    <mergeCell ref="BK8:BK9"/>
    <mergeCell ref="BD8:BE8"/>
    <mergeCell ref="BF8:BF9"/>
    <mergeCell ref="BG8:BG9"/>
    <mergeCell ref="BH8:BH9"/>
    <mergeCell ref="A1:BN4"/>
    <mergeCell ref="A5:K6"/>
    <mergeCell ref="M5:BP5"/>
    <mergeCell ref="Z6:BE6"/>
    <mergeCell ref="A7:A9"/>
    <mergeCell ref="B7:C9"/>
    <mergeCell ref="D7:D9"/>
    <mergeCell ref="E7:F9"/>
    <mergeCell ref="G7:G9"/>
    <mergeCell ref="H7:H9"/>
    <mergeCell ref="R7:R9"/>
    <mergeCell ref="S7:S9"/>
    <mergeCell ref="T7:T9"/>
    <mergeCell ref="U7:W7"/>
    <mergeCell ref="I7:I9"/>
    <mergeCell ref="J7:J9"/>
    <mergeCell ref="K7:L8"/>
    <mergeCell ref="M7:M9"/>
    <mergeCell ref="N7:N9"/>
    <mergeCell ref="O7:O9"/>
    <mergeCell ref="BD7:BE7"/>
    <mergeCell ref="BF7:BK7"/>
    <mergeCell ref="BL7:BM8"/>
    <mergeCell ref="BN7:BO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X102"/>
  <sheetViews>
    <sheetView showGridLines="0" zoomScale="70" zoomScaleNormal="70" workbookViewId="0">
      <selection activeCell="O12" sqref="O12:O14"/>
    </sheetView>
  </sheetViews>
  <sheetFormatPr baseColWidth="10" defaultRowHeight="12.75" x14ac:dyDescent="0.2"/>
  <cols>
    <col min="1" max="1" width="11.7109375" style="499" bestFit="1" customWidth="1"/>
    <col min="2" max="2" width="8.28515625" style="499" customWidth="1"/>
    <col min="3" max="3" width="11.7109375" style="499" customWidth="1"/>
    <col min="4" max="4" width="16.42578125" style="499" customWidth="1"/>
    <col min="5" max="5" width="7.85546875" style="499" customWidth="1"/>
    <col min="6" max="6" width="10.5703125" style="499" customWidth="1"/>
    <col min="7" max="7" width="11.7109375" style="692" bestFit="1" customWidth="1"/>
    <col min="8" max="8" width="18.7109375" style="692" customWidth="1"/>
    <col min="9" max="9" width="46.7109375" style="693" customWidth="1"/>
    <col min="10" max="10" width="37.42578125" style="693" customWidth="1"/>
    <col min="11" max="12" width="11.5703125" style="692" bestFit="1" customWidth="1"/>
    <col min="13" max="13" width="37.140625" style="693" customWidth="1"/>
    <col min="14" max="14" width="23.28515625" style="499" customWidth="1"/>
    <col min="15" max="15" width="44.7109375" style="693" customWidth="1"/>
    <col min="16" max="16" width="13" style="499" customWidth="1"/>
    <col min="17" max="17" width="32" style="499" customWidth="1"/>
    <col min="18" max="18" width="37.140625" style="693" customWidth="1"/>
    <col min="19" max="19" width="84.140625" style="693" customWidth="1"/>
    <col min="20" max="20" width="75.85546875" style="693" customWidth="1"/>
    <col min="21" max="21" width="26.85546875" style="499" customWidth="1"/>
    <col min="22" max="22" width="30.5703125" style="499" customWidth="1"/>
    <col min="23" max="23" width="23" style="499" bestFit="1" customWidth="1"/>
    <col min="24" max="24" width="10.85546875" style="499" bestFit="1" customWidth="1"/>
    <col min="25" max="25" width="24.7109375" style="499" customWidth="1"/>
    <col min="26" max="26" width="9" style="499" bestFit="1" customWidth="1"/>
    <col min="27" max="27" width="8.85546875" style="693" customWidth="1"/>
    <col min="28" max="28" width="10" style="499" customWidth="1"/>
    <col min="29" max="29" width="8.28515625" style="499" customWidth="1"/>
    <col min="30" max="30" width="9" style="499" bestFit="1" customWidth="1"/>
    <col min="31" max="31" width="8.85546875" style="499" customWidth="1"/>
    <col min="32" max="33" width="11.28515625" style="499" customWidth="1"/>
    <col min="34" max="35" width="12.28515625" style="499" customWidth="1"/>
    <col min="36" max="36" width="7.7109375" style="499" bestFit="1" customWidth="1"/>
    <col min="37" max="37" width="7.42578125" style="499" customWidth="1"/>
    <col min="38" max="38" width="10.42578125" style="499" customWidth="1"/>
    <col min="39" max="57" width="12.85546875" style="499" customWidth="1"/>
    <col min="58" max="58" width="20.5703125" style="499" customWidth="1"/>
    <col min="59" max="59" width="26.140625" style="499" customWidth="1"/>
    <col min="60" max="60" width="25.42578125" style="499" customWidth="1"/>
    <col min="61" max="61" width="28.140625" style="499" customWidth="1"/>
    <col min="62" max="62" width="26.28515625" style="499" customWidth="1"/>
    <col min="63" max="63" width="19.85546875" style="499" customWidth="1"/>
    <col min="64" max="64" width="18.28515625" style="499" customWidth="1"/>
    <col min="65" max="65" width="28" style="499" customWidth="1"/>
    <col min="66" max="66" width="17.28515625" style="499" customWidth="1"/>
    <col min="67" max="67" width="17.42578125" style="499" customWidth="1"/>
    <col min="68" max="68" width="23.5703125" style="499" customWidth="1"/>
    <col min="69" max="69" width="18.85546875" style="498" customWidth="1"/>
    <col min="70" max="70" width="26.85546875" style="499" customWidth="1"/>
    <col min="71" max="16384" width="11.42578125" style="499"/>
  </cols>
  <sheetData>
    <row r="1" spans="1:76" ht="51" customHeight="1" x14ac:dyDescent="0.2">
      <c r="A1" s="3911" t="s">
        <v>352</v>
      </c>
      <c r="B1" s="3912"/>
      <c r="C1" s="3912"/>
      <c r="D1" s="3912"/>
      <c r="E1" s="3912"/>
      <c r="F1" s="3912"/>
      <c r="G1" s="3912"/>
      <c r="H1" s="3912"/>
      <c r="I1" s="3912"/>
      <c r="J1" s="3912"/>
      <c r="K1" s="3912"/>
      <c r="L1" s="3912"/>
      <c r="M1" s="3912"/>
      <c r="N1" s="3912"/>
      <c r="O1" s="3912"/>
      <c r="P1" s="3912"/>
      <c r="Q1" s="3912"/>
      <c r="R1" s="3912"/>
      <c r="S1" s="3912"/>
      <c r="T1" s="3912"/>
      <c r="U1" s="3912"/>
      <c r="V1" s="3912"/>
      <c r="W1" s="3912"/>
      <c r="X1" s="3912"/>
      <c r="Y1" s="3912"/>
      <c r="Z1" s="3912"/>
      <c r="AA1" s="3912"/>
      <c r="AB1" s="3912"/>
      <c r="AC1" s="3912"/>
      <c r="AD1" s="3912"/>
      <c r="AE1" s="3912"/>
      <c r="AF1" s="3912"/>
      <c r="AG1" s="3912"/>
      <c r="AH1" s="3912"/>
      <c r="AI1" s="3912"/>
      <c r="AJ1" s="3912"/>
      <c r="AK1" s="3912"/>
      <c r="AL1" s="3912"/>
      <c r="AM1" s="3912"/>
      <c r="AN1" s="3912"/>
      <c r="AO1" s="3912"/>
      <c r="AP1" s="3912"/>
      <c r="AQ1" s="3912"/>
      <c r="AR1" s="3912"/>
      <c r="AS1" s="3912"/>
      <c r="AT1" s="3912"/>
      <c r="AU1" s="3912"/>
      <c r="AV1" s="3912"/>
      <c r="AW1" s="3912"/>
      <c r="AX1" s="3912"/>
      <c r="AY1" s="3912"/>
      <c r="AZ1" s="3912"/>
      <c r="BA1" s="3912"/>
      <c r="BB1" s="3912"/>
      <c r="BC1" s="3912"/>
      <c r="BD1" s="3912"/>
      <c r="BE1" s="3912"/>
      <c r="BF1" s="3912"/>
      <c r="BG1" s="3912"/>
      <c r="BH1" s="3912"/>
      <c r="BI1" s="3912"/>
      <c r="BJ1" s="3912"/>
      <c r="BK1" s="3912"/>
      <c r="BL1" s="3912"/>
      <c r="BM1" s="3912"/>
      <c r="BN1" s="3913"/>
      <c r="BO1" s="496" t="s">
        <v>1</v>
      </c>
      <c r="BP1" s="497" t="s">
        <v>2</v>
      </c>
      <c r="BS1" s="500"/>
      <c r="BT1" s="500"/>
      <c r="BU1" s="500"/>
      <c r="BV1" s="500"/>
      <c r="BW1" s="500"/>
      <c r="BX1" s="500"/>
    </row>
    <row r="2" spans="1:76" x14ac:dyDescent="0.2">
      <c r="A2" s="501"/>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3" t="s">
        <v>3</v>
      </c>
      <c r="BP2" s="504">
        <v>6</v>
      </c>
      <c r="BS2" s="500"/>
      <c r="BT2" s="500"/>
      <c r="BU2" s="500"/>
      <c r="BV2" s="500"/>
      <c r="BW2" s="500"/>
      <c r="BX2" s="500"/>
    </row>
    <row r="3" spans="1:76" x14ac:dyDescent="0.2">
      <c r="A3" s="501"/>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502"/>
      <c r="AU3" s="502"/>
      <c r="AV3" s="502"/>
      <c r="AW3" s="502"/>
      <c r="AX3" s="502"/>
      <c r="AY3" s="502"/>
      <c r="AZ3" s="502"/>
      <c r="BA3" s="502"/>
      <c r="BB3" s="502"/>
      <c r="BC3" s="502"/>
      <c r="BD3" s="502"/>
      <c r="BE3" s="502"/>
      <c r="BF3" s="502"/>
      <c r="BG3" s="502"/>
      <c r="BH3" s="502"/>
      <c r="BI3" s="502"/>
      <c r="BJ3" s="502"/>
      <c r="BK3" s="502"/>
      <c r="BL3" s="502"/>
      <c r="BM3" s="502"/>
      <c r="BN3" s="502"/>
      <c r="BO3" s="503" t="s">
        <v>5</v>
      </c>
      <c r="BP3" s="505" t="s">
        <v>6</v>
      </c>
      <c r="BS3" s="500"/>
      <c r="BT3" s="500"/>
      <c r="BU3" s="500"/>
      <c r="BV3" s="500"/>
      <c r="BW3" s="500"/>
      <c r="BX3" s="500"/>
    </row>
    <row r="4" spans="1:76" x14ac:dyDescent="0.2">
      <c r="A4" s="506"/>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c r="AN4" s="507"/>
      <c r="AO4" s="507"/>
      <c r="AP4" s="507"/>
      <c r="AQ4" s="507"/>
      <c r="AR4" s="507"/>
      <c r="AS4" s="507"/>
      <c r="AT4" s="507"/>
      <c r="AU4" s="507"/>
      <c r="AV4" s="507"/>
      <c r="AW4" s="507"/>
      <c r="AX4" s="507"/>
      <c r="AY4" s="507"/>
      <c r="AZ4" s="507"/>
      <c r="BA4" s="507"/>
      <c r="BB4" s="507"/>
      <c r="BC4" s="507"/>
      <c r="BD4" s="507"/>
      <c r="BE4" s="507"/>
      <c r="BF4" s="507"/>
      <c r="BG4" s="507"/>
      <c r="BH4" s="507"/>
      <c r="BI4" s="507"/>
      <c r="BJ4" s="507"/>
      <c r="BK4" s="507"/>
      <c r="BL4" s="507"/>
      <c r="BM4" s="507"/>
      <c r="BN4" s="507"/>
      <c r="BO4" s="503" t="s">
        <v>7</v>
      </c>
      <c r="BP4" s="508" t="s">
        <v>311</v>
      </c>
      <c r="BS4" s="500"/>
      <c r="BT4" s="500"/>
      <c r="BU4" s="500"/>
      <c r="BV4" s="500"/>
      <c r="BW4" s="500"/>
      <c r="BX4" s="500"/>
    </row>
    <row r="5" spans="1:76" x14ac:dyDescent="0.2">
      <c r="A5" s="509" t="s">
        <v>312</v>
      </c>
      <c r="B5" s="510"/>
      <c r="C5" s="510"/>
      <c r="D5" s="510"/>
      <c r="E5" s="510"/>
      <c r="F5" s="510"/>
      <c r="G5" s="510"/>
      <c r="H5" s="510"/>
      <c r="I5" s="510"/>
      <c r="J5" s="510"/>
      <c r="K5" s="510"/>
      <c r="L5" s="511"/>
      <c r="M5" s="512" t="s">
        <v>10</v>
      </c>
      <c r="N5" s="512"/>
      <c r="O5" s="512"/>
      <c r="P5" s="512"/>
      <c r="Q5" s="512"/>
      <c r="R5" s="512"/>
      <c r="S5" s="512"/>
      <c r="T5" s="512"/>
      <c r="U5" s="512"/>
      <c r="V5" s="512"/>
      <c r="W5" s="512"/>
      <c r="X5" s="512"/>
      <c r="Y5" s="512"/>
      <c r="Z5" s="512"/>
      <c r="AA5" s="512"/>
      <c r="AB5" s="512"/>
      <c r="AC5" s="512"/>
      <c r="AD5" s="512"/>
      <c r="AE5" s="512"/>
      <c r="AF5" s="512"/>
      <c r="AG5" s="512"/>
      <c r="AH5" s="512"/>
      <c r="AI5" s="512"/>
      <c r="AJ5" s="512"/>
      <c r="AK5" s="512"/>
      <c r="AL5" s="512"/>
      <c r="AM5" s="512"/>
      <c r="AN5" s="512"/>
      <c r="AO5" s="512"/>
      <c r="AP5" s="512"/>
      <c r="AQ5" s="512"/>
      <c r="AR5" s="512"/>
      <c r="AS5" s="512"/>
      <c r="AT5" s="512"/>
      <c r="AU5" s="512"/>
      <c r="AV5" s="512"/>
      <c r="AW5" s="512"/>
      <c r="AX5" s="512"/>
      <c r="AY5" s="512"/>
      <c r="AZ5" s="512"/>
      <c r="BA5" s="512"/>
      <c r="BB5" s="512"/>
      <c r="BC5" s="512"/>
      <c r="BD5" s="512"/>
      <c r="BE5" s="512"/>
      <c r="BF5" s="512"/>
      <c r="BG5" s="512"/>
      <c r="BH5" s="512"/>
      <c r="BI5" s="512"/>
      <c r="BJ5" s="512"/>
      <c r="BK5" s="512"/>
      <c r="BL5" s="512"/>
      <c r="BM5" s="512"/>
      <c r="BN5" s="512"/>
      <c r="BO5" s="513"/>
      <c r="BP5" s="514"/>
      <c r="BS5" s="500"/>
      <c r="BT5" s="500"/>
      <c r="BU5" s="500"/>
      <c r="BV5" s="500"/>
      <c r="BW5" s="500"/>
      <c r="BX5" s="500"/>
    </row>
    <row r="6" spans="1:76" ht="13.5" thickBot="1" x14ac:dyDescent="0.25">
      <c r="A6" s="515"/>
      <c r="B6" s="516"/>
      <c r="C6" s="516"/>
      <c r="D6" s="516"/>
      <c r="E6" s="516"/>
      <c r="F6" s="516"/>
      <c r="G6" s="516"/>
      <c r="H6" s="516"/>
      <c r="I6" s="516"/>
      <c r="J6" s="516"/>
      <c r="K6" s="516"/>
      <c r="L6" s="517"/>
      <c r="M6" s="518"/>
      <c r="N6" s="517"/>
      <c r="O6" s="519"/>
      <c r="P6" s="520"/>
      <c r="Q6" s="521"/>
      <c r="R6" s="519"/>
      <c r="S6" s="519"/>
      <c r="T6" s="519"/>
      <c r="U6" s="520"/>
      <c r="V6" s="520"/>
      <c r="W6" s="520"/>
      <c r="X6" s="520"/>
      <c r="Y6" s="520"/>
      <c r="Z6" s="520"/>
      <c r="AA6" s="519"/>
      <c r="AB6" s="522" t="s">
        <v>11</v>
      </c>
      <c r="AC6" s="516"/>
      <c r="AD6" s="516"/>
      <c r="AE6" s="516"/>
      <c r="AF6" s="516"/>
      <c r="AG6" s="516"/>
      <c r="AH6" s="516"/>
      <c r="AI6" s="516"/>
      <c r="AJ6" s="516"/>
      <c r="AK6" s="516"/>
      <c r="AL6" s="516"/>
      <c r="AM6" s="516"/>
      <c r="AN6" s="516"/>
      <c r="AO6" s="516"/>
      <c r="AP6" s="516"/>
      <c r="AQ6" s="516"/>
      <c r="AR6" s="516"/>
      <c r="AS6" s="516"/>
      <c r="AT6" s="516"/>
      <c r="AU6" s="516"/>
      <c r="AV6" s="516"/>
      <c r="AW6" s="516"/>
      <c r="AX6" s="516"/>
      <c r="AY6" s="516"/>
      <c r="AZ6" s="516"/>
      <c r="BA6" s="516"/>
      <c r="BB6" s="516"/>
      <c r="BC6" s="516"/>
      <c r="BD6" s="516"/>
      <c r="BE6" s="520"/>
      <c r="BF6" s="523"/>
      <c r="BG6" s="523"/>
      <c r="BH6" s="523"/>
      <c r="BI6" s="523"/>
      <c r="BJ6" s="523"/>
      <c r="BK6" s="523"/>
      <c r="BL6" s="523"/>
      <c r="BM6" s="523"/>
      <c r="BN6" s="524"/>
      <c r="BO6" s="524"/>
      <c r="BP6" s="525"/>
      <c r="BS6" s="500"/>
      <c r="BT6" s="500"/>
      <c r="BU6" s="500"/>
      <c r="BV6" s="500"/>
      <c r="BW6" s="500"/>
      <c r="BX6" s="500"/>
    </row>
    <row r="7" spans="1:76" ht="26.25" customHeight="1" x14ac:dyDescent="0.2">
      <c r="A7" s="3910" t="s">
        <v>12</v>
      </c>
      <c r="B7" s="3908" t="s">
        <v>13</v>
      </c>
      <c r="C7" s="3908"/>
      <c r="D7" s="3908" t="s">
        <v>12</v>
      </c>
      <c r="E7" s="3908" t="s">
        <v>14</v>
      </c>
      <c r="F7" s="3908"/>
      <c r="G7" s="3908" t="s">
        <v>12</v>
      </c>
      <c r="H7" s="2700" t="s">
        <v>353</v>
      </c>
      <c r="I7" s="3901" t="s">
        <v>15</v>
      </c>
      <c r="J7" s="3901" t="s">
        <v>16</v>
      </c>
      <c r="K7" s="3908" t="s">
        <v>17</v>
      </c>
      <c r="L7" s="3908"/>
      <c r="M7" s="3901" t="s">
        <v>18</v>
      </c>
      <c r="N7" s="3908" t="s">
        <v>19</v>
      </c>
      <c r="O7" s="3908" t="s">
        <v>10</v>
      </c>
      <c r="P7" s="3909" t="s">
        <v>20</v>
      </c>
      <c r="Q7" s="3902" t="s">
        <v>21</v>
      </c>
      <c r="R7" s="3901" t="s">
        <v>22</v>
      </c>
      <c r="S7" s="3901" t="s">
        <v>23</v>
      </c>
      <c r="T7" s="3901" t="s">
        <v>24</v>
      </c>
      <c r="U7" s="3902" t="s">
        <v>21</v>
      </c>
      <c r="V7" s="3902"/>
      <c r="W7" s="3902"/>
      <c r="X7" s="3903" t="s">
        <v>12</v>
      </c>
      <c r="Y7" s="2700" t="s">
        <v>25</v>
      </c>
      <c r="Z7" s="3905" t="s">
        <v>26</v>
      </c>
      <c r="AA7" s="3906"/>
      <c r="AB7" s="3906"/>
      <c r="AC7" s="3907"/>
      <c r="AD7" s="3888" t="s">
        <v>27</v>
      </c>
      <c r="AE7" s="3889"/>
      <c r="AF7" s="3889"/>
      <c r="AG7" s="3889"/>
      <c r="AH7" s="3889"/>
      <c r="AI7" s="3889"/>
      <c r="AJ7" s="3889"/>
      <c r="AK7" s="3890"/>
      <c r="AL7" s="3891" t="s">
        <v>28</v>
      </c>
      <c r="AM7" s="3892"/>
      <c r="AN7" s="3892"/>
      <c r="AO7" s="3892"/>
      <c r="AP7" s="3892"/>
      <c r="AQ7" s="3892"/>
      <c r="AR7" s="3892"/>
      <c r="AS7" s="3892"/>
      <c r="AT7" s="3892"/>
      <c r="AU7" s="3892"/>
      <c r="AV7" s="3892"/>
      <c r="AW7" s="3893"/>
      <c r="AX7" s="3888" t="s">
        <v>29</v>
      </c>
      <c r="AY7" s="3889"/>
      <c r="AZ7" s="3889"/>
      <c r="BA7" s="3889"/>
      <c r="BB7" s="3889"/>
      <c r="BC7" s="3890"/>
      <c r="BD7" s="3894" t="s">
        <v>30</v>
      </c>
      <c r="BE7" s="3895"/>
      <c r="BF7" s="3898" t="s">
        <v>31</v>
      </c>
      <c r="BG7" s="3899"/>
      <c r="BH7" s="3899"/>
      <c r="BI7" s="3899"/>
      <c r="BJ7" s="3899"/>
      <c r="BK7" s="3900"/>
      <c r="BL7" s="3881" t="s">
        <v>32</v>
      </c>
      <c r="BM7" s="3882"/>
      <c r="BN7" s="3881" t="s">
        <v>33</v>
      </c>
      <c r="BO7" s="3882"/>
      <c r="BP7" s="3885" t="s">
        <v>34</v>
      </c>
      <c r="BS7" s="500"/>
      <c r="BT7" s="500"/>
      <c r="BU7" s="500"/>
      <c r="BV7" s="500"/>
      <c r="BW7" s="500"/>
      <c r="BX7" s="500"/>
    </row>
    <row r="8" spans="1:76" ht="113.25" customHeight="1" x14ac:dyDescent="0.2">
      <c r="A8" s="3910"/>
      <c r="B8" s="3908"/>
      <c r="C8" s="3908"/>
      <c r="D8" s="3908"/>
      <c r="E8" s="3908"/>
      <c r="F8" s="3908"/>
      <c r="G8" s="3908"/>
      <c r="H8" s="2702"/>
      <c r="I8" s="3901"/>
      <c r="J8" s="3901"/>
      <c r="K8" s="526" t="s">
        <v>59</v>
      </c>
      <c r="L8" s="526" t="s">
        <v>60</v>
      </c>
      <c r="M8" s="3901"/>
      <c r="N8" s="3908"/>
      <c r="O8" s="3908"/>
      <c r="P8" s="3909"/>
      <c r="Q8" s="3902"/>
      <c r="R8" s="3901"/>
      <c r="S8" s="3901"/>
      <c r="T8" s="3901"/>
      <c r="U8" s="527" t="s">
        <v>229</v>
      </c>
      <c r="V8" s="527" t="s">
        <v>230</v>
      </c>
      <c r="W8" s="527" t="s">
        <v>231</v>
      </c>
      <c r="X8" s="3904"/>
      <c r="Y8" s="2701"/>
      <c r="Z8" s="3886" t="s">
        <v>38</v>
      </c>
      <c r="AA8" s="3887"/>
      <c r="AB8" s="3886" t="s">
        <v>39</v>
      </c>
      <c r="AC8" s="3887"/>
      <c r="AD8" s="3886" t="s">
        <v>40</v>
      </c>
      <c r="AE8" s="3887"/>
      <c r="AF8" s="3886" t="s">
        <v>41</v>
      </c>
      <c r="AG8" s="3887"/>
      <c r="AH8" s="3886" t="s">
        <v>232</v>
      </c>
      <c r="AI8" s="3887"/>
      <c r="AJ8" s="3886" t="s">
        <v>43</v>
      </c>
      <c r="AK8" s="3887"/>
      <c r="AL8" s="3886" t="s">
        <v>44</v>
      </c>
      <c r="AM8" s="3887"/>
      <c r="AN8" s="3886" t="s">
        <v>45</v>
      </c>
      <c r="AO8" s="3887"/>
      <c r="AP8" s="3886" t="s">
        <v>46</v>
      </c>
      <c r="AQ8" s="3887"/>
      <c r="AR8" s="3886" t="s">
        <v>47</v>
      </c>
      <c r="AS8" s="3887"/>
      <c r="AT8" s="3886" t="s">
        <v>48</v>
      </c>
      <c r="AU8" s="3887"/>
      <c r="AV8" s="3886" t="s">
        <v>317</v>
      </c>
      <c r="AW8" s="3887"/>
      <c r="AX8" s="3886" t="s">
        <v>50</v>
      </c>
      <c r="AY8" s="3887"/>
      <c r="AZ8" s="3886" t="s">
        <v>51</v>
      </c>
      <c r="BA8" s="3887"/>
      <c r="BB8" s="3886" t="s">
        <v>52</v>
      </c>
      <c r="BC8" s="3887"/>
      <c r="BD8" s="3896"/>
      <c r="BE8" s="3897"/>
      <c r="BF8" s="528" t="s">
        <v>53</v>
      </c>
      <c r="BG8" s="529" t="s">
        <v>54</v>
      </c>
      <c r="BH8" s="528" t="s">
        <v>55</v>
      </c>
      <c r="BI8" s="530" t="s">
        <v>56</v>
      </c>
      <c r="BJ8" s="528" t="s">
        <v>57</v>
      </c>
      <c r="BK8" s="528" t="s">
        <v>58</v>
      </c>
      <c r="BL8" s="3883"/>
      <c r="BM8" s="3884"/>
      <c r="BN8" s="3883"/>
      <c r="BO8" s="3884"/>
      <c r="BP8" s="3885"/>
      <c r="BS8" s="500"/>
      <c r="BT8" s="500"/>
      <c r="BU8" s="500"/>
      <c r="BV8" s="500"/>
      <c r="BW8" s="500"/>
      <c r="BX8" s="500"/>
    </row>
    <row r="9" spans="1:76" s="544" customFormat="1" ht="27" customHeight="1" x14ac:dyDescent="0.2">
      <c r="A9" s="531"/>
      <c r="B9" s="3879"/>
      <c r="C9" s="3880"/>
      <c r="D9" s="526"/>
      <c r="E9" s="3879"/>
      <c r="F9" s="3880"/>
      <c r="G9" s="526"/>
      <c r="H9" s="526"/>
      <c r="I9" s="532"/>
      <c r="J9" s="532"/>
      <c r="K9" s="526"/>
      <c r="L9" s="533"/>
      <c r="M9" s="532"/>
      <c r="N9" s="526"/>
      <c r="O9" s="532"/>
      <c r="P9" s="534"/>
      <c r="Q9" s="527"/>
      <c r="R9" s="532"/>
      <c r="S9" s="532"/>
      <c r="T9" s="532"/>
      <c r="U9" s="535"/>
      <c r="V9" s="527"/>
      <c r="W9" s="527"/>
      <c r="X9" s="536"/>
      <c r="Y9" s="536"/>
      <c r="Z9" s="374" t="s">
        <v>59</v>
      </c>
      <c r="AA9" s="374" t="s">
        <v>60</v>
      </c>
      <c r="AB9" s="374" t="s">
        <v>59</v>
      </c>
      <c r="AC9" s="374" t="s">
        <v>60</v>
      </c>
      <c r="AD9" s="374" t="s">
        <v>59</v>
      </c>
      <c r="AE9" s="374" t="s">
        <v>60</v>
      </c>
      <c r="AF9" s="374" t="s">
        <v>59</v>
      </c>
      <c r="AG9" s="374" t="s">
        <v>60</v>
      </c>
      <c r="AH9" s="374" t="s">
        <v>59</v>
      </c>
      <c r="AI9" s="374" t="s">
        <v>60</v>
      </c>
      <c r="AJ9" s="374" t="s">
        <v>59</v>
      </c>
      <c r="AK9" s="374" t="s">
        <v>60</v>
      </c>
      <c r="AL9" s="374" t="s">
        <v>59</v>
      </c>
      <c r="AM9" s="374" t="s">
        <v>60</v>
      </c>
      <c r="AN9" s="374" t="s">
        <v>59</v>
      </c>
      <c r="AO9" s="374" t="s">
        <v>60</v>
      </c>
      <c r="AP9" s="374" t="s">
        <v>59</v>
      </c>
      <c r="AQ9" s="374" t="s">
        <v>60</v>
      </c>
      <c r="AR9" s="374" t="s">
        <v>59</v>
      </c>
      <c r="AS9" s="374" t="s">
        <v>60</v>
      </c>
      <c r="AT9" s="374" t="s">
        <v>59</v>
      </c>
      <c r="AU9" s="374" t="s">
        <v>60</v>
      </c>
      <c r="AV9" s="374" t="s">
        <v>59</v>
      </c>
      <c r="AW9" s="374" t="s">
        <v>60</v>
      </c>
      <c r="AX9" s="374" t="s">
        <v>59</v>
      </c>
      <c r="AY9" s="374" t="s">
        <v>60</v>
      </c>
      <c r="AZ9" s="374" t="s">
        <v>59</v>
      </c>
      <c r="BA9" s="374" t="s">
        <v>60</v>
      </c>
      <c r="BB9" s="374" t="s">
        <v>59</v>
      </c>
      <c r="BC9" s="374" t="s">
        <v>60</v>
      </c>
      <c r="BD9" s="374" t="s">
        <v>59</v>
      </c>
      <c r="BE9" s="374" t="s">
        <v>60</v>
      </c>
      <c r="BF9" s="528"/>
      <c r="BG9" s="529"/>
      <c r="BH9" s="528"/>
      <c r="BI9" s="530"/>
      <c r="BJ9" s="528"/>
      <c r="BK9" s="537"/>
      <c r="BL9" s="374" t="s">
        <v>59</v>
      </c>
      <c r="BM9" s="374" t="s">
        <v>60</v>
      </c>
      <c r="BN9" s="374" t="s">
        <v>59</v>
      </c>
      <c r="BO9" s="538" t="s">
        <v>60</v>
      </c>
      <c r="BP9" s="539"/>
      <c r="BQ9" s="540"/>
      <c r="BR9" s="541"/>
      <c r="BS9" s="542"/>
      <c r="BT9" s="542"/>
      <c r="BU9" s="543"/>
      <c r="BV9" s="543"/>
      <c r="BW9" s="543"/>
      <c r="BX9" s="543"/>
    </row>
    <row r="10" spans="1:76" s="553" customFormat="1" ht="15.75" x14ac:dyDescent="0.25">
      <c r="A10" s="545">
        <v>2</v>
      </c>
      <c r="B10" s="546" t="s">
        <v>354</v>
      </c>
      <c r="C10" s="546"/>
      <c r="D10" s="34"/>
      <c r="E10" s="34"/>
      <c r="F10" s="34"/>
      <c r="G10" s="37"/>
      <c r="H10" s="37"/>
      <c r="I10" s="36"/>
      <c r="J10" s="36"/>
      <c r="K10" s="37"/>
      <c r="L10" s="547"/>
      <c r="M10" s="36"/>
      <c r="N10" s="37"/>
      <c r="O10" s="36"/>
      <c r="P10" s="38"/>
      <c r="Q10" s="39"/>
      <c r="R10" s="36"/>
      <c r="S10" s="36"/>
      <c r="T10" s="36"/>
      <c r="U10" s="548"/>
      <c r="V10" s="548"/>
      <c r="W10" s="548"/>
      <c r="X10" s="548"/>
      <c r="Y10" s="548"/>
      <c r="Z10" s="42"/>
      <c r="AA10" s="35"/>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43"/>
      <c r="BO10" s="549"/>
      <c r="BP10" s="43"/>
      <c r="BQ10" s="550"/>
      <c r="BR10" s="551"/>
      <c r="BS10" s="552"/>
      <c r="BT10" s="552"/>
      <c r="BU10" s="3"/>
      <c r="BV10" s="3"/>
      <c r="BW10" s="3"/>
      <c r="BX10" s="3"/>
    </row>
    <row r="11" spans="1:76" s="553" customFormat="1" ht="15.75" x14ac:dyDescent="0.25">
      <c r="A11" s="2572"/>
      <c r="B11" s="2573"/>
      <c r="C11" s="2574"/>
      <c r="D11" s="554">
        <v>4</v>
      </c>
      <c r="E11" s="2898" t="s">
        <v>355</v>
      </c>
      <c r="F11" s="2898"/>
      <c r="G11" s="2899"/>
      <c r="H11" s="2899"/>
      <c r="I11" s="2899"/>
      <c r="J11" s="2899"/>
      <c r="K11" s="2899"/>
      <c r="L11" s="2899"/>
      <c r="M11" s="2899"/>
      <c r="N11" s="2899"/>
      <c r="O11" s="415"/>
      <c r="P11" s="416"/>
      <c r="Q11" s="417"/>
      <c r="R11" s="415"/>
      <c r="S11" s="415"/>
      <c r="T11" s="415"/>
      <c r="U11" s="555"/>
      <c r="V11" s="555"/>
      <c r="W11" s="555"/>
      <c r="X11" s="555"/>
      <c r="Y11" s="555"/>
      <c r="Z11" s="556"/>
      <c r="AA11" s="412"/>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2"/>
      <c r="BI11" s="422"/>
      <c r="BJ11" s="422"/>
      <c r="BK11" s="422"/>
      <c r="BL11" s="422"/>
      <c r="BM11" s="422"/>
      <c r="BN11" s="557"/>
      <c r="BO11" s="558"/>
      <c r="BP11" s="559"/>
      <c r="BQ11" s="550"/>
      <c r="BR11" s="551"/>
      <c r="BS11" s="552"/>
      <c r="BT11" s="552"/>
      <c r="BU11" s="3"/>
      <c r="BV11" s="3"/>
      <c r="BW11" s="3"/>
      <c r="BX11" s="3"/>
    </row>
    <row r="12" spans="1:76" s="553" customFormat="1" ht="102" customHeight="1" x14ac:dyDescent="0.25">
      <c r="A12" s="62"/>
      <c r="B12" s="560"/>
      <c r="C12" s="560"/>
      <c r="D12" s="3602"/>
      <c r="E12" s="3872"/>
      <c r="F12" s="3604"/>
      <c r="G12" s="3874">
        <v>1702011</v>
      </c>
      <c r="H12" s="3876" t="s">
        <v>356</v>
      </c>
      <c r="I12" s="2778" t="s">
        <v>357</v>
      </c>
      <c r="J12" s="3877" t="s">
        <v>358</v>
      </c>
      <c r="K12" s="2963">
        <v>30</v>
      </c>
      <c r="L12" s="3399">
        <v>25</v>
      </c>
      <c r="M12" s="3871" t="s">
        <v>359</v>
      </c>
      <c r="N12" s="2776" t="s">
        <v>360</v>
      </c>
      <c r="O12" s="2778" t="s">
        <v>361</v>
      </c>
      <c r="P12" s="2874">
        <v>0.85600760159770095</v>
      </c>
      <c r="Q12" s="3868">
        <v>389627523.97000003</v>
      </c>
      <c r="R12" s="2865" t="s">
        <v>362</v>
      </c>
      <c r="S12" s="2621" t="s">
        <v>363</v>
      </c>
      <c r="T12" s="268" t="s">
        <v>364</v>
      </c>
      <c r="U12" s="2463">
        <v>160049999</v>
      </c>
      <c r="V12" s="2463">
        <v>160049999</v>
      </c>
      <c r="W12" s="2463">
        <v>160049999</v>
      </c>
      <c r="X12" s="561">
        <v>20</v>
      </c>
      <c r="Y12" s="2212" t="s">
        <v>85</v>
      </c>
      <c r="Z12" s="3870">
        <v>170</v>
      </c>
      <c r="AA12" s="3866">
        <v>30</v>
      </c>
      <c r="AB12" s="3866">
        <v>200</v>
      </c>
      <c r="AC12" s="3866">
        <v>45</v>
      </c>
      <c r="AD12" s="3866">
        <v>0</v>
      </c>
      <c r="AE12" s="3866">
        <v>0</v>
      </c>
      <c r="AF12" s="3866">
        <v>0</v>
      </c>
      <c r="AG12" s="3866">
        <v>0</v>
      </c>
      <c r="AH12" s="3866">
        <v>300</v>
      </c>
      <c r="AI12" s="3866">
        <v>0</v>
      </c>
      <c r="AJ12" s="3866">
        <v>10</v>
      </c>
      <c r="AK12" s="3866">
        <v>10</v>
      </c>
      <c r="AL12" s="3866">
        <v>0</v>
      </c>
      <c r="AM12" s="3866">
        <v>0</v>
      </c>
      <c r="AN12" s="3866">
        <v>0</v>
      </c>
      <c r="AO12" s="3866">
        <v>0</v>
      </c>
      <c r="AP12" s="3866">
        <v>0</v>
      </c>
      <c r="AQ12" s="3866"/>
      <c r="AR12" s="3866">
        <v>0</v>
      </c>
      <c r="AS12" s="3866"/>
      <c r="AT12" s="3866">
        <v>0</v>
      </c>
      <c r="AU12" s="3866"/>
      <c r="AV12" s="3866">
        <v>0</v>
      </c>
      <c r="AW12" s="3866"/>
      <c r="AX12" s="3866">
        <v>0</v>
      </c>
      <c r="AY12" s="3866"/>
      <c r="AZ12" s="3866">
        <v>0</v>
      </c>
      <c r="BA12" s="3866"/>
      <c r="BB12" s="3866">
        <v>0</v>
      </c>
      <c r="BC12" s="3866"/>
      <c r="BD12" s="3866">
        <v>370</v>
      </c>
      <c r="BE12" s="3866">
        <v>75</v>
      </c>
      <c r="BF12" s="3500">
        <v>16</v>
      </c>
      <c r="BG12" s="2851">
        <f>+V12+V13+V14</f>
        <v>160049999</v>
      </c>
      <c r="BH12" s="2851">
        <f>+W12+W13+W14</f>
        <v>160049999</v>
      </c>
      <c r="BI12" s="2854">
        <f>+BH12/BG12</f>
        <v>1</v>
      </c>
      <c r="BJ12" s="3500" t="s">
        <v>365</v>
      </c>
      <c r="BK12" s="3500" t="s">
        <v>366</v>
      </c>
      <c r="BL12" s="3856">
        <v>43832</v>
      </c>
      <c r="BM12" s="3856">
        <v>43857</v>
      </c>
      <c r="BN12" s="3856">
        <v>44012</v>
      </c>
      <c r="BO12" s="3858">
        <v>44009</v>
      </c>
      <c r="BP12" s="3860" t="s">
        <v>367</v>
      </c>
      <c r="BQ12" s="156"/>
      <c r="BR12" s="552"/>
      <c r="BS12" s="552"/>
      <c r="BT12" s="552"/>
      <c r="BU12" s="71"/>
      <c r="BV12" s="71"/>
    </row>
    <row r="13" spans="1:76" s="553" customFormat="1" ht="102" customHeight="1" x14ac:dyDescent="0.25">
      <c r="A13" s="424"/>
      <c r="B13" s="562"/>
      <c r="C13" s="562"/>
      <c r="D13" s="3603"/>
      <c r="E13" s="3873"/>
      <c r="F13" s="3605"/>
      <c r="G13" s="3875"/>
      <c r="H13" s="3744"/>
      <c r="I13" s="2779"/>
      <c r="J13" s="3878"/>
      <c r="K13" s="3264"/>
      <c r="L13" s="2963"/>
      <c r="M13" s="2873"/>
      <c r="N13" s="2777"/>
      <c r="O13" s="2779"/>
      <c r="P13" s="2816"/>
      <c r="Q13" s="3869"/>
      <c r="R13" s="2717"/>
      <c r="S13" s="2608"/>
      <c r="T13" s="380" t="s">
        <v>368</v>
      </c>
      <c r="U13" s="461">
        <v>100000000</v>
      </c>
      <c r="V13" s="461">
        <v>0</v>
      </c>
      <c r="W13" s="2463">
        <v>0</v>
      </c>
      <c r="X13" s="376">
        <v>88</v>
      </c>
      <c r="Y13" s="2212" t="s">
        <v>369</v>
      </c>
      <c r="Z13" s="3870"/>
      <c r="AA13" s="3867"/>
      <c r="AB13" s="3867"/>
      <c r="AC13" s="3867"/>
      <c r="AD13" s="3867"/>
      <c r="AE13" s="3867"/>
      <c r="AF13" s="3867"/>
      <c r="AG13" s="3867"/>
      <c r="AH13" s="3867"/>
      <c r="AI13" s="3867"/>
      <c r="AJ13" s="3867"/>
      <c r="AK13" s="3867"/>
      <c r="AL13" s="3867"/>
      <c r="AM13" s="3867"/>
      <c r="AN13" s="3867"/>
      <c r="AO13" s="3867"/>
      <c r="AP13" s="3867"/>
      <c r="AQ13" s="3867"/>
      <c r="AR13" s="3867"/>
      <c r="AS13" s="3867"/>
      <c r="AT13" s="3867"/>
      <c r="AU13" s="3867"/>
      <c r="AV13" s="3867"/>
      <c r="AW13" s="3867"/>
      <c r="AX13" s="3867"/>
      <c r="AY13" s="3867"/>
      <c r="AZ13" s="3867"/>
      <c r="BA13" s="3867"/>
      <c r="BB13" s="3867"/>
      <c r="BC13" s="3867"/>
      <c r="BD13" s="3867"/>
      <c r="BE13" s="3867"/>
      <c r="BF13" s="3865"/>
      <c r="BG13" s="2852"/>
      <c r="BH13" s="2852"/>
      <c r="BI13" s="2855"/>
      <c r="BJ13" s="3865"/>
      <c r="BK13" s="3865"/>
      <c r="BL13" s="3857"/>
      <c r="BM13" s="3857"/>
      <c r="BN13" s="3857"/>
      <c r="BO13" s="3859"/>
      <c r="BP13" s="3860"/>
      <c r="BQ13" s="71"/>
      <c r="BR13" s="3"/>
      <c r="BS13" s="3"/>
      <c r="BT13" s="3"/>
      <c r="BU13" s="3"/>
      <c r="BV13" s="3"/>
    </row>
    <row r="14" spans="1:76" s="553" customFormat="1" ht="102" customHeight="1" x14ac:dyDescent="0.25">
      <c r="A14" s="424"/>
      <c r="B14" s="562"/>
      <c r="C14" s="562"/>
      <c r="D14" s="424"/>
      <c r="E14" s="3873"/>
      <c r="F14" s="3605"/>
      <c r="G14" s="563">
        <v>1702007</v>
      </c>
      <c r="H14" s="1870" t="s">
        <v>370</v>
      </c>
      <c r="I14" s="379" t="s">
        <v>371</v>
      </c>
      <c r="J14" s="565" t="s">
        <v>372</v>
      </c>
      <c r="K14" s="381">
        <v>5</v>
      </c>
      <c r="L14" s="566">
        <v>0</v>
      </c>
      <c r="M14" s="2873"/>
      <c r="N14" s="2777"/>
      <c r="O14" s="2779"/>
      <c r="P14" s="383">
        <v>0.14399239840229908</v>
      </c>
      <c r="Q14" s="3869"/>
      <c r="R14" s="2717"/>
      <c r="S14" s="2608"/>
      <c r="T14" s="380" t="s">
        <v>373</v>
      </c>
      <c r="U14" s="461">
        <v>129577524.97</v>
      </c>
      <c r="V14" s="461">
        <v>0</v>
      </c>
      <c r="W14" s="461">
        <v>0</v>
      </c>
      <c r="X14" s="376">
        <v>88</v>
      </c>
      <c r="Y14" s="2212" t="s">
        <v>369</v>
      </c>
      <c r="Z14" s="3870"/>
      <c r="AA14" s="3867"/>
      <c r="AB14" s="3867"/>
      <c r="AC14" s="3867"/>
      <c r="AD14" s="3867"/>
      <c r="AE14" s="3867"/>
      <c r="AF14" s="3867"/>
      <c r="AG14" s="3867"/>
      <c r="AH14" s="3867"/>
      <c r="AI14" s="3867"/>
      <c r="AJ14" s="3867"/>
      <c r="AK14" s="3867"/>
      <c r="AL14" s="3867"/>
      <c r="AM14" s="3867"/>
      <c r="AN14" s="3867"/>
      <c r="AO14" s="3867"/>
      <c r="AP14" s="3867"/>
      <c r="AQ14" s="3867"/>
      <c r="AR14" s="3867"/>
      <c r="AS14" s="3867"/>
      <c r="AT14" s="3867"/>
      <c r="AU14" s="3867"/>
      <c r="AV14" s="3867"/>
      <c r="AW14" s="3867"/>
      <c r="AX14" s="3867"/>
      <c r="AY14" s="3867"/>
      <c r="AZ14" s="3867"/>
      <c r="BA14" s="3867"/>
      <c r="BB14" s="3867"/>
      <c r="BC14" s="3867"/>
      <c r="BD14" s="3867"/>
      <c r="BE14" s="3867"/>
      <c r="BF14" s="3865"/>
      <c r="BG14" s="2852"/>
      <c r="BH14" s="2852"/>
      <c r="BI14" s="2855"/>
      <c r="BJ14" s="3865"/>
      <c r="BK14" s="3865"/>
      <c r="BL14" s="3857"/>
      <c r="BM14" s="3857"/>
      <c r="BN14" s="3857"/>
      <c r="BO14" s="3859"/>
      <c r="BP14" s="3860"/>
      <c r="BQ14" s="71"/>
      <c r="BR14" s="3"/>
      <c r="BS14" s="3"/>
      <c r="BT14" s="3"/>
      <c r="BU14" s="3"/>
      <c r="BV14" s="3"/>
    </row>
    <row r="15" spans="1:76" s="553" customFormat="1" ht="30" x14ac:dyDescent="0.25">
      <c r="A15" s="424"/>
      <c r="B15" s="562"/>
      <c r="C15" s="562"/>
      <c r="D15" s="424"/>
      <c r="E15" s="562"/>
      <c r="F15" s="434"/>
      <c r="G15" s="3861">
        <v>1702017</v>
      </c>
      <c r="H15" s="3744" t="s">
        <v>374</v>
      </c>
      <c r="I15" s="2779" t="s">
        <v>375</v>
      </c>
      <c r="J15" s="2787" t="s">
        <v>376</v>
      </c>
      <c r="K15" s="3863">
        <v>250</v>
      </c>
      <c r="L15" s="3864">
        <v>240</v>
      </c>
      <c r="M15" s="2625" t="s">
        <v>377</v>
      </c>
      <c r="N15" s="2620" t="s">
        <v>378</v>
      </c>
      <c r="O15" s="3852" t="s">
        <v>379</v>
      </c>
      <c r="P15" s="3731">
        <v>1</v>
      </c>
      <c r="Q15" s="3854">
        <v>110000000</v>
      </c>
      <c r="R15" s="2608" t="s">
        <v>380</v>
      </c>
      <c r="S15" s="2717" t="s">
        <v>381</v>
      </c>
      <c r="T15" s="2779" t="s">
        <v>382</v>
      </c>
      <c r="U15" s="2463">
        <v>533334</v>
      </c>
      <c r="V15" s="2463">
        <v>0</v>
      </c>
      <c r="W15" s="2463"/>
      <c r="X15" s="376" t="s">
        <v>383</v>
      </c>
      <c r="Y15" s="2212" t="s">
        <v>85</v>
      </c>
      <c r="Z15" s="3846">
        <v>2608</v>
      </c>
      <c r="AA15" s="3846">
        <v>125</v>
      </c>
      <c r="AB15" s="3846">
        <v>2992</v>
      </c>
      <c r="AC15" s="3846">
        <v>225</v>
      </c>
      <c r="AD15" s="3846">
        <v>1100</v>
      </c>
      <c r="AE15" s="2634">
        <v>0</v>
      </c>
      <c r="AF15" s="2634">
        <v>465</v>
      </c>
      <c r="AG15" s="2634">
        <v>0</v>
      </c>
      <c r="AH15" s="2634">
        <v>3441</v>
      </c>
      <c r="AI15" s="2634">
        <v>0</v>
      </c>
      <c r="AJ15" s="2634">
        <v>594</v>
      </c>
      <c r="AK15" s="2634">
        <v>0</v>
      </c>
      <c r="AL15" s="2634">
        <v>40</v>
      </c>
      <c r="AM15" s="2634">
        <v>0</v>
      </c>
      <c r="AN15" s="2634">
        <v>50</v>
      </c>
      <c r="AO15" s="2634"/>
      <c r="AP15" s="2634">
        <v>0</v>
      </c>
      <c r="AQ15" s="2634"/>
      <c r="AR15" s="2634">
        <v>0</v>
      </c>
      <c r="AS15" s="2634"/>
      <c r="AT15" s="2634">
        <v>0</v>
      </c>
      <c r="AU15" s="2634"/>
      <c r="AV15" s="2634">
        <v>0</v>
      </c>
      <c r="AW15" s="2634"/>
      <c r="AX15" s="2634">
        <v>80</v>
      </c>
      <c r="AY15" s="2634"/>
      <c r="AZ15" s="2634">
        <v>10</v>
      </c>
      <c r="BA15" s="2634"/>
      <c r="BB15" s="2634">
        <v>0</v>
      </c>
      <c r="BC15" s="2634"/>
      <c r="BD15" s="2634">
        <v>5600</v>
      </c>
      <c r="BE15" s="2634">
        <v>350</v>
      </c>
      <c r="BF15" s="3821">
        <v>6</v>
      </c>
      <c r="BG15" s="3822">
        <f>+V15+V16+V17+V18+V19</f>
        <v>58633332</v>
      </c>
      <c r="BH15" s="3822">
        <f>+W15+W16+W17+W18+W19</f>
        <v>58633332</v>
      </c>
      <c r="BI15" s="3731">
        <f>+BH15/BG15</f>
        <v>1</v>
      </c>
      <c r="BJ15" s="3820" t="s">
        <v>365</v>
      </c>
      <c r="BK15" s="3820" t="s">
        <v>384</v>
      </c>
      <c r="BL15" s="3818">
        <v>43832</v>
      </c>
      <c r="BM15" s="3818">
        <v>43864</v>
      </c>
      <c r="BN15" s="3818">
        <v>44195</v>
      </c>
      <c r="BO15" s="3849">
        <v>44188</v>
      </c>
      <c r="BP15" s="3678" t="s">
        <v>367</v>
      </c>
      <c r="BQ15" s="71"/>
      <c r="BR15" s="4"/>
      <c r="BS15" s="4"/>
      <c r="BT15" s="4"/>
      <c r="BU15" s="4"/>
      <c r="BV15" s="4"/>
    </row>
    <row r="16" spans="1:76" s="553" customFormat="1" ht="60" x14ac:dyDescent="0.25">
      <c r="A16" s="424"/>
      <c r="B16" s="562"/>
      <c r="C16" s="562"/>
      <c r="D16" s="424"/>
      <c r="E16" s="562"/>
      <c r="F16" s="434"/>
      <c r="G16" s="3861"/>
      <c r="H16" s="3744"/>
      <c r="I16" s="2779"/>
      <c r="J16" s="2698"/>
      <c r="K16" s="3708"/>
      <c r="L16" s="2811"/>
      <c r="M16" s="2625"/>
      <c r="N16" s="2620"/>
      <c r="O16" s="3852"/>
      <c r="P16" s="3731"/>
      <c r="Q16" s="3854"/>
      <c r="R16" s="2608"/>
      <c r="S16" s="2717"/>
      <c r="T16" s="2779"/>
      <c r="U16" s="2463">
        <v>8000000</v>
      </c>
      <c r="V16" s="2463">
        <v>7166666</v>
      </c>
      <c r="W16" s="2463">
        <v>7166666</v>
      </c>
      <c r="X16" s="376">
        <v>88</v>
      </c>
      <c r="Y16" s="2212" t="s">
        <v>369</v>
      </c>
      <c r="Z16" s="3846"/>
      <c r="AA16" s="3846"/>
      <c r="AB16" s="3846"/>
      <c r="AC16" s="3846"/>
      <c r="AD16" s="3846"/>
      <c r="AE16" s="2634"/>
      <c r="AF16" s="2634"/>
      <c r="AG16" s="2634"/>
      <c r="AH16" s="2634"/>
      <c r="AI16" s="2634"/>
      <c r="AJ16" s="2634"/>
      <c r="AK16" s="2634"/>
      <c r="AL16" s="2634"/>
      <c r="AM16" s="2634"/>
      <c r="AN16" s="2634"/>
      <c r="AO16" s="2634"/>
      <c r="AP16" s="2634"/>
      <c r="AQ16" s="2634"/>
      <c r="AR16" s="2634"/>
      <c r="AS16" s="2634"/>
      <c r="AT16" s="2634"/>
      <c r="AU16" s="2634"/>
      <c r="AV16" s="2634"/>
      <c r="AW16" s="2634"/>
      <c r="AX16" s="2634"/>
      <c r="AY16" s="2634"/>
      <c r="AZ16" s="2634"/>
      <c r="BA16" s="2634"/>
      <c r="BB16" s="2634"/>
      <c r="BC16" s="2634"/>
      <c r="BD16" s="2634"/>
      <c r="BE16" s="2634"/>
      <c r="BF16" s="3821"/>
      <c r="BG16" s="3822"/>
      <c r="BH16" s="3822"/>
      <c r="BI16" s="3731"/>
      <c r="BJ16" s="3821"/>
      <c r="BK16" s="3820"/>
      <c r="BL16" s="3818"/>
      <c r="BM16" s="3818"/>
      <c r="BN16" s="3818"/>
      <c r="BO16" s="3849"/>
      <c r="BP16" s="3820"/>
      <c r="BQ16" s="71"/>
      <c r="BR16" s="4"/>
      <c r="BS16" s="4"/>
      <c r="BT16" s="4"/>
      <c r="BU16" s="4"/>
      <c r="BV16" s="4"/>
    </row>
    <row r="17" spans="1:69" s="553" customFormat="1" ht="90" customHeight="1" x14ac:dyDescent="0.25">
      <c r="A17" s="424"/>
      <c r="B17" s="562"/>
      <c r="C17" s="562"/>
      <c r="D17" s="424"/>
      <c r="E17" s="562"/>
      <c r="F17" s="434"/>
      <c r="G17" s="3861"/>
      <c r="H17" s="3744"/>
      <c r="I17" s="2779"/>
      <c r="J17" s="2698"/>
      <c r="K17" s="3708"/>
      <c r="L17" s="2811"/>
      <c r="M17" s="2625"/>
      <c r="N17" s="2620"/>
      <c r="O17" s="3852"/>
      <c r="P17" s="3731"/>
      <c r="Q17" s="3854"/>
      <c r="R17" s="2608"/>
      <c r="S17" s="2717"/>
      <c r="T17" s="567" t="s">
        <v>385</v>
      </c>
      <c r="U17" s="2463">
        <v>51466666</v>
      </c>
      <c r="V17" s="2463">
        <v>51466666</v>
      </c>
      <c r="W17" s="2463">
        <v>51466666</v>
      </c>
      <c r="X17" s="376" t="s">
        <v>383</v>
      </c>
      <c r="Y17" s="2212" t="s">
        <v>85</v>
      </c>
      <c r="Z17" s="3846"/>
      <c r="AA17" s="3846"/>
      <c r="AB17" s="3846"/>
      <c r="AC17" s="3846"/>
      <c r="AD17" s="3846"/>
      <c r="AE17" s="2634"/>
      <c r="AF17" s="2634"/>
      <c r="AG17" s="2634"/>
      <c r="AH17" s="2634"/>
      <c r="AI17" s="2634"/>
      <c r="AJ17" s="2634"/>
      <c r="AK17" s="2634"/>
      <c r="AL17" s="2634"/>
      <c r="AM17" s="2634"/>
      <c r="AN17" s="2634"/>
      <c r="AO17" s="2634"/>
      <c r="AP17" s="2634"/>
      <c r="AQ17" s="2634"/>
      <c r="AR17" s="2634"/>
      <c r="AS17" s="2634"/>
      <c r="AT17" s="2634"/>
      <c r="AU17" s="2634"/>
      <c r="AV17" s="2634"/>
      <c r="AW17" s="2634"/>
      <c r="AX17" s="2634"/>
      <c r="AY17" s="2634"/>
      <c r="AZ17" s="2634"/>
      <c r="BA17" s="2634"/>
      <c r="BB17" s="2634"/>
      <c r="BC17" s="2634"/>
      <c r="BD17" s="2634"/>
      <c r="BE17" s="2634"/>
      <c r="BF17" s="3821"/>
      <c r="BG17" s="3822"/>
      <c r="BH17" s="3822"/>
      <c r="BI17" s="3731"/>
      <c r="BJ17" s="3821"/>
      <c r="BK17" s="3820"/>
      <c r="BL17" s="3818"/>
      <c r="BM17" s="3818"/>
      <c r="BN17" s="3818"/>
      <c r="BO17" s="3849"/>
      <c r="BP17" s="3820"/>
      <c r="BQ17" s="568"/>
    </row>
    <row r="18" spans="1:69" s="553" customFormat="1" ht="60" x14ac:dyDescent="0.25">
      <c r="A18" s="424"/>
      <c r="B18" s="562"/>
      <c r="C18" s="562"/>
      <c r="D18" s="424"/>
      <c r="E18" s="562"/>
      <c r="F18" s="434"/>
      <c r="G18" s="3861"/>
      <c r="H18" s="3744"/>
      <c r="I18" s="2779"/>
      <c r="J18" s="2698"/>
      <c r="K18" s="3708"/>
      <c r="L18" s="2811"/>
      <c r="M18" s="2625"/>
      <c r="N18" s="2620"/>
      <c r="O18" s="3852"/>
      <c r="P18" s="3731"/>
      <c r="Q18" s="3854"/>
      <c r="R18" s="2608"/>
      <c r="S18" s="3106"/>
      <c r="T18" s="2779" t="s">
        <v>368</v>
      </c>
      <c r="U18" s="2464">
        <v>30000000</v>
      </c>
      <c r="V18" s="2463">
        <v>0</v>
      </c>
      <c r="W18" s="2463">
        <v>0</v>
      </c>
      <c r="X18" s="376">
        <v>88</v>
      </c>
      <c r="Y18" s="2212" t="s">
        <v>369</v>
      </c>
      <c r="Z18" s="3846"/>
      <c r="AA18" s="3846"/>
      <c r="AB18" s="3846"/>
      <c r="AC18" s="3846"/>
      <c r="AD18" s="3846"/>
      <c r="AE18" s="2634"/>
      <c r="AF18" s="2634"/>
      <c r="AG18" s="2634"/>
      <c r="AH18" s="2634"/>
      <c r="AI18" s="2634"/>
      <c r="AJ18" s="2634"/>
      <c r="AK18" s="2634"/>
      <c r="AL18" s="2634"/>
      <c r="AM18" s="2634"/>
      <c r="AN18" s="2634"/>
      <c r="AO18" s="2634"/>
      <c r="AP18" s="2634"/>
      <c r="AQ18" s="2634"/>
      <c r="AR18" s="2634"/>
      <c r="AS18" s="2634"/>
      <c r="AT18" s="2634"/>
      <c r="AU18" s="2634"/>
      <c r="AV18" s="2634"/>
      <c r="AW18" s="2634"/>
      <c r="AX18" s="2634"/>
      <c r="AY18" s="2634"/>
      <c r="AZ18" s="2634"/>
      <c r="BA18" s="2634"/>
      <c r="BB18" s="2634"/>
      <c r="BC18" s="2634"/>
      <c r="BD18" s="2634"/>
      <c r="BE18" s="2634"/>
      <c r="BF18" s="3821"/>
      <c r="BG18" s="3822"/>
      <c r="BH18" s="3822"/>
      <c r="BI18" s="3731"/>
      <c r="BJ18" s="3821"/>
      <c r="BK18" s="3820"/>
      <c r="BL18" s="3818"/>
      <c r="BM18" s="3818"/>
      <c r="BN18" s="3818"/>
      <c r="BO18" s="3849"/>
      <c r="BP18" s="3820"/>
      <c r="BQ18" s="568"/>
    </row>
    <row r="19" spans="1:69" s="553" customFormat="1" ht="71.25" customHeight="1" x14ac:dyDescent="0.25">
      <c r="A19" s="424"/>
      <c r="B19" s="562"/>
      <c r="C19" s="562"/>
      <c r="D19" s="424"/>
      <c r="E19" s="562"/>
      <c r="F19" s="434"/>
      <c r="G19" s="3862"/>
      <c r="H19" s="3844"/>
      <c r="I19" s="3273"/>
      <c r="J19" s="2788"/>
      <c r="K19" s="3709"/>
      <c r="L19" s="2812"/>
      <c r="M19" s="2813"/>
      <c r="N19" s="2786"/>
      <c r="O19" s="3853"/>
      <c r="P19" s="3683"/>
      <c r="Q19" s="3855"/>
      <c r="R19" s="2645"/>
      <c r="S19" s="3851"/>
      <c r="T19" s="3273"/>
      <c r="U19" s="2465">
        <v>20000000</v>
      </c>
      <c r="V19" s="2466">
        <v>0</v>
      </c>
      <c r="W19" s="2466">
        <v>0</v>
      </c>
      <c r="X19" s="569">
        <v>20</v>
      </c>
      <c r="Y19" s="2212" t="s">
        <v>85</v>
      </c>
      <c r="Z19" s="2810"/>
      <c r="AA19" s="2810"/>
      <c r="AB19" s="2810"/>
      <c r="AC19" s="2810"/>
      <c r="AD19" s="2810"/>
      <c r="AE19" s="2635"/>
      <c r="AF19" s="2635"/>
      <c r="AG19" s="2635"/>
      <c r="AH19" s="2635"/>
      <c r="AI19" s="2635"/>
      <c r="AJ19" s="2635"/>
      <c r="AK19" s="2635"/>
      <c r="AL19" s="2635"/>
      <c r="AM19" s="2635"/>
      <c r="AN19" s="2635"/>
      <c r="AO19" s="2635"/>
      <c r="AP19" s="2635"/>
      <c r="AQ19" s="2635"/>
      <c r="AR19" s="2635"/>
      <c r="AS19" s="2635"/>
      <c r="AT19" s="2635"/>
      <c r="AU19" s="2635"/>
      <c r="AV19" s="2635"/>
      <c r="AW19" s="2635"/>
      <c r="AX19" s="2635"/>
      <c r="AY19" s="2635"/>
      <c r="AZ19" s="2635"/>
      <c r="BA19" s="2635"/>
      <c r="BB19" s="2635"/>
      <c r="BC19" s="2635"/>
      <c r="BD19" s="2635"/>
      <c r="BE19" s="2635"/>
      <c r="BF19" s="3690"/>
      <c r="BG19" s="3692"/>
      <c r="BH19" s="3692"/>
      <c r="BI19" s="3683"/>
      <c r="BJ19" s="3690"/>
      <c r="BK19" s="3685"/>
      <c r="BL19" s="3686"/>
      <c r="BM19" s="3686"/>
      <c r="BN19" s="3686"/>
      <c r="BO19" s="3850"/>
      <c r="BP19" s="3685"/>
      <c r="BQ19" s="568"/>
    </row>
    <row r="20" spans="1:69" s="553" customFormat="1" ht="56.25" customHeight="1" x14ac:dyDescent="0.25">
      <c r="A20" s="424"/>
      <c r="B20" s="562"/>
      <c r="C20" s="562"/>
      <c r="D20" s="424"/>
      <c r="E20" s="562"/>
      <c r="F20" s="434"/>
      <c r="G20" s="3743">
        <v>1702038</v>
      </c>
      <c r="H20" s="3744" t="s">
        <v>386</v>
      </c>
      <c r="I20" s="2779" t="s">
        <v>387</v>
      </c>
      <c r="J20" s="3189" t="s">
        <v>388</v>
      </c>
      <c r="K20" s="2810">
        <v>30</v>
      </c>
      <c r="L20" s="2810">
        <v>21</v>
      </c>
      <c r="M20" s="2625" t="s">
        <v>389</v>
      </c>
      <c r="N20" s="3264" t="s">
        <v>390</v>
      </c>
      <c r="O20" s="2779" t="s">
        <v>391</v>
      </c>
      <c r="P20" s="3731">
        <f>+(U20+U21+U22)/(114200000)</f>
        <v>0.18739054290718038</v>
      </c>
      <c r="Q20" s="3847">
        <v>61400000</v>
      </c>
      <c r="R20" s="2717" t="s">
        <v>392</v>
      </c>
      <c r="S20" s="2717" t="s">
        <v>393</v>
      </c>
      <c r="T20" s="380" t="s">
        <v>394</v>
      </c>
      <c r="U20" s="2463">
        <v>6400000</v>
      </c>
      <c r="V20" s="2463">
        <v>6400000</v>
      </c>
      <c r="W20" s="2463">
        <v>6400000</v>
      </c>
      <c r="X20" s="561">
        <v>88</v>
      </c>
      <c r="Y20" s="2212" t="s">
        <v>395</v>
      </c>
      <c r="Z20" s="3846">
        <v>100</v>
      </c>
      <c r="AA20" s="3846">
        <v>20</v>
      </c>
      <c r="AB20" s="3846">
        <v>60</v>
      </c>
      <c r="AC20" s="3846">
        <v>15</v>
      </c>
      <c r="AD20" s="3846">
        <v>0</v>
      </c>
      <c r="AE20" s="2634"/>
      <c r="AF20" s="2634">
        <v>0</v>
      </c>
      <c r="AG20" s="2634"/>
      <c r="AH20" s="2634">
        <v>110</v>
      </c>
      <c r="AI20" s="2634"/>
      <c r="AJ20" s="2634">
        <v>50</v>
      </c>
      <c r="AK20" s="2634"/>
      <c r="AL20" s="2634">
        <v>0</v>
      </c>
      <c r="AM20" s="2634"/>
      <c r="AN20" s="2634">
        <v>0</v>
      </c>
      <c r="AO20" s="2634"/>
      <c r="AP20" s="2634">
        <v>0</v>
      </c>
      <c r="AQ20" s="2634"/>
      <c r="AR20" s="2634">
        <v>0</v>
      </c>
      <c r="AS20" s="2634"/>
      <c r="AT20" s="2634">
        <v>0</v>
      </c>
      <c r="AU20" s="2634"/>
      <c r="AV20" s="2634">
        <v>0</v>
      </c>
      <c r="AW20" s="2634"/>
      <c r="AX20" s="2634">
        <v>0</v>
      </c>
      <c r="AY20" s="2634"/>
      <c r="AZ20" s="2634">
        <v>0</v>
      </c>
      <c r="BA20" s="2634"/>
      <c r="BB20" s="2634">
        <v>0</v>
      </c>
      <c r="BC20" s="2634"/>
      <c r="BD20" s="2634">
        <v>160</v>
      </c>
      <c r="BE20" s="2634">
        <v>35</v>
      </c>
      <c r="BF20" s="3821">
        <v>5</v>
      </c>
      <c r="BG20" s="3822">
        <f>+V20+V21+V22+V23+V24+V25</f>
        <v>59613333</v>
      </c>
      <c r="BH20" s="3822">
        <f>+W20+W21+W22+W23+W24+W25</f>
        <v>59613333</v>
      </c>
      <c r="BI20" s="3731">
        <f>+BH20/BG20</f>
        <v>1</v>
      </c>
      <c r="BJ20" s="3820" t="s">
        <v>365</v>
      </c>
      <c r="BK20" s="3820" t="s">
        <v>366</v>
      </c>
      <c r="BL20" s="3818">
        <v>43832</v>
      </c>
      <c r="BM20" s="3818">
        <v>43874</v>
      </c>
      <c r="BN20" s="3818">
        <v>44195</v>
      </c>
      <c r="BO20" s="3819">
        <v>44186</v>
      </c>
      <c r="BP20" s="3820" t="s">
        <v>367</v>
      </c>
      <c r="BQ20" s="568"/>
    </row>
    <row r="21" spans="1:69" s="553" customFormat="1" ht="51" customHeight="1" x14ac:dyDescent="0.25">
      <c r="A21" s="424"/>
      <c r="B21" s="562"/>
      <c r="C21" s="562"/>
      <c r="D21" s="424"/>
      <c r="E21" s="562"/>
      <c r="F21" s="434"/>
      <c r="G21" s="3743"/>
      <c r="H21" s="3744"/>
      <c r="I21" s="2779"/>
      <c r="J21" s="3189"/>
      <c r="K21" s="2811"/>
      <c r="L21" s="2811"/>
      <c r="M21" s="2625"/>
      <c r="N21" s="3264"/>
      <c r="O21" s="2779"/>
      <c r="P21" s="3731"/>
      <c r="Q21" s="3847"/>
      <c r="R21" s="2717"/>
      <c r="S21" s="2717"/>
      <c r="T21" s="380" t="s">
        <v>396</v>
      </c>
      <c r="U21" s="2463">
        <v>5000000</v>
      </c>
      <c r="V21" s="2463">
        <v>5000000</v>
      </c>
      <c r="W21" s="2463">
        <v>5000000</v>
      </c>
      <c r="X21" s="561">
        <v>20</v>
      </c>
      <c r="Y21" s="2212" t="s">
        <v>397</v>
      </c>
      <c r="Z21" s="3846"/>
      <c r="AA21" s="3846"/>
      <c r="AB21" s="3846"/>
      <c r="AC21" s="3846"/>
      <c r="AD21" s="3846"/>
      <c r="AE21" s="2634"/>
      <c r="AF21" s="2634"/>
      <c r="AG21" s="2634"/>
      <c r="AH21" s="2634"/>
      <c r="AI21" s="2634"/>
      <c r="AJ21" s="2634"/>
      <c r="AK21" s="2634"/>
      <c r="AL21" s="2634"/>
      <c r="AM21" s="2634"/>
      <c r="AN21" s="2634"/>
      <c r="AO21" s="2634"/>
      <c r="AP21" s="2634"/>
      <c r="AQ21" s="2634"/>
      <c r="AR21" s="2634"/>
      <c r="AS21" s="2634"/>
      <c r="AT21" s="2634"/>
      <c r="AU21" s="2634"/>
      <c r="AV21" s="2634"/>
      <c r="AW21" s="2634"/>
      <c r="AX21" s="2634"/>
      <c r="AY21" s="2634"/>
      <c r="AZ21" s="2634"/>
      <c r="BA21" s="2634"/>
      <c r="BB21" s="2634"/>
      <c r="BC21" s="2634"/>
      <c r="BD21" s="2634"/>
      <c r="BE21" s="2634"/>
      <c r="BF21" s="3821"/>
      <c r="BG21" s="3822"/>
      <c r="BH21" s="3822"/>
      <c r="BI21" s="3731"/>
      <c r="BJ21" s="3821"/>
      <c r="BK21" s="3820"/>
      <c r="BL21" s="3818"/>
      <c r="BM21" s="3818"/>
      <c r="BN21" s="3818"/>
      <c r="BO21" s="3819"/>
      <c r="BP21" s="3820"/>
      <c r="BQ21" s="568"/>
    </row>
    <row r="22" spans="1:69" s="553" customFormat="1" ht="45" x14ac:dyDescent="0.25">
      <c r="A22" s="424"/>
      <c r="B22" s="562"/>
      <c r="C22" s="562"/>
      <c r="D22" s="424"/>
      <c r="E22" s="562"/>
      <c r="F22" s="434"/>
      <c r="G22" s="3743"/>
      <c r="H22" s="3744"/>
      <c r="I22" s="2779"/>
      <c r="J22" s="3189"/>
      <c r="K22" s="2812"/>
      <c r="L22" s="2812"/>
      <c r="M22" s="2625"/>
      <c r="N22" s="3264"/>
      <c r="O22" s="2779"/>
      <c r="P22" s="3731"/>
      <c r="Q22" s="3847"/>
      <c r="R22" s="2717"/>
      <c r="S22" s="2717"/>
      <c r="T22" s="380" t="s">
        <v>398</v>
      </c>
      <c r="U22" s="2463">
        <v>10000000</v>
      </c>
      <c r="V22" s="2463">
        <v>9000000</v>
      </c>
      <c r="W22" s="2463">
        <v>9000000</v>
      </c>
      <c r="X22" s="561">
        <v>88</v>
      </c>
      <c r="Y22" s="2212" t="s">
        <v>395</v>
      </c>
      <c r="Z22" s="3846"/>
      <c r="AA22" s="3846"/>
      <c r="AB22" s="3846"/>
      <c r="AC22" s="3846"/>
      <c r="AD22" s="3846"/>
      <c r="AE22" s="2634"/>
      <c r="AF22" s="2634"/>
      <c r="AG22" s="2634"/>
      <c r="AH22" s="2634"/>
      <c r="AI22" s="2634"/>
      <c r="AJ22" s="2634"/>
      <c r="AK22" s="2634"/>
      <c r="AL22" s="2634"/>
      <c r="AM22" s="2634"/>
      <c r="AN22" s="2634"/>
      <c r="AO22" s="2634"/>
      <c r="AP22" s="2634"/>
      <c r="AQ22" s="2634"/>
      <c r="AR22" s="2634"/>
      <c r="AS22" s="2634"/>
      <c r="AT22" s="2634"/>
      <c r="AU22" s="2634"/>
      <c r="AV22" s="2634"/>
      <c r="AW22" s="2634"/>
      <c r="AX22" s="2634"/>
      <c r="AY22" s="2634"/>
      <c r="AZ22" s="2634"/>
      <c r="BA22" s="2634"/>
      <c r="BB22" s="2634"/>
      <c r="BC22" s="2634"/>
      <c r="BD22" s="2634"/>
      <c r="BE22" s="2634"/>
      <c r="BF22" s="3821"/>
      <c r="BG22" s="3822"/>
      <c r="BH22" s="3822"/>
      <c r="BI22" s="3731"/>
      <c r="BJ22" s="3821"/>
      <c r="BK22" s="3820"/>
      <c r="BL22" s="3818"/>
      <c r="BM22" s="3818"/>
      <c r="BN22" s="3818"/>
      <c r="BO22" s="3819"/>
      <c r="BP22" s="3820"/>
      <c r="BQ22" s="568"/>
    </row>
    <row r="23" spans="1:69" s="553" customFormat="1" ht="57" customHeight="1" x14ac:dyDescent="0.25">
      <c r="A23" s="424"/>
      <c r="B23" s="562"/>
      <c r="C23" s="562"/>
      <c r="D23" s="424"/>
      <c r="E23" s="562"/>
      <c r="F23" s="434"/>
      <c r="G23" s="3743"/>
      <c r="H23" s="3744" t="s">
        <v>386</v>
      </c>
      <c r="I23" s="2779"/>
      <c r="J23" s="3189" t="s">
        <v>399</v>
      </c>
      <c r="K23" s="2810">
        <v>60</v>
      </c>
      <c r="L23" s="2810">
        <v>50</v>
      </c>
      <c r="M23" s="2625"/>
      <c r="N23" s="3264"/>
      <c r="O23" s="2779"/>
      <c r="P23" s="3731">
        <f>+(U23+U24+U25)/(114200000)</f>
        <v>0.35026269702276708</v>
      </c>
      <c r="Q23" s="3847"/>
      <c r="R23" s="2717"/>
      <c r="S23" s="2717"/>
      <c r="T23" s="380" t="s">
        <v>400</v>
      </c>
      <c r="U23" s="2463">
        <v>9300000</v>
      </c>
      <c r="V23" s="2463">
        <v>8813333</v>
      </c>
      <c r="W23" s="2463">
        <v>8813333</v>
      </c>
      <c r="X23" s="561">
        <v>88</v>
      </c>
      <c r="Y23" s="2212" t="s">
        <v>395</v>
      </c>
      <c r="Z23" s="3846"/>
      <c r="AA23" s="3846"/>
      <c r="AB23" s="3846"/>
      <c r="AC23" s="3846"/>
      <c r="AD23" s="3846"/>
      <c r="AE23" s="2634"/>
      <c r="AF23" s="2634"/>
      <c r="AG23" s="2634"/>
      <c r="AH23" s="2634"/>
      <c r="AI23" s="2634"/>
      <c r="AJ23" s="2634"/>
      <c r="AK23" s="2634"/>
      <c r="AL23" s="2634"/>
      <c r="AM23" s="2634"/>
      <c r="AN23" s="2634"/>
      <c r="AO23" s="2634"/>
      <c r="AP23" s="2634"/>
      <c r="AQ23" s="2634"/>
      <c r="AR23" s="2634"/>
      <c r="AS23" s="2634"/>
      <c r="AT23" s="2634"/>
      <c r="AU23" s="2634"/>
      <c r="AV23" s="2634"/>
      <c r="AW23" s="2634"/>
      <c r="AX23" s="2634"/>
      <c r="AY23" s="2634"/>
      <c r="AZ23" s="2634"/>
      <c r="BA23" s="2634"/>
      <c r="BB23" s="2634"/>
      <c r="BC23" s="2634"/>
      <c r="BD23" s="2634"/>
      <c r="BE23" s="2634"/>
      <c r="BF23" s="3821"/>
      <c r="BG23" s="3822"/>
      <c r="BH23" s="3822"/>
      <c r="BI23" s="3731"/>
      <c r="BJ23" s="3821"/>
      <c r="BK23" s="3820"/>
      <c r="BL23" s="3818"/>
      <c r="BM23" s="3818"/>
      <c r="BN23" s="3818"/>
      <c r="BO23" s="3819"/>
      <c r="BP23" s="3820"/>
      <c r="BQ23" s="568"/>
    </row>
    <row r="24" spans="1:69" s="553" customFormat="1" ht="42" customHeight="1" x14ac:dyDescent="0.25">
      <c r="A24" s="424"/>
      <c r="B24" s="562"/>
      <c r="C24" s="562"/>
      <c r="D24" s="424"/>
      <c r="E24" s="562"/>
      <c r="F24" s="434"/>
      <c r="G24" s="3743"/>
      <c r="H24" s="3744"/>
      <c r="I24" s="2779"/>
      <c r="J24" s="3189"/>
      <c r="K24" s="2811"/>
      <c r="L24" s="2811"/>
      <c r="M24" s="2625"/>
      <c r="N24" s="3264"/>
      <c r="O24" s="2779"/>
      <c r="P24" s="3731"/>
      <c r="Q24" s="3847"/>
      <c r="R24" s="2717"/>
      <c r="S24" s="2717"/>
      <c r="T24" s="380" t="s">
        <v>396</v>
      </c>
      <c r="U24" s="2463">
        <v>21400000</v>
      </c>
      <c r="V24" s="2463">
        <v>21400000</v>
      </c>
      <c r="W24" s="2463">
        <v>21400000</v>
      </c>
      <c r="X24" s="561">
        <v>20</v>
      </c>
      <c r="Y24" s="2212" t="s">
        <v>397</v>
      </c>
      <c r="Z24" s="3846"/>
      <c r="AA24" s="3846"/>
      <c r="AB24" s="3846"/>
      <c r="AC24" s="3846"/>
      <c r="AD24" s="3846"/>
      <c r="AE24" s="2634"/>
      <c r="AF24" s="2634"/>
      <c r="AG24" s="2634"/>
      <c r="AH24" s="2634"/>
      <c r="AI24" s="2634"/>
      <c r="AJ24" s="2634"/>
      <c r="AK24" s="2634"/>
      <c r="AL24" s="2634"/>
      <c r="AM24" s="2634"/>
      <c r="AN24" s="2634"/>
      <c r="AO24" s="2634"/>
      <c r="AP24" s="2634"/>
      <c r="AQ24" s="2634"/>
      <c r="AR24" s="2634"/>
      <c r="AS24" s="2634"/>
      <c r="AT24" s="2634"/>
      <c r="AU24" s="2634"/>
      <c r="AV24" s="2634"/>
      <c r="AW24" s="2634"/>
      <c r="AX24" s="2634"/>
      <c r="AY24" s="2634"/>
      <c r="AZ24" s="2634"/>
      <c r="BA24" s="2634"/>
      <c r="BB24" s="2634"/>
      <c r="BC24" s="2634"/>
      <c r="BD24" s="2634"/>
      <c r="BE24" s="2634"/>
      <c r="BF24" s="3821"/>
      <c r="BG24" s="3822"/>
      <c r="BH24" s="3822"/>
      <c r="BI24" s="3731"/>
      <c r="BJ24" s="3821"/>
      <c r="BK24" s="3820"/>
      <c r="BL24" s="3818"/>
      <c r="BM24" s="3818"/>
      <c r="BN24" s="3818"/>
      <c r="BO24" s="3819"/>
      <c r="BP24" s="3820"/>
      <c r="BQ24" s="568"/>
    </row>
    <row r="25" spans="1:69" s="553" customFormat="1" ht="45" x14ac:dyDescent="0.25">
      <c r="A25" s="424"/>
      <c r="B25" s="562"/>
      <c r="C25" s="562"/>
      <c r="D25" s="424"/>
      <c r="E25" s="562"/>
      <c r="F25" s="434"/>
      <c r="G25" s="3743"/>
      <c r="H25" s="3844"/>
      <c r="I25" s="3273"/>
      <c r="J25" s="3070"/>
      <c r="K25" s="3845"/>
      <c r="L25" s="3845"/>
      <c r="M25" s="2813"/>
      <c r="N25" s="2962"/>
      <c r="O25" s="3273"/>
      <c r="P25" s="3683"/>
      <c r="Q25" s="3848"/>
      <c r="R25" s="2717"/>
      <c r="S25" s="2717"/>
      <c r="T25" s="380" t="s">
        <v>401</v>
      </c>
      <c r="U25" s="2463">
        <v>9300000</v>
      </c>
      <c r="V25" s="2466">
        <v>9000000</v>
      </c>
      <c r="W25" s="2466">
        <v>9000000</v>
      </c>
      <c r="X25" s="569">
        <v>88</v>
      </c>
      <c r="Y25" s="2212" t="s">
        <v>395</v>
      </c>
      <c r="Z25" s="3846"/>
      <c r="AA25" s="3846"/>
      <c r="AB25" s="3846"/>
      <c r="AC25" s="3846"/>
      <c r="AD25" s="3846"/>
      <c r="AE25" s="2634"/>
      <c r="AF25" s="2634"/>
      <c r="AG25" s="2634"/>
      <c r="AH25" s="2634"/>
      <c r="AI25" s="2634"/>
      <c r="AJ25" s="2634"/>
      <c r="AK25" s="2634"/>
      <c r="AL25" s="2634"/>
      <c r="AM25" s="2634"/>
      <c r="AN25" s="2634"/>
      <c r="AO25" s="2634"/>
      <c r="AP25" s="2634"/>
      <c r="AQ25" s="2634"/>
      <c r="AR25" s="2634"/>
      <c r="AS25" s="2634"/>
      <c r="AT25" s="2634"/>
      <c r="AU25" s="2634"/>
      <c r="AV25" s="2634"/>
      <c r="AW25" s="2634"/>
      <c r="AX25" s="2634"/>
      <c r="AY25" s="2634"/>
      <c r="AZ25" s="2634"/>
      <c r="BA25" s="2634"/>
      <c r="BB25" s="2634"/>
      <c r="BC25" s="2634"/>
      <c r="BD25" s="2634"/>
      <c r="BE25" s="2634"/>
      <c r="BF25" s="3821"/>
      <c r="BG25" s="3822"/>
      <c r="BH25" s="3822"/>
      <c r="BI25" s="3731"/>
      <c r="BJ25" s="3821"/>
      <c r="BK25" s="3820"/>
      <c r="BL25" s="3818"/>
      <c r="BM25" s="3818"/>
      <c r="BN25" s="3818"/>
      <c r="BO25" s="3819"/>
      <c r="BP25" s="3820"/>
      <c r="BQ25" s="568"/>
    </row>
    <row r="26" spans="1:69" s="553" customFormat="1" ht="86.25" customHeight="1" x14ac:dyDescent="0.25">
      <c r="A26" s="424"/>
      <c r="B26" s="562"/>
      <c r="C26" s="562"/>
      <c r="D26" s="424"/>
      <c r="E26" s="562"/>
      <c r="F26" s="434"/>
      <c r="G26" s="570">
        <v>1702023</v>
      </c>
      <c r="H26" s="1919" t="s">
        <v>402</v>
      </c>
      <c r="I26" s="571" t="s">
        <v>403</v>
      </c>
      <c r="J26" s="385" t="s">
        <v>404</v>
      </c>
      <c r="K26" s="362">
        <v>1</v>
      </c>
      <c r="L26" s="362">
        <v>1</v>
      </c>
      <c r="M26" s="2727" t="s">
        <v>405</v>
      </c>
      <c r="N26" s="3815" t="s">
        <v>406</v>
      </c>
      <c r="O26" s="3816" t="s">
        <v>407</v>
      </c>
      <c r="P26" s="572">
        <f>+U26/100000000</f>
        <v>0.15</v>
      </c>
      <c r="Q26" s="3843">
        <v>50000000</v>
      </c>
      <c r="R26" s="3840" t="s">
        <v>408</v>
      </c>
      <c r="S26" s="2708" t="s">
        <v>409</v>
      </c>
      <c r="T26" s="573" t="s">
        <v>410</v>
      </c>
      <c r="U26" s="2467">
        <v>15000000</v>
      </c>
      <c r="V26" s="2463">
        <v>14933315</v>
      </c>
      <c r="W26" s="2463">
        <v>14933315</v>
      </c>
      <c r="X26" s="569">
        <v>88</v>
      </c>
      <c r="Y26" s="2212" t="s">
        <v>395</v>
      </c>
      <c r="Z26" s="2790">
        <v>65000</v>
      </c>
      <c r="AA26" s="2790"/>
      <c r="AB26" s="2790">
        <v>65000</v>
      </c>
      <c r="AC26" s="2790"/>
      <c r="AD26" s="2790">
        <v>22000</v>
      </c>
      <c r="AE26" s="2790"/>
      <c r="AF26" s="2790">
        <v>14000</v>
      </c>
      <c r="AG26" s="2790"/>
      <c r="AH26" s="2790">
        <v>79000</v>
      </c>
      <c r="AI26" s="2790"/>
      <c r="AJ26" s="2790">
        <v>15000</v>
      </c>
      <c r="AK26" s="2790"/>
      <c r="AL26" s="2790"/>
      <c r="AM26" s="2790"/>
      <c r="AN26" s="2790"/>
      <c r="AO26" s="2790"/>
      <c r="AP26" s="2790"/>
      <c r="AQ26" s="2790"/>
      <c r="AR26" s="2790"/>
      <c r="AS26" s="2790"/>
      <c r="AT26" s="2790"/>
      <c r="AU26" s="2790"/>
      <c r="AV26" s="2790"/>
      <c r="AW26" s="2790"/>
      <c r="AX26" s="2790"/>
      <c r="AY26" s="2790"/>
      <c r="AZ26" s="2790"/>
      <c r="BA26" s="2790"/>
      <c r="BB26" s="2790"/>
      <c r="BC26" s="2790"/>
      <c r="BD26" s="2790">
        <v>130000</v>
      </c>
      <c r="BE26" s="2790"/>
      <c r="BF26" s="3641">
        <v>7</v>
      </c>
      <c r="BG26" s="3639">
        <f>+V26+V27</f>
        <v>49933315</v>
      </c>
      <c r="BH26" s="3639">
        <f>+W26+W27</f>
        <v>49933315</v>
      </c>
      <c r="BI26" s="3461">
        <f>+BH26/BG26</f>
        <v>1</v>
      </c>
      <c r="BJ26" s="3633" t="s">
        <v>411</v>
      </c>
      <c r="BK26" s="3633" t="s">
        <v>412</v>
      </c>
      <c r="BL26" s="3627">
        <v>44033</v>
      </c>
      <c r="BM26" s="3627">
        <v>44096</v>
      </c>
      <c r="BN26" s="3627">
        <v>44195</v>
      </c>
      <c r="BO26" s="3630">
        <v>44186</v>
      </c>
      <c r="BP26" s="3633" t="s">
        <v>367</v>
      </c>
      <c r="BQ26" s="568"/>
    </row>
    <row r="27" spans="1:69" s="553" customFormat="1" ht="217.5" customHeight="1" x14ac:dyDescent="0.25">
      <c r="A27" s="424"/>
      <c r="B27" s="562"/>
      <c r="C27" s="562"/>
      <c r="D27" s="424"/>
      <c r="E27" s="562"/>
      <c r="F27" s="434"/>
      <c r="G27" s="574">
        <v>1702024</v>
      </c>
      <c r="H27" s="1919" t="s">
        <v>413</v>
      </c>
      <c r="I27" s="571" t="s">
        <v>414</v>
      </c>
      <c r="J27" s="385" t="s">
        <v>415</v>
      </c>
      <c r="K27" s="362">
        <v>12</v>
      </c>
      <c r="L27" s="362">
        <v>12</v>
      </c>
      <c r="M27" s="2727"/>
      <c r="N27" s="3815"/>
      <c r="O27" s="3816"/>
      <c r="P27" s="572">
        <f>+U27/100000000</f>
        <v>0.35</v>
      </c>
      <c r="Q27" s="3843"/>
      <c r="R27" s="3842"/>
      <c r="S27" s="2709"/>
      <c r="T27" s="571" t="s">
        <v>416</v>
      </c>
      <c r="U27" s="2468">
        <v>35000000</v>
      </c>
      <c r="V27" s="2466">
        <v>35000000</v>
      </c>
      <c r="W27" s="2463">
        <v>35000000</v>
      </c>
      <c r="X27" s="569">
        <v>88</v>
      </c>
      <c r="Y27" s="2219" t="s">
        <v>395</v>
      </c>
      <c r="Z27" s="2791"/>
      <c r="AA27" s="2791"/>
      <c r="AB27" s="2791"/>
      <c r="AC27" s="2791"/>
      <c r="AD27" s="2791"/>
      <c r="AE27" s="2791"/>
      <c r="AF27" s="2791"/>
      <c r="AG27" s="2791"/>
      <c r="AH27" s="2791"/>
      <c r="AI27" s="2791"/>
      <c r="AJ27" s="2791"/>
      <c r="AK27" s="2791"/>
      <c r="AL27" s="2791"/>
      <c r="AM27" s="2791"/>
      <c r="AN27" s="2791"/>
      <c r="AO27" s="2791"/>
      <c r="AP27" s="2791"/>
      <c r="AQ27" s="2791"/>
      <c r="AR27" s="2791"/>
      <c r="AS27" s="2791"/>
      <c r="AT27" s="2791"/>
      <c r="AU27" s="2791"/>
      <c r="AV27" s="2791"/>
      <c r="AW27" s="2791"/>
      <c r="AX27" s="2791"/>
      <c r="AY27" s="2791"/>
      <c r="AZ27" s="2791"/>
      <c r="BA27" s="2791"/>
      <c r="BB27" s="2791"/>
      <c r="BC27" s="2791"/>
      <c r="BD27" s="2791"/>
      <c r="BE27" s="2791"/>
      <c r="BF27" s="3642"/>
      <c r="BG27" s="3640"/>
      <c r="BH27" s="3640"/>
      <c r="BI27" s="3462"/>
      <c r="BJ27" s="3634"/>
      <c r="BK27" s="3634"/>
      <c r="BL27" s="3628"/>
      <c r="BM27" s="3628"/>
      <c r="BN27" s="3628"/>
      <c r="BO27" s="3631"/>
      <c r="BP27" s="3634"/>
      <c r="BQ27" s="568"/>
    </row>
    <row r="28" spans="1:69" s="553" customFormat="1" ht="69" customHeight="1" x14ac:dyDescent="0.25">
      <c r="A28" s="424"/>
      <c r="B28" s="562"/>
      <c r="C28" s="562"/>
      <c r="D28" s="424"/>
      <c r="E28" s="562"/>
      <c r="F28" s="434"/>
      <c r="G28" s="577">
        <v>1702014</v>
      </c>
      <c r="H28" s="570" t="s">
        <v>417</v>
      </c>
      <c r="I28" s="571" t="s">
        <v>418</v>
      </c>
      <c r="J28" s="385" t="s">
        <v>419</v>
      </c>
      <c r="K28" s="362">
        <v>25</v>
      </c>
      <c r="L28" s="362">
        <v>0</v>
      </c>
      <c r="M28" s="2727" t="s">
        <v>420</v>
      </c>
      <c r="N28" s="3815" t="s">
        <v>421</v>
      </c>
      <c r="O28" s="2725" t="s">
        <v>422</v>
      </c>
      <c r="P28" s="572">
        <f>+U28/79000000</f>
        <v>0.12658227848101267</v>
      </c>
      <c r="Q28" s="3841">
        <v>39000000</v>
      </c>
      <c r="R28" s="3839" t="s">
        <v>423</v>
      </c>
      <c r="S28" s="2707" t="s">
        <v>424</v>
      </c>
      <c r="T28" s="571" t="s">
        <v>425</v>
      </c>
      <c r="U28" s="2468">
        <v>10000000</v>
      </c>
      <c r="V28" s="2463">
        <v>0</v>
      </c>
      <c r="W28" s="2463">
        <v>0</v>
      </c>
      <c r="X28" s="569">
        <v>88</v>
      </c>
      <c r="Y28" s="2219" t="s">
        <v>395</v>
      </c>
      <c r="Z28" s="3801">
        <v>25000</v>
      </c>
      <c r="AA28" s="3801"/>
      <c r="AB28" s="3801">
        <v>25000</v>
      </c>
      <c r="AC28" s="3801"/>
      <c r="AD28" s="3801">
        <v>10000</v>
      </c>
      <c r="AE28" s="3801"/>
      <c r="AF28" s="3801">
        <v>10000</v>
      </c>
      <c r="AG28" s="3801"/>
      <c r="AH28" s="3801">
        <v>20000</v>
      </c>
      <c r="AI28" s="3801"/>
      <c r="AJ28" s="3801">
        <v>10000</v>
      </c>
      <c r="AK28" s="3801"/>
      <c r="AL28" s="3801"/>
      <c r="AM28" s="3801"/>
      <c r="AN28" s="3801"/>
      <c r="AO28" s="3801"/>
      <c r="AP28" s="3801"/>
      <c r="AQ28" s="3801"/>
      <c r="AR28" s="3801"/>
      <c r="AS28" s="3801"/>
      <c r="AT28" s="3801"/>
      <c r="AU28" s="3801"/>
      <c r="AV28" s="3801"/>
      <c r="AW28" s="3801"/>
      <c r="AX28" s="3801"/>
      <c r="AY28" s="3801"/>
      <c r="AZ28" s="3801"/>
      <c r="BA28" s="3801"/>
      <c r="BB28" s="3801"/>
      <c r="BC28" s="3801"/>
      <c r="BD28" s="3801">
        <v>50000</v>
      </c>
      <c r="BE28" s="3801"/>
      <c r="BF28" s="3807"/>
      <c r="BG28" s="3809">
        <f>+V28+V29+V30</f>
        <v>0</v>
      </c>
      <c r="BH28" s="3809">
        <f>+W28+W29+W30</f>
        <v>0</v>
      </c>
      <c r="BI28" s="3811">
        <v>0</v>
      </c>
      <c r="BJ28" s="3799" t="s">
        <v>411</v>
      </c>
      <c r="BK28" s="3799" t="s">
        <v>412</v>
      </c>
      <c r="BL28" s="3803">
        <v>44033</v>
      </c>
      <c r="BM28" s="3803">
        <v>44091</v>
      </c>
      <c r="BN28" s="3803">
        <v>44195</v>
      </c>
      <c r="BO28" s="3805">
        <v>44185</v>
      </c>
      <c r="BP28" s="3799" t="s">
        <v>367</v>
      </c>
      <c r="BQ28" s="568"/>
    </row>
    <row r="29" spans="1:69" s="553" customFormat="1" ht="69" customHeight="1" x14ac:dyDescent="0.25">
      <c r="A29" s="424"/>
      <c r="B29" s="562"/>
      <c r="C29" s="562"/>
      <c r="D29" s="424"/>
      <c r="E29" s="562"/>
      <c r="F29" s="434"/>
      <c r="G29" s="577">
        <v>1702017</v>
      </c>
      <c r="H29" s="574" t="s">
        <v>374</v>
      </c>
      <c r="I29" s="571" t="s">
        <v>375</v>
      </c>
      <c r="J29" s="571" t="s">
        <v>376</v>
      </c>
      <c r="K29" s="362">
        <v>250</v>
      </c>
      <c r="L29" s="362">
        <v>0</v>
      </c>
      <c r="M29" s="2727"/>
      <c r="N29" s="3815"/>
      <c r="O29" s="2725"/>
      <c r="P29" s="572">
        <f>+U29/79000000</f>
        <v>0.24050632911392406</v>
      </c>
      <c r="Q29" s="3841"/>
      <c r="R29" s="3840"/>
      <c r="S29" s="2708"/>
      <c r="T29" s="571" t="s">
        <v>382</v>
      </c>
      <c r="U29" s="2468">
        <v>19000000</v>
      </c>
      <c r="V29" s="2463">
        <v>0</v>
      </c>
      <c r="W29" s="2463">
        <v>0</v>
      </c>
      <c r="X29" s="569">
        <v>88</v>
      </c>
      <c r="Y29" s="2219" t="s">
        <v>395</v>
      </c>
      <c r="Z29" s="3802"/>
      <c r="AA29" s="3802"/>
      <c r="AB29" s="3802"/>
      <c r="AC29" s="3802"/>
      <c r="AD29" s="3802"/>
      <c r="AE29" s="3802"/>
      <c r="AF29" s="3802"/>
      <c r="AG29" s="3802"/>
      <c r="AH29" s="3802"/>
      <c r="AI29" s="3802"/>
      <c r="AJ29" s="3802"/>
      <c r="AK29" s="3802"/>
      <c r="AL29" s="3802"/>
      <c r="AM29" s="3802"/>
      <c r="AN29" s="3802"/>
      <c r="AO29" s="3802"/>
      <c r="AP29" s="3802"/>
      <c r="AQ29" s="3802"/>
      <c r="AR29" s="3802"/>
      <c r="AS29" s="3802"/>
      <c r="AT29" s="3802"/>
      <c r="AU29" s="3802"/>
      <c r="AV29" s="3802"/>
      <c r="AW29" s="3802"/>
      <c r="AX29" s="3802"/>
      <c r="AY29" s="3802"/>
      <c r="AZ29" s="3802"/>
      <c r="BA29" s="3802"/>
      <c r="BB29" s="3802"/>
      <c r="BC29" s="3802"/>
      <c r="BD29" s="3802"/>
      <c r="BE29" s="3802"/>
      <c r="BF29" s="3808"/>
      <c r="BG29" s="3810"/>
      <c r="BH29" s="3810"/>
      <c r="BI29" s="3812"/>
      <c r="BJ29" s="3808"/>
      <c r="BK29" s="3800"/>
      <c r="BL29" s="3804"/>
      <c r="BM29" s="3804"/>
      <c r="BN29" s="3804"/>
      <c r="BO29" s="3806"/>
      <c r="BP29" s="3800"/>
      <c r="BQ29" s="568"/>
    </row>
    <row r="30" spans="1:69" s="553" customFormat="1" ht="69" customHeight="1" x14ac:dyDescent="0.25">
      <c r="A30" s="424"/>
      <c r="B30" s="562"/>
      <c r="C30" s="562"/>
      <c r="D30" s="424"/>
      <c r="E30" s="562"/>
      <c r="F30" s="434"/>
      <c r="G30" s="577">
        <v>1702021</v>
      </c>
      <c r="H30" s="574" t="s">
        <v>426</v>
      </c>
      <c r="I30" s="571" t="s">
        <v>427</v>
      </c>
      <c r="J30" s="385" t="s">
        <v>428</v>
      </c>
      <c r="K30" s="362">
        <v>50</v>
      </c>
      <c r="L30" s="362">
        <v>0</v>
      </c>
      <c r="M30" s="2727"/>
      <c r="N30" s="3815"/>
      <c r="O30" s="2725"/>
      <c r="P30" s="572">
        <f>+U30/79000000</f>
        <v>0.12658227848101267</v>
      </c>
      <c r="Q30" s="3841"/>
      <c r="R30" s="3842"/>
      <c r="S30" s="2709"/>
      <c r="T30" s="571" t="s">
        <v>429</v>
      </c>
      <c r="U30" s="2468">
        <v>10000000</v>
      </c>
      <c r="V30" s="2463">
        <v>0</v>
      </c>
      <c r="W30" s="2463">
        <v>0</v>
      </c>
      <c r="X30" s="569">
        <v>88</v>
      </c>
      <c r="Y30" s="2219" t="s">
        <v>395</v>
      </c>
      <c r="Z30" s="3833"/>
      <c r="AA30" s="3833"/>
      <c r="AB30" s="3833"/>
      <c r="AC30" s="3833"/>
      <c r="AD30" s="3833"/>
      <c r="AE30" s="3833"/>
      <c r="AF30" s="3833"/>
      <c r="AG30" s="3833"/>
      <c r="AH30" s="3833"/>
      <c r="AI30" s="3833"/>
      <c r="AJ30" s="3833"/>
      <c r="AK30" s="3833"/>
      <c r="AL30" s="3833"/>
      <c r="AM30" s="3833"/>
      <c r="AN30" s="3833"/>
      <c r="AO30" s="3833"/>
      <c r="AP30" s="3833"/>
      <c r="AQ30" s="3833"/>
      <c r="AR30" s="3833"/>
      <c r="AS30" s="3833"/>
      <c r="AT30" s="3833"/>
      <c r="AU30" s="3833"/>
      <c r="AV30" s="3833"/>
      <c r="AW30" s="3833"/>
      <c r="AX30" s="3833"/>
      <c r="AY30" s="3833"/>
      <c r="AZ30" s="3833"/>
      <c r="BA30" s="3833"/>
      <c r="BB30" s="3833"/>
      <c r="BC30" s="3833"/>
      <c r="BD30" s="3833"/>
      <c r="BE30" s="3833"/>
      <c r="BF30" s="3834"/>
      <c r="BG30" s="3835"/>
      <c r="BH30" s="3835"/>
      <c r="BI30" s="3836"/>
      <c r="BJ30" s="3834"/>
      <c r="BK30" s="3828"/>
      <c r="BL30" s="3831"/>
      <c r="BM30" s="3831"/>
      <c r="BN30" s="3831"/>
      <c r="BO30" s="3832"/>
      <c r="BP30" s="3828"/>
      <c r="BQ30" s="568"/>
    </row>
    <row r="31" spans="1:69" s="553" customFormat="1" ht="38.25" customHeight="1" x14ac:dyDescent="0.25">
      <c r="A31" s="424"/>
      <c r="B31" s="562"/>
      <c r="C31" s="562"/>
      <c r="D31" s="424"/>
      <c r="E31" s="562"/>
      <c r="F31" s="434"/>
      <c r="G31" s="3777">
        <v>1702025</v>
      </c>
      <c r="H31" s="3660" t="s">
        <v>430</v>
      </c>
      <c r="I31" s="3235" t="s">
        <v>431</v>
      </c>
      <c r="J31" s="2908" t="s">
        <v>432</v>
      </c>
      <c r="K31" s="2601">
        <v>25</v>
      </c>
      <c r="L31" s="2601">
        <v>25</v>
      </c>
      <c r="M31" s="2581" t="s">
        <v>433</v>
      </c>
      <c r="N31" s="3224" t="s">
        <v>434</v>
      </c>
      <c r="O31" s="2707" t="s">
        <v>435</v>
      </c>
      <c r="P31" s="3442">
        <f>+(U31+U32)/105000000</f>
        <v>0.2857142857142857</v>
      </c>
      <c r="Q31" s="3664">
        <v>30000000</v>
      </c>
      <c r="R31" s="3839" t="s">
        <v>436</v>
      </c>
      <c r="S31" s="2707" t="s">
        <v>437</v>
      </c>
      <c r="T31" s="3235" t="s">
        <v>438</v>
      </c>
      <c r="U31" s="2469">
        <v>15000000</v>
      </c>
      <c r="V31" s="2470">
        <v>12341665</v>
      </c>
      <c r="W31" s="2471">
        <v>12341665</v>
      </c>
      <c r="X31" s="561">
        <v>20</v>
      </c>
      <c r="Y31" s="2259" t="s">
        <v>397</v>
      </c>
      <c r="Z31" s="3837">
        <v>600</v>
      </c>
      <c r="AA31" s="3837"/>
      <c r="AB31" s="3837">
        <v>600</v>
      </c>
      <c r="AC31" s="3837"/>
      <c r="AD31" s="3837">
        <v>125</v>
      </c>
      <c r="AE31" s="3837"/>
      <c r="AF31" s="3837">
        <v>75</v>
      </c>
      <c r="AG31" s="3837"/>
      <c r="AH31" s="3837">
        <v>300</v>
      </c>
      <c r="AI31" s="3837"/>
      <c r="AJ31" s="3837">
        <v>700</v>
      </c>
      <c r="AK31" s="3837"/>
      <c r="AL31" s="3837"/>
      <c r="AM31" s="3837"/>
      <c r="AN31" s="3837"/>
      <c r="AO31" s="3837"/>
      <c r="AP31" s="3837"/>
      <c r="AQ31" s="3837"/>
      <c r="AR31" s="3837"/>
      <c r="AS31" s="3837"/>
      <c r="AT31" s="3837"/>
      <c r="AU31" s="3837"/>
      <c r="AV31" s="3837"/>
      <c r="AW31" s="3837"/>
      <c r="AX31" s="3837"/>
      <c r="AY31" s="3837"/>
      <c r="AZ31" s="3837"/>
      <c r="BA31" s="3837"/>
      <c r="BB31" s="3837"/>
      <c r="BC31" s="3837"/>
      <c r="BD31" s="3837">
        <v>1200</v>
      </c>
      <c r="BE31" s="3837"/>
      <c r="BF31" s="3754">
        <v>3</v>
      </c>
      <c r="BG31" s="3755">
        <f>+V31+V32</f>
        <v>27341665</v>
      </c>
      <c r="BH31" s="3755">
        <f>+W31+W32</f>
        <v>27341665</v>
      </c>
      <c r="BI31" s="3758">
        <f>+BH31/BG31</f>
        <v>1</v>
      </c>
      <c r="BJ31" s="3740" t="s">
        <v>365</v>
      </c>
      <c r="BK31" s="3740" t="s">
        <v>412</v>
      </c>
      <c r="BL31" s="3747">
        <v>44033</v>
      </c>
      <c r="BM31" s="3747">
        <v>44091</v>
      </c>
      <c r="BN31" s="3747">
        <v>44195</v>
      </c>
      <c r="BO31" s="3750">
        <v>44185</v>
      </c>
      <c r="BP31" s="3740" t="s">
        <v>367</v>
      </c>
      <c r="BQ31" s="568"/>
    </row>
    <row r="32" spans="1:69" s="553" customFormat="1" ht="117.75" customHeight="1" x14ac:dyDescent="0.25">
      <c r="A32" s="424"/>
      <c r="B32" s="562"/>
      <c r="C32" s="562"/>
      <c r="D32" s="443"/>
      <c r="E32" s="444"/>
      <c r="F32" s="445"/>
      <c r="G32" s="3778"/>
      <c r="H32" s="3662"/>
      <c r="I32" s="3237"/>
      <c r="J32" s="3422"/>
      <c r="K32" s="3423"/>
      <c r="L32" s="3423"/>
      <c r="M32" s="2726"/>
      <c r="N32" s="3384"/>
      <c r="O32" s="2709"/>
      <c r="P32" s="3663"/>
      <c r="Q32" s="3665"/>
      <c r="R32" s="3840"/>
      <c r="S32" s="2709"/>
      <c r="T32" s="3237"/>
      <c r="U32" s="2469">
        <v>15000000</v>
      </c>
      <c r="V32" s="2470">
        <v>15000000</v>
      </c>
      <c r="W32" s="2463">
        <v>15000000</v>
      </c>
      <c r="X32" s="569">
        <v>88</v>
      </c>
      <c r="Y32" s="2219" t="s">
        <v>395</v>
      </c>
      <c r="Z32" s="3838"/>
      <c r="AA32" s="3838"/>
      <c r="AB32" s="3838"/>
      <c r="AC32" s="3838"/>
      <c r="AD32" s="3838"/>
      <c r="AE32" s="3838"/>
      <c r="AF32" s="3838"/>
      <c r="AG32" s="3838"/>
      <c r="AH32" s="3838"/>
      <c r="AI32" s="3838"/>
      <c r="AJ32" s="3838"/>
      <c r="AK32" s="3838"/>
      <c r="AL32" s="3838"/>
      <c r="AM32" s="3838"/>
      <c r="AN32" s="3838"/>
      <c r="AO32" s="3838"/>
      <c r="AP32" s="3838"/>
      <c r="AQ32" s="3838"/>
      <c r="AR32" s="3838"/>
      <c r="AS32" s="3838"/>
      <c r="AT32" s="3838"/>
      <c r="AU32" s="3838"/>
      <c r="AV32" s="3838"/>
      <c r="AW32" s="3838"/>
      <c r="AX32" s="3838"/>
      <c r="AY32" s="3838"/>
      <c r="AZ32" s="3838"/>
      <c r="BA32" s="3838"/>
      <c r="BB32" s="3838"/>
      <c r="BC32" s="3838"/>
      <c r="BD32" s="3838"/>
      <c r="BE32" s="3838"/>
      <c r="BF32" s="3746"/>
      <c r="BG32" s="3757"/>
      <c r="BH32" s="3757"/>
      <c r="BI32" s="3760"/>
      <c r="BJ32" s="3746"/>
      <c r="BK32" s="3742"/>
      <c r="BL32" s="3749"/>
      <c r="BM32" s="3749"/>
      <c r="BN32" s="3749"/>
      <c r="BO32" s="3752"/>
      <c r="BP32" s="3742"/>
      <c r="BQ32" s="568"/>
    </row>
    <row r="33" spans="1:69" s="553" customFormat="1" ht="15.75" x14ac:dyDescent="0.25">
      <c r="A33" s="3635"/>
      <c r="B33" s="3636"/>
      <c r="C33" s="3637"/>
      <c r="D33" s="579">
        <v>5</v>
      </c>
      <c r="E33" s="580" t="s">
        <v>439</v>
      </c>
      <c r="F33" s="581"/>
      <c r="G33" s="582"/>
      <c r="H33" s="582"/>
      <c r="I33" s="583"/>
      <c r="J33" s="583"/>
      <c r="K33" s="582"/>
      <c r="L33" s="582"/>
      <c r="M33" s="583"/>
      <c r="N33" s="582"/>
      <c r="O33" s="583"/>
      <c r="P33" s="584"/>
      <c r="Q33" s="585"/>
      <c r="R33" s="583"/>
      <c r="S33" s="583"/>
      <c r="T33" s="583"/>
      <c r="U33" s="2472"/>
      <c r="V33" s="2472"/>
      <c r="W33" s="2472"/>
      <c r="X33" s="587"/>
      <c r="Y33" s="82"/>
      <c r="Z33" s="587"/>
      <c r="AA33" s="587"/>
      <c r="AB33" s="587"/>
      <c r="AC33" s="587"/>
      <c r="AD33" s="587"/>
      <c r="AE33" s="587"/>
      <c r="AF33" s="587"/>
      <c r="AG33" s="587"/>
      <c r="AH33" s="587"/>
      <c r="AI33" s="587"/>
      <c r="AJ33" s="587"/>
      <c r="AK33" s="587"/>
      <c r="AL33" s="587"/>
      <c r="AM33" s="587"/>
      <c r="AN33" s="587"/>
      <c r="AO33" s="587"/>
      <c r="AP33" s="587"/>
      <c r="AQ33" s="587"/>
      <c r="AR33" s="587"/>
      <c r="AS33" s="587"/>
      <c r="AT33" s="587"/>
      <c r="AU33" s="587"/>
      <c r="AV33" s="587"/>
      <c r="AW33" s="587"/>
      <c r="AX33" s="587"/>
      <c r="AY33" s="587"/>
      <c r="AZ33" s="587"/>
      <c r="BA33" s="587"/>
      <c r="BB33" s="587"/>
      <c r="BC33" s="587"/>
      <c r="BD33" s="587"/>
      <c r="BE33" s="587"/>
      <c r="BF33" s="587"/>
      <c r="BG33" s="587"/>
      <c r="BH33" s="587"/>
      <c r="BI33" s="587"/>
      <c r="BJ33" s="587"/>
      <c r="BK33" s="588"/>
      <c r="BL33" s="587"/>
      <c r="BM33" s="587"/>
      <c r="BN33" s="587"/>
      <c r="BO33" s="587"/>
      <c r="BP33" s="587"/>
      <c r="BQ33" s="568"/>
    </row>
    <row r="34" spans="1:69" s="553" customFormat="1" ht="244.5" customHeight="1" x14ac:dyDescent="0.25">
      <c r="A34" s="589"/>
      <c r="B34" s="590"/>
      <c r="C34" s="591"/>
      <c r="D34" s="592"/>
      <c r="E34" s="592"/>
      <c r="F34" s="593"/>
      <c r="G34" s="594">
        <v>1703013</v>
      </c>
      <c r="H34" s="577" t="s">
        <v>440</v>
      </c>
      <c r="I34" s="385" t="s">
        <v>441</v>
      </c>
      <c r="J34" s="385" t="s">
        <v>442</v>
      </c>
      <c r="K34" s="145">
        <v>75</v>
      </c>
      <c r="L34" s="145">
        <v>75</v>
      </c>
      <c r="M34" s="2268" t="s">
        <v>420</v>
      </c>
      <c r="N34" s="295" t="s">
        <v>421</v>
      </c>
      <c r="O34" s="384" t="s">
        <v>443</v>
      </c>
      <c r="P34" s="572">
        <f>+U34/79000000</f>
        <v>0.50632911392405067</v>
      </c>
      <c r="Q34" s="595">
        <v>40000000</v>
      </c>
      <c r="R34" s="378" t="s">
        <v>444</v>
      </c>
      <c r="S34" s="378" t="s">
        <v>424</v>
      </c>
      <c r="T34" s="571" t="s">
        <v>445</v>
      </c>
      <c r="U34" s="2469">
        <v>40000000</v>
      </c>
      <c r="V34" s="2469">
        <v>15424999</v>
      </c>
      <c r="W34" s="2469">
        <v>15424999</v>
      </c>
      <c r="X34" s="596">
        <v>0</v>
      </c>
      <c r="Y34" s="2269" t="s">
        <v>395</v>
      </c>
      <c r="Z34" s="597">
        <v>25000</v>
      </c>
      <c r="AA34" s="597"/>
      <c r="AB34" s="597">
        <v>25000</v>
      </c>
      <c r="AC34" s="597"/>
      <c r="AD34" s="597">
        <v>10000</v>
      </c>
      <c r="AE34" s="597"/>
      <c r="AF34" s="597">
        <v>10000</v>
      </c>
      <c r="AG34" s="597"/>
      <c r="AH34" s="597">
        <v>20000</v>
      </c>
      <c r="AI34" s="597"/>
      <c r="AJ34" s="597">
        <v>10000</v>
      </c>
      <c r="AK34" s="597"/>
      <c r="AL34" s="597"/>
      <c r="AM34" s="597"/>
      <c r="AN34" s="597"/>
      <c r="AO34" s="597"/>
      <c r="AP34" s="597"/>
      <c r="AQ34" s="597"/>
      <c r="AR34" s="597"/>
      <c r="AS34" s="597"/>
      <c r="AT34" s="597"/>
      <c r="AU34" s="597"/>
      <c r="AV34" s="597"/>
      <c r="AW34" s="597"/>
      <c r="AX34" s="597"/>
      <c r="AY34" s="597"/>
      <c r="AZ34" s="597"/>
      <c r="BA34" s="597"/>
      <c r="BB34" s="597"/>
      <c r="BC34" s="597"/>
      <c r="BD34" s="597">
        <v>50000</v>
      </c>
      <c r="BE34" s="597"/>
      <c r="BF34" s="598">
        <v>2</v>
      </c>
      <c r="BG34" s="578">
        <f>+V34</f>
        <v>15424999</v>
      </c>
      <c r="BH34" s="578">
        <f>+W34</f>
        <v>15424999</v>
      </c>
      <c r="BI34" s="572">
        <v>1</v>
      </c>
      <c r="BJ34" s="599" t="s">
        <v>411</v>
      </c>
      <c r="BK34" s="599" t="s">
        <v>412</v>
      </c>
      <c r="BL34" s="600">
        <v>44033</v>
      </c>
      <c r="BM34" s="600">
        <v>44084</v>
      </c>
      <c r="BN34" s="600">
        <v>44195</v>
      </c>
      <c r="BO34" s="601">
        <v>44185</v>
      </c>
      <c r="BP34" s="599" t="s">
        <v>367</v>
      </c>
      <c r="BQ34" s="568"/>
    </row>
    <row r="35" spans="1:69" s="553" customFormat="1" ht="15.75" x14ac:dyDescent="0.25">
      <c r="A35" s="3635"/>
      <c r="B35" s="3636"/>
      <c r="C35" s="3637"/>
      <c r="D35" s="579">
        <v>6</v>
      </c>
      <c r="E35" s="3813" t="s">
        <v>446</v>
      </c>
      <c r="F35" s="3813"/>
      <c r="G35" s="2899"/>
      <c r="H35" s="2899"/>
      <c r="I35" s="2899"/>
      <c r="J35" s="2899"/>
      <c r="K35" s="2899"/>
      <c r="L35" s="2899"/>
      <c r="M35" s="2899"/>
      <c r="N35" s="2899"/>
      <c r="O35" s="2899"/>
      <c r="P35" s="584"/>
      <c r="Q35" s="585"/>
      <c r="R35" s="583"/>
      <c r="S35" s="583"/>
      <c r="T35" s="583"/>
      <c r="U35" s="2472"/>
      <c r="V35" s="2473"/>
      <c r="W35" s="2473"/>
      <c r="X35" s="602"/>
      <c r="Y35" s="2461"/>
      <c r="Z35" s="587"/>
      <c r="AA35" s="587"/>
      <c r="AB35" s="587"/>
      <c r="AC35" s="587"/>
      <c r="AD35" s="587"/>
      <c r="AE35" s="587"/>
      <c r="AF35" s="587"/>
      <c r="AG35" s="587"/>
      <c r="AH35" s="587"/>
      <c r="AI35" s="587"/>
      <c r="AJ35" s="587"/>
      <c r="AK35" s="587"/>
      <c r="AL35" s="587"/>
      <c r="AM35" s="587"/>
      <c r="AN35" s="587"/>
      <c r="AO35" s="587"/>
      <c r="AP35" s="587"/>
      <c r="AQ35" s="587"/>
      <c r="AR35" s="587"/>
      <c r="AS35" s="587"/>
      <c r="AT35" s="587"/>
      <c r="AU35" s="587"/>
      <c r="AV35" s="587"/>
      <c r="AW35" s="587"/>
      <c r="AX35" s="587"/>
      <c r="AY35" s="587"/>
      <c r="AZ35" s="587"/>
      <c r="BA35" s="587"/>
      <c r="BB35" s="587"/>
      <c r="BC35" s="587"/>
      <c r="BD35" s="587"/>
      <c r="BE35" s="587"/>
      <c r="BF35" s="587"/>
      <c r="BG35" s="587"/>
      <c r="BH35" s="587"/>
      <c r="BI35" s="587"/>
      <c r="BJ35" s="587"/>
      <c r="BK35" s="588"/>
      <c r="BL35" s="587"/>
      <c r="BM35" s="587"/>
      <c r="BN35" s="587"/>
      <c r="BO35" s="587"/>
      <c r="BP35" s="587"/>
      <c r="BQ35" s="568"/>
    </row>
    <row r="36" spans="1:69" s="553" customFormat="1" ht="60" x14ac:dyDescent="0.25">
      <c r="A36" s="424"/>
      <c r="B36" s="562"/>
      <c r="C36" s="434"/>
      <c r="D36" s="427"/>
      <c r="E36" s="427"/>
      <c r="F36" s="428"/>
      <c r="G36" s="577">
        <v>1704002</v>
      </c>
      <c r="H36" s="577" t="s">
        <v>447</v>
      </c>
      <c r="I36" s="571" t="s">
        <v>448</v>
      </c>
      <c r="J36" s="385" t="s">
        <v>449</v>
      </c>
      <c r="K36" s="362">
        <v>1</v>
      </c>
      <c r="L36" s="362">
        <v>1</v>
      </c>
      <c r="M36" s="2581" t="s">
        <v>450</v>
      </c>
      <c r="N36" s="2592" t="s">
        <v>451</v>
      </c>
      <c r="O36" s="3260" t="s">
        <v>452</v>
      </c>
      <c r="P36" s="572">
        <f>+U36/Q36</f>
        <v>0.24087877499999999</v>
      </c>
      <c r="Q36" s="3817">
        <v>40000000</v>
      </c>
      <c r="R36" s="2707" t="s">
        <v>453</v>
      </c>
      <c r="S36" s="2707" t="s">
        <v>454</v>
      </c>
      <c r="T36" s="571" t="s">
        <v>455</v>
      </c>
      <c r="U36" s="2468">
        <v>9635151</v>
      </c>
      <c r="V36" s="2463">
        <v>9333333</v>
      </c>
      <c r="W36" s="2471">
        <v>9333333</v>
      </c>
      <c r="X36" s="382">
        <v>88</v>
      </c>
      <c r="Y36" s="2214" t="s">
        <v>369</v>
      </c>
      <c r="Z36" s="3801">
        <v>285580</v>
      </c>
      <c r="AA36" s="3801"/>
      <c r="AB36" s="3801">
        <v>285580</v>
      </c>
      <c r="AC36" s="3801"/>
      <c r="AD36" s="3801">
        <v>135545</v>
      </c>
      <c r="AE36" s="3801"/>
      <c r="AF36" s="3801">
        <v>44254</v>
      </c>
      <c r="AG36" s="3801"/>
      <c r="AH36" s="3801">
        <v>309146</v>
      </c>
      <c r="AI36" s="3801"/>
      <c r="AJ36" s="3801">
        <v>92607</v>
      </c>
      <c r="AK36" s="3801"/>
      <c r="AL36" s="3801"/>
      <c r="AM36" s="3801"/>
      <c r="AN36" s="3801"/>
      <c r="AO36" s="3801"/>
      <c r="AP36" s="3801"/>
      <c r="AQ36" s="3801"/>
      <c r="AR36" s="3801"/>
      <c r="AS36" s="3801"/>
      <c r="AT36" s="3801"/>
      <c r="AU36" s="3801"/>
      <c r="AV36" s="3801"/>
      <c r="AW36" s="3801"/>
      <c r="AX36" s="3801"/>
      <c r="AY36" s="3801"/>
      <c r="AZ36" s="3801"/>
      <c r="BA36" s="3801"/>
      <c r="BB36" s="3801"/>
      <c r="BC36" s="3801"/>
      <c r="BD36" s="3801">
        <v>581552</v>
      </c>
      <c r="BE36" s="3801"/>
      <c r="BF36" s="3807">
        <v>6</v>
      </c>
      <c r="BG36" s="3809">
        <f>+V36+V37</f>
        <v>39606648</v>
      </c>
      <c r="BH36" s="3809">
        <f>+W36+W37</f>
        <v>39606648</v>
      </c>
      <c r="BI36" s="3811">
        <v>1</v>
      </c>
      <c r="BJ36" s="3799" t="s">
        <v>411</v>
      </c>
      <c r="BK36" s="3799" t="s">
        <v>412</v>
      </c>
      <c r="BL36" s="3803">
        <v>44033</v>
      </c>
      <c r="BM36" s="3803">
        <v>44084</v>
      </c>
      <c r="BN36" s="3803">
        <v>44195</v>
      </c>
      <c r="BO36" s="3805">
        <v>44188</v>
      </c>
      <c r="BP36" s="3799" t="s">
        <v>367</v>
      </c>
      <c r="BQ36" s="568"/>
    </row>
    <row r="37" spans="1:69" s="553" customFormat="1" ht="60" x14ac:dyDescent="0.25">
      <c r="A37" s="424"/>
      <c r="B37" s="562"/>
      <c r="C37" s="434"/>
      <c r="D37" s="444"/>
      <c r="E37" s="444"/>
      <c r="F37" s="445"/>
      <c r="G37" s="577">
        <v>1704017</v>
      </c>
      <c r="H37" s="577" t="s">
        <v>456</v>
      </c>
      <c r="I37" s="571" t="s">
        <v>457</v>
      </c>
      <c r="J37" s="385" t="s">
        <v>458</v>
      </c>
      <c r="K37" s="362">
        <v>50</v>
      </c>
      <c r="L37" s="362">
        <v>50</v>
      </c>
      <c r="M37" s="2726"/>
      <c r="N37" s="2592"/>
      <c r="O37" s="3260"/>
      <c r="P37" s="604">
        <f>+U37/Q36</f>
        <v>0.75912122500000001</v>
      </c>
      <c r="Q37" s="3817"/>
      <c r="R37" s="2709"/>
      <c r="S37" s="2709"/>
      <c r="T37" s="571" t="s">
        <v>459</v>
      </c>
      <c r="U37" s="2468">
        <v>30364849</v>
      </c>
      <c r="V37" s="2463">
        <v>30273315</v>
      </c>
      <c r="W37" s="2471">
        <v>30273315</v>
      </c>
      <c r="X37" s="382">
        <v>88</v>
      </c>
      <c r="Y37" s="2214" t="s">
        <v>369</v>
      </c>
      <c r="Z37" s="3833"/>
      <c r="AA37" s="3833"/>
      <c r="AB37" s="3833"/>
      <c r="AC37" s="3833"/>
      <c r="AD37" s="3833"/>
      <c r="AE37" s="3833"/>
      <c r="AF37" s="3833"/>
      <c r="AG37" s="3833"/>
      <c r="AH37" s="3833"/>
      <c r="AI37" s="3833"/>
      <c r="AJ37" s="3833"/>
      <c r="AK37" s="3833"/>
      <c r="AL37" s="3833"/>
      <c r="AM37" s="3833"/>
      <c r="AN37" s="3833"/>
      <c r="AO37" s="3833"/>
      <c r="AP37" s="3833"/>
      <c r="AQ37" s="3833"/>
      <c r="AR37" s="3833"/>
      <c r="AS37" s="3833"/>
      <c r="AT37" s="3833"/>
      <c r="AU37" s="3833"/>
      <c r="AV37" s="3833"/>
      <c r="AW37" s="3833"/>
      <c r="AX37" s="3833"/>
      <c r="AY37" s="3833"/>
      <c r="AZ37" s="3833"/>
      <c r="BA37" s="3833"/>
      <c r="BB37" s="3833"/>
      <c r="BC37" s="3833"/>
      <c r="BD37" s="3833"/>
      <c r="BE37" s="3833"/>
      <c r="BF37" s="3834"/>
      <c r="BG37" s="3835"/>
      <c r="BH37" s="3835"/>
      <c r="BI37" s="3836"/>
      <c r="BJ37" s="3828"/>
      <c r="BK37" s="3828"/>
      <c r="BL37" s="3831"/>
      <c r="BM37" s="3831"/>
      <c r="BN37" s="3831"/>
      <c r="BO37" s="3832"/>
      <c r="BP37" s="3828"/>
      <c r="BQ37" s="568"/>
    </row>
    <row r="38" spans="1:69" s="553" customFormat="1" ht="15.75" x14ac:dyDescent="0.25">
      <c r="A38" s="3635"/>
      <c r="B38" s="3636"/>
      <c r="C38" s="3637"/>
      <c r="D38" s="579">
        <v>7</v>
      </c>
      <c r="E38" s="580" t="s">
        <v>460</v>
      </c>
      <c r="F38" s="581"/>
      <c r="G38" s="582"/>
      <c r="H38" s="582"/>
      <c r="I38" s="583"/>
      <c r="J38" s="583"/>
      <c r="K38" s="582"/>
      <c r="L38" s="582"/>
      <c r="M38" s="82"/>
      <c r="N38" s="582"/>
      <c r="O38" s="583"/>
      <c r="P38" s="584"/>
      <c r="Q38" s="585"/>
      <c r="R38" s="583"/>
      <c r="S38" s="583"/>
      <c r="T38" s="583"/>
      <c r="U38" s="2472"/>
      <c r="V38" s="2474"/>
      <c r="W38" s="2474"/>
      <c r="X38" s="605"/>
      <c r="Y38" s="448"/>
      <c r="Z38" s="587"/>
      <c r="AA38" s="587"/>
      <c r="AB38" s="587"/>
      <c r="AC38" s="587"/>
      <c r="AD38" s="587"/>
      <c r="AE38" s="587"/>
      <c r="AF38" s="587"/>
      <c r="AG38" s="587"/>
      <c r="AH38" s="587"/>
      <c r="AI38" s="587"/>
      <c r="AJ38" s="587"/>
      <c r="AK38" s="587"/>
      <c r="AL38" s="587"/>
      <c r="AM38" s="587"/>
      <c r="AN38" s="587"/>
      <c r="AO38" s="587"/>
      <c r="AP38" s="587"/>
      <c r="AQ38" s="587"/>
      <c r="AR38" s="587"/>
      <c r="AS38" s="587"/>
      <c r="AT38" s="587"/>
      <c r="AU38" s="587"/>
      <c r="AV38" s="587"/>
      <c r="AW38" s="587"/>
      <c r="AX38" s="587"/>
      <c r="AY38" s="587"/>
      <c r="AZ38" s="587"/>
      <c r="BA38" s="587"/>
      <c r="BB38" s="587"/>
      <c r="BC38" s="587"/>
      <c r="BD38" s="587"/>
      <c r="BE38" s="587"/>
      <c r="BF38" s="587"/>
      <c r="BG38" s="587"/>
      <c r="BH38" s="587"/>
      <c r="BI38" s="587"/>
      <c r="BJ38" s="587"/>
      <c r="BK38" s="588"/>
      <c r="BL38" s="587"/>
      <c r="BM38" s="587"/>
      <c r="BN38" s="587"/>
      <c r="BO38" s="587"/>
      <c r="BP38" s="587"/>
      <c r="BQ38" s="568"/>
    </row>
    <row r="39" spans="1:69" s="553" customFormat="1" ht="42" customHeight="1" x14ac:dyDescent="0.25">
      <c r="A39" s="606"/>
      <c r="B39" s="607"/>
      <c r="C39" s="608"/>
      <c r="D39" s="3829"/>
      <c r="E39" s="3829"/>
      <c r="F39" s="3830"/>
      <c r="G39" s="3660">
        <v>1706004</v>
      </c>
      <c r="H39" s="3660" t="s">
        <v>461</v>
      </c>
      <c r="I39" s="3235" t="s">
        <v>462</v>
      </c>
      <c r="J39" s="2741" t="s">
        <v>463</v>
      </c>
      <c r="K39" s="3455">
        <v>10</v>
      </c>
      <c r="L39" s="3455">
        <v>4</v>
      </c>
      <c r="M39" s="2581" t="s">
        <v>389</v>
      </c>
      <c r="N39" s="2583" t="s">
        <v>390</v>
      </c>
      <c r="O39" s="3235" t="s">
        <v>391</v>
      </c>
      <c r="P39" s="3460">
        <f>+(U39+U40+U41)/(114200000)</f>
        <v>0.11208406304728546</v>
      </c>
      <c r="Q39" s="3786">
        <v>12800000</v>
      </c>
      <c r="R39" s="2707" t="s">
        <v>392</v>
      </c>
      <c r="S39" s="2707" t="s">
        <v>393</v>
      </c>
      <c r="T39" s="375" t="s">
        <v>396</v>
      </c>
      <c r="U39" s="2469">
        <v>5000000</v>
      </c>
      <c r="V39" s="2469">
        <v>5000000</v>
      </c>
      <c r="W39" s="2469">
        <v>5000000</v>
      </c>
      <c r="X39" s="361">
        <v>20</v>
      </c>
      <c r="Y39" s="2234" t="s">
        <v>85</v>
      </c>
      <c r="Z39" s="2602">
        <v>100</v>
      </c>
      <c r="AA39" s="2602">
        <v>20</v>
      </c>
      <c r="AB39" s="2602">
        <v>60</v>
      </c>
      <c r="AC39" s="2602">
        <v>15</v>
      </c>
      <c r="AD39" s="2602">
        <v>0</v>
      </c>
      <c r="AE39" s="2602"/>
      <c r="AF39" s="2602">
        <v>0</v>
      </c>
      <c r="AG39" s="2602"/>
      <c r="AH39" s="2602">
        <v>110</v>
      </c>
      <c r="AI39" s="2602"/>
      <c r="AJ39" s="2602">
        <v>50</v>
      </c>
      <c r="AK39" s="2602"/>
      <c r="AL39" s="2602">
        <v>0</v>
      </c>
      <c r="AM39" s="2602"/>
      <c r="AN39" s="2602">
        <v>0</v>
      </c>
      <c r="AO39" s="2602"/>
      <c r="AP39" s="2602">
        <v>0</v>
      </c>
      <c r="AQ39" s="2602"/>
      <c r="AR39" s="2602">
        <v>0</v>
      </c>
      <c r="AS39" s="2602"/>
      <c r="AT39" s="2602">
        <v>0</v>
      </c>
      <c r="AU39" s="2602"/>
      <c r="AV39" s="2602">
        <v>0</v>
      </c>
      <c r="AW39" s="2602"/>
      <c r="AX39" s="2602">
        <v>0</v>
      </c>
      <c r="AY39" s="2602"/>
      <c r="AZ39" s="2602">
        <v>0</v>
      </c>
      <c r="BA39" s="2602"/>
      <c r="BB39" s="2602">
        <v>0</v>
      </c>
      <c r="BC39" s="2602"/>
      <c r="BD39" s="2602">
        <v>160</v>
      </c>
      <c r="BE39" s="2602">
        <v>35</v>
      </c>
      <c r="BF39" s="3643">
        <v>1</v>
      </c>
      <c r="BG39" s="3638">
        <f>+V39+V40+V41</f>
        <v>5000000</v>
      </c>
      <c r="BH39" s="3638">
        <f>+W39+W40+W41</f>
        <v>5000000</v>
      </c>
      <c r="BI39" s="3460">
        <f>+BH39/BG39</f>
        <v>1</v>
      </c>
      <c r="BJ39" s="3632" t="s">
        <v>365</v>
      </c>
      <c r="BK39" s="3632" t="s">
        <v>366</v>
      </c>
      <c r="BL39" s="3626">
        <v>43832</v>
      </c>
      <c r="BM39" s="3626">
        <v>43874</v>
      </c>
      <c r="BN39" s="3626">
        <v>44195</v>
      </c>
      <c r="BO39" s="3629">
        <v>44001</v>
      </c>
      <c r="BP39" s="3632" t="s">
        <v>367</v>
      </c>
      <c r="BQ39" s="568"/>
    </row>
    <row r="40" spans="1:69" s="553" customFormat="1" ht="42" customHeight="1" x14ac:dyDescent="0.25">
      <c r="A40" s="606"/>
      <c r="B40" s="607"/>
      <c r="C40" s="608"/>
      <c r="D40" s="3829"/>
      <c r="E40" s="3829"/>
      <c r="F40" s="3830"/>
      <c r="G40" s="3661"/>
      <c r="H40" s="3661"/>
      <c r="I40" s="3236"/>
      <c r="J40" s="2742"/>
      <c r="K40" s="3052"/>
      <c r="L40" s="3052"/>
      <c r="M40" s="2582"/>
      <c r="N40" s="2584"/>
      <c r="O40" s="3236"/>
      <c r="P40" s="3461"/>
      <c r="Q40" s="3787"/>
      <c r="R40" s="2708"/>
      <c r="S40" s="2708"/>
      <c r="T40" s="3235" t="s">
        <v>398</v>
      </c>
      <c r="U40" s="2469">
        <v>2800000</v>
      </c>
      <c r="V40" s="2469">
        <v>0</v>
      </c>
      <c r="W40" s="2469">
        <v>0</v>
      </c>
      <c r="X40" s="361">
        <v>20</v>
      </c>
      <c r="Y40" s="2268" t="s">
        <v>85</v>
      </c>
      <c r="Z40" s="2603"/>
      <c r="AA40" s="2603"/>
      <c r="AB40" s="2603"/>
      <c r="AC40" s="2603"/>
      <c r="AD40" s="2603"/>
      <c r="AE40" s="2603"/>
      <c r="AF40" s="2603"/>
      <c r="AG40" s="2603"/>
      <c r="AH40" s="2603"/>
      <c r="AI40" s="2603"/>
      <c r="AJ40" s="2603"/>
      <c r="AK40" s="2603"/>
      <c r="AL40" s="2603"/>
      <c r="AM40" s="2603"/>
      <c r="AN40" s="2603"/>
      <c r="AO40" s="2603"/>
      <c r="AP40" s="2603"/>
      <c r="AQ40" s="2603"/>
      <c r="AR40" s="2603"/>
      <c r="AS40" s="2603"/>
      <c r="AT40" s="2603"/>
      <c r="AU40" s="2603"/>
      <c r="AV40" s="2603"/>
      <c r="AW40" s="2603"/>
      <c r="AX40" s="2603"/>
      <c r="AY40" s="2603"/>
      <c r="AZ40" s="2603"/>
      <c r="BA40" s="2603"/>
      <c r="BB40" s="2603"/>
      <c r="BC40" s="2603"/>
      <c r="BD40" s="2603"/>
      <c r="BE40" s="2603"/>
      <c r="BF40" s="3641"/>
      <c r="BG40" s="3639"/>
      <c r="BH40" s="3639"/>
      <c r="BI40" s="3461"/>
      <c r="BJ40" s="3641"/>
      <c r="BK40" s="3633"/>
      <c r="BL40" s="3627"/>
      <c r="BM40" s="3627"/>
      <c r="BN40" s="3627"/>
      <c r="BO40" s="3630"/>
      <c r="BP40" s="3633"/>
      <c r="BQ40" s="568"/>
    </row>
    <row r="41" spans="1:69" s="553" customFormat="1" ht="42" customHeight="1" x14ac:dyDescent="0.25">
      <c r="A41" s="424"/>
      <c r="B41" s="562"/>
      <c r="C41" s="434"/>
      <c r="D41" s="2665"/>
      <c r="E41" s="2665"/>
      <c r="F41" s="2668"/>
      <c r="G41" s="3662"/>
      <c r="H41" s="3662"/>
      <c r="I41" s="3236"/>
      <c r="J41" s="2742"/>
      <c r="K41" s="3763"/>
      <c r="L41" s="3763"/>
      <c r="M41" s="2582"/>
      <c r="N41" s="2584"/>
      <c r="O41" s="3236"/>
      <c r="P41" s="3461"/>
      <c r="Q41" s="3787"/>
      <c r="R41" s="2772"/>
      <c r="S41" s="2772"/>
      <c r="T41" s="3236"/>
      <c r="U41" s="2475">
        <v>5000000</v>
      </c>
      <c r="V41" s="2475">
        <v>0</v>
      </c>
      <c r="W41" s="2475">
        <v>0</v>
      </c>
      <c r="X41" s="382">
        <v>88</v>
      </c>
      <c r="Y41" s="2214" t="s">
        <v>369</v>
      </c>
      <c r="Z41" s="2603"/>
      <c r="AA41" s="2603"/>
      <c r="AB41" s="2603"/>
      <c r="AC41" s="2603"/>
      <c r="AD41" s="2603"/>
      <c r="AE41" s="2603"/>
      <c r="AF41" s="2603"/>
      <c r="AG41" s="2603"/>
      <c r="AH41" s="2603"/>
      <c r="AI41" s="2603"/>
      <c r="AJ41" s="2603"/>
      <c r="AK41" s="2603"/>
      <c r="AL41" s="2603"/>
      <c r="AM41" s="2603"/>
      <c r="AN41" s="2603"/>
      <c r="AO41" s="2603"/>
      <c r="AP41" s="2603"/>
      <c r="AQ41" s="2603"/>
      <c r="AR41" s="2603"/>
      <c r="AS41" s="2603"/>
      <c r="AT41" s="2603"/>
      <c r="AU41" s="2603"/>
      <c r="AV41" s="2603"/>
      <c r="AW41" s="2603"/>
      <c r="AX41" s="2603"/>
      <c r="AY41" s="2603"/>
      <c r="AZ41" s="2603"/>
      <c r="BA41" s="2603"/>
      <c r="BB41" s="2603"/>
      <c r="BC41" s="2603"/>
      <c r="BD41" s="2603"/>
      <c r="BE41" s="2603"/>
      <c r="BF41" s="3641"/>
      <c r="BG41" s="3639"/>
      <c r="BH41" s="3639"/>
      <c r="BI41" s="3461"/>
      <c r="BJ41" s="3641"/>
      <c r="BK41" s="3633"/>
      <c r="BL41" s="3627"/>
      <c r="BM41" s="3627"/>
      <c r="BN41" s="3627"/>
      <c r="BO41" s="3630"/>
      <c r="BP41" s="3633"/>
      <c r="BQ41" s="568"/>
    </row>
    <row r="42" spans="1:69" s="553" customFormat="1" ht="15.75" x14ac:dyDescent="0.25">
      <c r="A42" s="3635"/>
      <c r="B42" s="3636"/>
      <c r="C42" s="3637"/>
      <c r="D42" s="579">
        <v>8</v>
      </c>
      <c r="E42" s="580" t="s">
        <v>464</v>
      </c>
      <c r="F42" s="581"/>
      <c r="G42" s="582"/>
      <c r="H42" s="609"/>
      <c r="I42" s="454"/>
      <c r="J42" s="454"/>
      <c r="K42" s="610"/>
      <c r="L42" s="610"/>
      <c r="M42" s="615"/>
      <c r="N42" s="610"/>
      <c r="O42" s="454"/>
      <c r="P42" s="611"/>
      <c r="Q42" s="612"/>
      <c r="R42" s="613"/>
      <c r="S42" s="613"/>
      <c r="T42" s="454"/>
      <c r="U42" s="2476"/>
      <c r="V42" s="2476"/>
      <c r="W42" s="2476"/>
      <c r="X42" s="614"/>
      <c r="Y42" s="615"/>
      <c r="Z42" s="610"/>
      <c r="AA42" s="610"/>
      <c r="AB42" s="610"/>
      <c r="AC42" s="610"/>
      <c r="AD42" s="610"/>
      <c r="AE42" s="610"/>
      <c r="AF42" s="610"/>
      <c r="AG42" s="610"/>
      <c r="AH42" s="610"/>
      <c r="AI42" s="610"/>
      <c r="AJ42" s="610"/>
      <c r="AK42" s="610"/>
      <c r="AL42" s="610"/>
      <c r="AM42" s="610"/>
      <c r="AN42" s="610"/>
      <c r="AO42" s="610"/>
      <c r="AP42" s="610"/>
      <c r="AQ42" s="610"/>
      <c r="AR42" s="610"/>
      <c r="AS42" s="610"/>
      <c r="AT42" s="610"/>
      <c r="AU42" s="610"/>
      <c r="AV42" s="610"/>
      <c r="AW42" s="610"/>
      <c r="AX42" s="610"/>
      <c r="AY42" s="610"/>
      <c r="AZ42" s="610"/>
      <c r="BA42" s="610"/>
      <c r="BB42" s="610"/>
      <c r="BC42" s="610"/>
      <c r="BD42" s="610"/>
      <c r="BE42" s="610"/>
      <c r="BF42" s="610"/>
      <c r="BG42" s="610"/>
      <c r="BH42" s="610"/>
      <c r="BI42" s="610"/>
      <c r="BJ42" s="610"/>
      <c r="BK42" s="615"/>
      <c r="BL42" s="610"/>
      <c r="BM42" s="610"/>
      <c r="BN42" s="610"/>
      <c r="BO42" s="610"/>
      <c r="BP42" s="610"/>
      <c r="BQ42" s="568"/>
    </row>
    <row r="43" spans="1:69" s="553" customFormat="1" ht="60" x14ac:dyDescent="0.25">
      <c r="A43" s="424"/>
      <c r="B43" s="562"/>
      <c r="C43" s="434"/>
      <c r="D43" s="3825"/>
      <c r="E43" s="3825"/>
      <c r="F43" s="2765"/>
      <c r="G43" s="3660">
        <v>1707069</v>
      </c>
      <c r="H43" s="3796" t="s">
        <v>465</v>
      </c>
      <c r="I43" s="2779" t="s">
        <v>466</v>
      </c>
      <c r="J43" s="3189" t="s">
        <v>467</v>
      </c>
      <c r="K43" s="2810">
        <v>5</v>
      </c>
      <c r="L43" s="2810">
        <v>5</v>
      </c>
      <c r="M43" s="2625" t="s">
        <v>405</v>
      </c>
      <c r="N43" s="3264" t="s">
        <v>406</v>
      </c>
      <c r="O43" s="3479" t="s">
        <v>468</v>
      </c>
      <c r="P43" s="3697">
        <f>+(U43+U44+U45)/100000000</f>
        <v>0.5</v>
      </c>
      <c r="Q43" s="3824">
        <v>50000000</v>
      </c>
      <c r="R43" s="2863" t="s">
        <v>408</v>
      </c>
      <c r="S43" s="2863" t="s">
        <v>409</v>
      </c>
      <c r="T43" s="3273" t="s">
        <v>469</v>
      </c>
      <c r="U43" s="2463">
        <v>25000000</v>
      </c>
      <c r="V43" s="2463">
        <v>24733333</v>
      </c>
      <c r="W43" s="2463">
        <v>24733333</v>
      </c>
      <c r="X43" s="561">
        <v>88</v>
      </c>
      <c r="Y43" s="2214" t="s">
        <v>369</v>
      </c>
      <c r="Z43" s="3823">
        <v>65000</v>
      </c>
      <c r="AA43" s="3823"/>
      <c r="AB43" s="3823">
        <v>65000</v>
      </c>
      <c r="AC43" s="3823"/>
      <c r="AD43" s="3823">
        <v>22000</v>
      </c>
      <c r="AE43" s="3823"/>
      <c r="AF43" s="3823">
        <v>14000</v>
      </c>
      <c r="AG43" s="3823"/>
      <c r="AH43" s="3823">
        <v>79000</v>
      </c>
      <c r="AI43" s="3823"/>
      <c r="AJ43" s="3823">
        <v>15000</v>
      </c>
      <c r="AK43" s="3823"/>
      <c r="AL43" s="3823"/>
      <c r="AM43" s="3823"/>
      <c r="AN43" s="3823"/>
      <c r="AO43" s="3823"/>
      <c r="AP43" s="3823"/>
      <c r="AQ43" s="3823"/>
      <c r="AR43" s="3823"/>
      <c r="AS43" s="3823"/>
      <c r="AT43" s="3823"/>
      <c r="AU43" s="3823"/>
      <c r="AV43" s="3823"/>
      <c r="AW43" s="3823"/>
      <c r="AX43" s="3823"/>
      <c r="AY43" s="3823"/>
      <c r="AZ43" s="3823"/>
      <c r="BA43" s="3823"/>
      <c r="BB43" s="3823"/>
      <c r="BC43" s="3823"/>
      <c r="BD43" s="3823">
        <v>130000</v>
      </c>
      <c r="BE43" s="3823"/>
      <c r="BF43" s="3821">
        <v>7</v>
      </c>
      <c r="BG43" s="3822">
        <f>+V43+V44+V45</f>
        <v>47223333</v>
      </c>
      <c r="BH43" s="3822">
        <f>+W43+W44+W45</f>
        <v>47223333</v>
      </c>
      <c r="BI43" s="3731">
        <f>+BH43/BG43</f>
        <v>1</v>
      </c>
      <c r="BJ43" s="3820" t="s">
        <v>365</v>
      </c>
      <c r="BK43" s="3820" t="s">
        <v>412</v>
      </c>
      <c r="BL43" s="3818">
        <v>44033</v>
      </c>
      <c r="BM43" s="3818">
        <v>44096</v>
      </c>
      <c r="BN43" s="3818">
        <v>44195</v>
      </c>
      <c r="BO43" s="3819">
        <v>44186</v>
      </c>
      <c r="BP43" s="3820" t="s">
        <v>367</v>
      </c>
      <c r="BQ43" s="568"/>
    </row>
    <row r="44" spans="1:69" s="553" customFormat="1" ht="46.5" customHeight="1" x14ac:dyDescent="0.25">
      <c r="A44" s="424"/>
      <c r="B44" s="562"/>
      <c r="C44" s="434"/>
      <c r="D44" s="3826"/>
      <c r="E44" s="3826"/>
      <c r="F44" s="2649"/>
      <c r="G44" s="3661"/>
      <c r="H44" s="3827"/>
      <c r="I44" s="2779"/>
      <c r="J44" s="3189"/>
      <c r="K44" s="2811"/>
      <c r="L44" s="2811"/>
      <c r="M44" s="2625"/>
      <c r="N44" s="3264"/>
      <c r="O44" s="3479"/>
      <c r="P44" s="3697"/>
      <c r="Q44" s="3824"/>
      <c r="R44" s="2864"/>
      <c r="S44" s="2864"/>
      <c r="T44" s="2778"/>
      <c r="U44" s="2463">
        <v>0</v>
      </c>
      <c r="V44" s="2463">
        <v>0</v>
      </c>
      <c r="W44" s="2463">
        <v>0</v>
      </c>
      <c r="X44" s="561">
        <v>20</v>
      </c>
      <c r="Y44" s="2268" t="s">
        <v>85</v>
      </c>
      <c r="Z44" s="3823"/>
      <c r="AA44" s="3823"/>
      <c r="AB44" s="3823"/>
      <c r="AC44" s="3823"/>
      <c r="AD44" s="3823"/>
      <c r="AE44" s="3823"/>
      <c r="AF44" s="3823"/>
      <c r="AG44" s="3823"/>
      <c r="AH44" s="3823"/>
      <c r="AI44" s="3823"/>
      <c r="AJ44" s="3823"/>
      <c r="AK44" s="3823"/>
      <c r="AL44" s="3823"/>
      <c r="AM44" s="3823"/>
      <c r="AN44" s="3823"/>
      <c r="AO44" s="3823"/>
      <c r="AP44" s="3823"/>
      <c r="AQ44" s="3823"/>
      <c r="AR44" s="3823"/>
      <c r="AS44" s="3823"/>
      <c r="AT44" s="3823"/>
      <c r="AU44" s="3823"/>
      <c r="AV44" s="3823"/>
      <c r="AW44" s="3823"/>
      <c r="AX44" s="3823"/>
      <c r="AY44" s="3823"/>
      <c r="AZ44" s="3823"/>
      <c r="BA44" s="3823"/>
      <c r="BB44" s="3823"/>
      <c r="BC44" s="3823"/>
      <c r="BD44" s="3823"/>
      <c r="BE44" s="3823"/>
      <c r="BF44" s="3821"/>
      <c r="BG44" s="3822"/>
      <c r="BH44" s="3822"/>
      <c r="BI44" s="3731"/>
      <c r="BJ44" s="3821"/>
      <c r="BK44" s="3820"/>
      <c r="BL44" s="3818"/>
      <c r="BM44" s="3818"/>
      <c r="BN44" s="3818"/>
      <c r="BO44" s="3819"/>
      <c r="BP44" s="3820"/>
      <c r="BQ44" s="568"/>
    </row>
    <row r="45" spans="1:69" s="553" customFormat="1" ht="159" customHeight="1" x14ac:dyDescent="0.25">
      <c r="A45" s="424"/>
      <c r="B45" s="562"/>
      <c r="C45" s="434"/>
      <c r="D45" s="3826"/>
      <c r="E45" s="3826"/>
      <c r="F45" s="2649"/>
      <c r="G45" s="3662"/>
      <c r="H45" s="3797"/>
      <c r="I45" s="2779"/>
      <c r="J45" s="3189"/>
      <c r="K45" s="2812"/>
      <c r="L45" s="2812"/>
      <c r="M45" s="2625"/>
      <c r="N45" s="3264"/>
      <c r="O45" s="3479"/>
      <c r="P45" s="3697"/>
      <c r="Q45" s="3824"/>
      <c r="R45" s="2865"/>
      <c r="S45" s="2865"/>
      <c r="T45" s="380" t="s">
        <v>470</v>
      </c>
      <c r="U45" s="2463">
        <v>25000000</v>
      </c>
      <c r="V45" s="2463">
        <v>22490000</v>
      </c>
      <c r="W45" s="2463">
        <v>22490000</v>
      </c>
      <c r="X45" s="561">
        <v>20</v>
      </c>
      <c r="Y45" s="2268" t="s">
        <v>85</v>
      </c>
      <c r="Z45" s="3823"/>
      <c r="AA45" s="3823"/>
      <c r="AB45" s="3823"/>
      <c r="AC45" s="3823"/>
      <c r="AD45" s="3823"/>
      <c r="AE45" s="3823"/>
      <c r="AF45" s="3823"/>
      <c r="AG45" s="3823"/>
      <c r="AH45" s="3823"/>
      <c r="AI45" s="3823"/>
      <c r="AJ45" s="3823"/>
      <c r="AK45" s="3823"/>
      <c r="AL45" s="3823"/>
      <c r="AM45" s="3823"/>
      <c r="AN45" s="3823"/>
      <c r="AO45" s="3823"/>
      <c r="AP45" s="3823"/>
      <c r="AQ45" s="3823"/>
      <c r="AR45" s="3823"/>
      <c r="AS45" s="3823"/>
      <c r="AT45" s="3823"/>
      <c r="AU45" s="3823"/>
      <c r="AV45" s="3823"/>
      <c r="AW45" s="3823"/>
      <c r="AX45" s="3823"/>
      <c r="AY45" s="3823"/>
      <c r="AZ45" s="3823"/>
      <c r="BA45" s="3823"/>
      <c r="BB45" s="3823"/>
      <c r="BC45" s="3823"/>
      <c r="BD45" s="3823"/>
      <c r="BE45" s="3823"/>
      <c r="BF45" s="3821"/>
      <c r="BG45" s="3822"/>
      <c r="BH45" s="3822"/>
      <c r="BI45" s="3731"/>
      <c r="BJ45" s="3821"/>
      <c r="BK45" s="3820"/>
      <c r="BL45" s="3818"/>
      <c r="BM45" s="3818"/>
      <c r="BN45" s="3818"/>
      <c r="BO45" s="3819"/>
      <c r="BP45" s="3820"/>
      <c r="BQ45" s="568"/>
    </row>
    <row r="46" spans="1:69" s="553" customFormat="1" ht="15.75" x14ac:dyDescent="0.25">
      <c r="A46" s="3635"/>
      <c r="B46" s="3636"/>
      <c r="C46" s="3637"/>
      <c r="D46" s="579">
        <v>9</v>
      </c>
      <c r="E46" s="580" t="s">
        <v>471</v>
      </c>
      <c r="F46" s="581"/>
      <c r="G46" s="616"/>
      <c r="H46" s="616"/>
      <c r="I46" s="617"/>
      <c r="J46" s="617"/>
      <c r="K46" s="618"/>
      <c r="L46" s="618"/>
      <c r="M46" s="1076"/>
      <c r="N46" s="618"/>
      <c r="O46" s="617"/>
      <c r="P46" s="617"/>
      <c r="Q46" s="619"/>
      <c r="R46" s="617"/>
      <c r="S46" s="617"/>
      <c r="T46" s="617"/>
      <c r="U46" s="2477"/>
      <c r="V46" s="2477"/>
      <c r="W46" s="2477"/>
      <c r="X46" s="620"/>
      <c r="Y46" s="1076"/>
      <c r="Z46" s="620"/>
      <c r="AA46" s="620"/>
      <c r="AB46" s="620"/>
      <c r="AC46" s="620"/>
      <c r="AD46" s="620"/>
      <c r="AE46" s="620"/>
      <c r="AF46" s="620"/>
      <c r="AG46" s="620"/>
      <c r="AH46" s="620"/>
      <c r="AI46" s="620"/>
      <c r="AJ46" s="620"/>
      <c r="AK46" s="620"/>
      <c r="AL46" s="620"/>
      <c r="AM46" s="620"/>
      <c r="AN46" s="620"/>
      <c r="AO46" s="620"/>
      <c r="AP46" s="620"/>
      <c r="AQ46" s="620"/>
      <c r="AR46" s="620"/>
      <c r="AS46" s="620"/>
      <c r="AT46" s="620"/>
      <c r="AU46" s="620"/>
      <c r="AV46" s="620"/>
      <c r="AW46" s="620"/>
      <c r="AX46" s="620"/>
      <c r="AY46" s="620"/>
      <c r="AZ46" s="620"/>
      <c r="BA46" s="620"/>
      <c r="BB46" s="620"/>
      <c r="BC46" s="620"/>
      <c r="BD46" s="620"/>
      <c r="BE46" s="620"/>
      <c r="BF46" s="620"/>
      <c r="BG46" s="620"/>
      <c r="BH46" s="620"/>
      <c r="BI46" s="620"/>
      <c r="BJ46" s="620"/>
      <c r="BK46" s="620"/>
      <c r="BL46" s="620"/>
      <c r="BM46" s="620"/>
      <c r="BN46" s="620"/>
      <c r="BO46" s="620"/>
      <c r="BP46" s="620"/>
      <c r="BQ46" s="568"/>
    </row>
    <row r="47" spans="1:69" s="553" customFormat="1" ht="171.75" customHeight="1" x14ac:dyDescent="0.25">
      <c r="A47" s="621"/>
      <c r="B47" s="622"/>
      <c r="C47" s="623"/>
      <c r="D47" s="624"/>
      <c r="E47" s="624"/>
      <c r="F47" s="625"/>
      <c r="G47" s="626">
        <v>1708016</v>
      </c>
      <c r="H47" s="626" t="s">
        <v>472</v>
      </c>
      <c r="I47" s="571" t="s">
        <v>448</v>
      </c>
      <c r="J47" s="385" t="s">
        <v>473</v>
      </c>
      <c r="K47" s="362">
        <v>2</v>
      </c>
      <c r="L47" s="362">
        <v>2</v>
      </c>
      <c r="M47" s="2581" t="s">
        <v>474</v>
      </c>
      <c r="N47" s="2721" t="s">
        <v>475</v>
      </c>
      <c r="O47" s="2707" t="s">
        <v>476</v>
      </c>
      <c r="P47" s="604">
        <f>+U47/Q47</f>
        <v>0.50850723193927094</v>
      </c>
      <c r="Q47" s="3664">
        <v>30519269</v>
      </c>
      <c r="R47" s="2707" t="s">
        <v>477</v>
      </c>
      <c r="S47" s="2707" t="s">
        <v>478</v>
      </c>
      <c r="T47" s="571" t="s">
        <v>479</v>
      </c>
      <c r="U47" s="2469">
        <v>15519269</v>
      </c>
      <c r="V47" s="2469">
        <v>10366666</v>
      </c>
      <c r="W47" s="2469">
        <v>10366666</v>
      </c>
      <c r="X47" s="361">
        <v>88</v>
      </c>
      <c r="Y47" s="2234" t="s">
        <v>369</v>
      </c>
      <c r="Z47" s="2789">
        <v>3000</v>
      </c>
      <c r="AA47" s="2789"/>
      <c r="AB47" s="2789">
        <v>3000</v>
      </c>
      <c r="AC47" s="2789"/>
      <c r="AD47" s="2789">
        <v>2000</v>
      </c>
      <c r="AE47" s="2789"/>
      <c r="AF47" s="2789">
        <v>1000</v>
      </c>
      <c r="AG47" s="2789"/>
      <c r="AH47" s="2789">
        <v>2500</v>
      </c>
      <c r="AI47" s="2789"/>
      <c r="AJ47" s="2789">
        <v>500</v>
      </c>
      <c r="AK47" s="2789"/>
      <c r="AL47" s="2789"/>
      <c r="AM47" s="2789"/>
      <c r="AN47" s="2789"/>
      <c r="AO47" s="2789"/>
      <c r="AP47" s="2789"/>
      <c r="AQ47" s="2789"/>
      <c r="AR47" s="2789"/>
      <c r="AS47" s="2789"/>
      <c r="AT47" s="2789"/>
      <c r="AU47" s="2789"/>
      <c r="AV47" s="2789"/>
      <c r="AW47" s="2789"/>
      <c r="AX47" s="2789"/>
      <c r="AY47" s="2789"/>
      <c r="AZ47" s="2789"/>
      <c r="BA47" s="2789"/>
      <c r="BB47" s="2789"/>
      <c r="BC47" s="2789"/>
      <c r="BD47" s="2789">
        <v>6000</v>
      </c>
      <c r="BE47" s="2789"/>
      <c r="BF47" s="3643">
        <v>4</v>
      </c>
      <c r="BG47" s="3638">
        <f>+V47+V48</f>
        <v>25366665</v>
      </c>
      <c r="BH47" s="3638">
        <f>+W47+W48</f>
        <v>25366665</v>
      </c>
      <c r="BI47" s="3460">
        <v>1</v>
      </c>
      <c r="BJ47" s="3632" t="s">
        <v>411</v>
      </c>
      <c r="BK47" s="3632" t="s">
        <v>412</v>
      </c>
      <c r="BL47" s="3626">
        <v>44033</v>
      </c>
      <c r="BM47" s="3626">
        <v>44084</v>
      </c>
      <c r="BN47" s="3626">
        <v>44195</v>
      </c>
      <c r="BO47" s="3629">
        <v>44185</v>
      </c>
      <c r="BP47" s="3632" t="s">
        <v>367</v>
      </c>
      <c r="BQ47" s="568"/>
    </row>
    <row r="48" spans="1:69" s="568" customFormat="1" ht="60" x14ac:dyDescent="0.25">
      <c r="A48" s="628"/>
      <c r="B48" s="629"/>
      <c r="C48" s="629"/>
      <c r="D48" s="629"/>
      <c r="E48" s="629"/>
      <c r="F48" s="630"/>
      <c r="G48" s="627">
        <v>1708051</v>
      </c>
      <c r="H48" s="626" t="s">
        <v>480</v>
      </c>
      <c r="I48" s="385" t="s">
        <v>481</v>
      </c>
      <c r="J48" s="385" t="s">
        <v>482</v>
      </c>
      <c r="K48" s="145">
        <v>1</v>
      </c>
      <c r="L48" s="145">
        <v>1</v>
      </c>
      <c r="M48" s="2726"/>
      <c r="N48" s="2723"/>
      <c r="O48" s="2709"/>
      <c r="P48" s="631">
        <f>U48/Q47</f>
        <v>0.49149276806072911</v>
      </c>
      <c r="Q48" s="3665"/>
      <c r="R48" s="2709"/>
      <c r="S48" s="2709"/>
      <c r="T48" s="571" t="s">
        <v>483</v>
      </c>
      <c r="U48" s="2469">
        <v>15000000</v>
      </c>
      <c r="V48" s="2469">
        <v>14999999</v>
      </c>
      <c r="W48" s="2469">
        <v>14999999</v>
      </c>
      <c r="X48" s="361">
        <v>88</v>
      </c>
      <c r="Y48" s="2268" t="s">
        <v>369</v>
      </c>
      <c r="Z48" s="2791"/>
      <c r="AA48" s="2791"/>
      <c r="AB48" s="2791"/>
      <c r="AC48" s="2791"/>
      <c r="AD48" s="2791"/>
      <c r="AE48" s="2791"/>
      <c r="AF48" s="2791"/>
      <c r="AG48" s="2791"/>
      <c r="AH48" s="2791"/>
      <c r="AI48" s="2791"/>
      <c r="AJ48" s="2791"/>
      <c r="AK48" s="2791"/>
      <c r="AL48" s="2791"/>
      <c r="AM48" s="2791"/>
      <c r="AN48" s="2791"/>
      <c r="AO48" s="2791"/>
      <c r="AP48" s="2791"/>
      <c r="AQ48" s="2791"/>
      <c r="AR48" s="2791"/>
      <c r="AS48" s="2791"/>
      <c r="AT48" s="2791"/>
      <c r="AU48" s="2791"/>
      <c r="AV48" s="2791"/>
      <c r="AW48" s="2791"/>
      <c r="AX48" s="2791"/>
      <c r="AY48" s="2791"/>
      <c r="AZ48" s="2791"/>
      <c r="BA48" s="2791"/>
      <c r="BB48" s="2791"/>
      <c r="BC48" s="2791"/>
      <c r="BD48" s="2791"/>
      <c r="BE48" s="2791"/>
      <c r="BF48" s="3642"/>
      <c r="BG48" s="3640"/>
      <c r="BH48" s="3640"/>
      <c r="BI48" s="3462"/>
      <c r="BJ48" s="3634"/>
      <c r="BK48" s="3634"/>
      <c r="BL48" s="3628"/>
      <c r="BM48" s="3628"/>
      <c r="BN48" s="3628"/>
      <c r="BO48" s="3631"/>
      <c r="BP48" s="3634"/>
    </row>
    <row r="49" spans="1:69" s="553" customFormat="1" ht="15.75" x14ac:dyDescent="0.25">
      <c r="A49" s="3635"/>
      <c r="B49" s="3636"/>
      <c r="C49" s="3637"/>
      <c r="D49" s="579">
        <v>10</v>
      </c>
      <c r="E49" s="3813" t="s">
        <v>484</v>
      </c>
      <c r="F49" s="3813"/>
      <c r="G49" s="3814"/>
      <c r="H49" s="3813"/>
      <c r="I49" s="3814"/>
      <c r="J49" s="3814"/>
      <c r="K49" s="3814"/>
      <c r="L49" s="84"/>
      <c r="M49" s="448"/>
      <c r="N49" s="632"/>
      <c r="O49" s="85"/>
      <c r="P49" s="633"/>
      <c r="Q49" s="634"/>
      <c r="R49" s="85"/>
      <c r="S49" s="85"/>
      <c r="T49" s="85"/>
      <c r="U49" s="2474"/>
      <c r="V49" s="2477"/>
      <c r="W49" s="2477"/>
      <c r="X49" s="620"/>
      <c r="Y49" s="1076"/>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89"/>
      <c r="BL49" s="605"/>
      <c r="BM49" s="605"/>
      <c r="BN49" s="605"/>
      <c r="BO49" s="605"/>
      <c r="BP49" s="605"/>
      <c r="BQ49" s="568"/>
    </row>
    <row r="50" spans="1:69" s="553" customFormat="1" ht="49.5" customHeight="1" x14ac:dyDescent="0.25">
      <c r="A50" s="424"/>
      <c r="B50" s="562"/>
      <c r="C50" s="562"/>
      <c r="D50" s="426"/>
      <c r="E50" s="427"/>
      <c r="F50" s="428"/>
      <c r="G50" s="574">
        <v>1709019</v>
      </c>
      <c r="H50" s="1867" t="s">
        <v>485</v>
      </c>
      <c r="I50" s="635" t="s">
        <v>486</v>
      </c>
      <c r="J50" s="385" t="s">
        <v>486</v>
      </c>
      <c r="K50" s="362">
        <v>2</v>
      </c>
      <c r="L50" s="362">
        <v>0</v>
      </c>
      <c r="M50" s="2581" t="s">
        <v>487</v>
      </c>
      <c r="N50" s="3815" t="s">
        <v>434</v>
      </c>
      <c r="O50" s="3816" t="s">
        <v>488</v>
      </c>
      <c r="P50" s="604">
        <f>+U50/105000000</f>
        <v>0.47619047619047616</v>
      </c>
      <c r="Q50" s="3817">
        <v>75000000</v>
      </c>
      <c r="R50" s="2707" t="s">
        <v>436</v>
      </c>
      <c r="S50" s="2707" t="s">
        <v>437</v>
      </c>
      <c r="T50" s="571" t="s">
        <v>489</v>
      </c>
      <c r="U50" s="2468">
        <v>50000000</v>
      </c>
      <c r="V50" s="2478">
        <v>43451176</v>
      </c>
      <c r="W50" s="2478">
        <v>43451176</v>
      </c>
      <c r="X50" s="561">
        <v>88</v>
      </c>
      <c r="Y50" s="2214" t="s">
        <v>369</v>
      </c>
      <c r="Z50" s="3801">
        <v>600</v>
      </c>
      <c r="AA50" s="3801"/>
      <c r="AB50" s="3801">
        <v>600</v>
      </c>
      <c r="AC50" s="3801"/>
      <c r="AD50" s="3801">
        <v>125</v>
      </c>
      <c r="AE50" s="3801"/>
      <c r="AF50" s="3801">
        <v>75</v>
      </c>
      <c r="AG50" s="3801"/>
      <c r="AH50" s="3801">
        <v>300</v>
      </c>
      <c r="AI50" s="3801"/>
      <c r="AJ50" s="3801">
        <v>700</v>
      </c>
      <c r="AK50" s="3801"/>
      <c r="AL50" s="3801"/>
      <c r="AM50" s="3801"/>
      <c r="AN50" s="3801"/>
      <c r="AO50" s="3801"/>
      <c r="AP50" s="3801"/>
      <c r="AQ50" s="3801"/>
      <c r="AR50" s="3801"/>
      <c r="AS50" s="3801"/>
      <c r="AT50" s="3801"/>
      <c r="AU50" s="3801"/>
      <c r="AV50" s="3801"/>
      <c r="AW50" s="3801"/>
      <c r="AX50" s="3801"/>
      <c r="AY50" s="3801"/>
      <c r="AZ50" s="3801"/>
      <c r="BA50" s="3801"/>
      <c r="BB50" s="3801"/>
      <c r="BC50" s="3801"/>
      <c r="BD50" s="3801">
        <v>1200</v>
      </c>
      <c r="BE50" s="3801"/>
      <c r="BF50" s="3807">
        <v>0</v>
      </c>
      <c r="BG50" s="3809">
        <f>+V50+V51+V52</f>
        <v>67845000</v>
      </c>
      <c r="BH50" s="3809">
        <f>+W50+W51+W52</f>
        <v>67845000</v>
      </c>
      <c r="BI50" s="3811">
        <v>1</v>
      </c>
      <c r="BJ50" s="3799" t="s">
        <v>411</v>
      </c>
      <c r="BK50" s="3799" t="s">
        <v>490</v>
      </c>
      <c r="BL50" s="3803">
        <v>44033</v>
      </c>
      <c r="BM50" s="3803">
        <v>44033</v>
      </c>
      <c r="BN50" s="3803">
        <v>44195</v>
      </c>
      <c r="BO50" s="3805">
        <v>44195</v>
      </c>
      <c r="BP50" s="3799" t="s">
        <v>367</v>
      </c>
      <c r="BQ50" s="568"/>
    </row>
    <row r="51" spans="1:69" s="553" customFormat="1" ht="48.75" customHeight="1" x14ac:dyDescent="0.25">
      <c r="A51" s="424"/>
      <c r="B51" s="562"/>
      <c r="C51" s="562"/>
      <c r="D51" s="424"/>
      <c r="E51" s="562"/>
      <c r="F51" s="434"/>
      <c r="G51" s="3796">
        <v>1709034</v>
      </c>
      <c r="H51" s="3798" t="s">
        <v>491</v>
      </c>
      <c r="I51" s="2779" t="s">
        <v>492</v>
      </c>
      <c r="J51" s="3452" t="s">
        <v>492</v>
      </c>
      <c r="K51" s="2601">
        <v>1</v>
      </c>
      <c r="L51" s="2601">
        <v>1</v>
      </c>
      <c r="M51" s="2582"/>
      <c r="N51" s="3815"/>
      <c r="O51" s="3816"/>
      <c r="P51" s="3442">
        <f>+(U51+U52)/(105000000)</f>
        <v>0.23809523809523808</v>
      </c>
      <c r="Q51" s="3817"/>
      <c r="R51" s="2708"/>
      <c r="S51" s="2708"/>
      <c r="T51" s="571" t="s">
        <v>493</v>
      </c>
      <c r="U51" s="2468">
        <v>0</v>
      </c>
      <c r="V51" s="2478">
        <v>0</v>
      </c>
      <c r="W51" s="2478">
        <v>0</v>
      </c>
      <c r="X51" s="561"/>
      <c r="Y51" s="2214"/>
      <c r="Z51" s="3802"/>
      <c r="AA51" s="3802"/>
      <c r="AB51" s="3802"/>
      <c r="AC51" s="3802"/>
      <c r="AD51" s="3802"/>
      <c r="AE51" s="3802"/>
      <c r="AF51" s="3802"/>
      <c r="AG51" s="3802"/>
      <c r="AH51" s="3802"/>
      <c r="AI51" s="3802"/>
      <c r="AJ51" s="3802"/>
      <c r="AK51" s="3802"/>
      <c r="AL51" s="3802"/>
      <c r="AM51" s="3802"/>
      <c r="AN51" s="3802"/>
      <c r="AO51" s="3802"/>
      <c r="AP51" s="3802"/>
      <c r="AQ51" s="3802"/>
      <c r="AR51" s="3802"/>
      <c r="AS51" s="3802"/>
      <c r="AT51" s="3802"/>
      <c r="AU51" s="3802"/>
      <c r="AV51" s="3802"/>
      <c r="AW51" s="3802"/>
      <c r="AX51" s="3802"/>
      <c r="AY51" s="3802"/>
      <c r="AZ51" s="3802"/>
      <c r="BA51" s="3802"/>
      <c r="BB51" s="3802"/>
      <c r="BC51" s="3802"/>
      <c r="BD51" s="3802"/>
      <c r="BE51" s="3802"/>
      <c r="BF51" s="3808"/>
      <c r="BG51" s="3810"/>
      <c r="BH51" s="3810"/>
      <c r="BI51" s="3812"/>
      <c r="BJ51" s="3800"/>
      <c r="BK51" s="3800"/>
      <c r="BL51" s="3804"/>
      <c r="BM51" s="3804"/>
      <c r="BN51" s="3804"/>
      <c r="BO51" s="3806"/>
      <c r="BP51" s="3800"/>
      <c r="BQ51" s="568"/>
    </row>
    <row r="52" spans="1:69" s="553" customFormat="1" ht="60" x14ac:dyDescent="0.25">
      <c r="A52" s="424"/>
      <c r="B52" s="562"/>
      <c r="C52" s="562"/>
      <c r="D52" s="424"/>
      <c r="E52" s="562"/>
      <c r="F52" s="434"/>
      <c r="G52" s="3797"/>
      <c r="H52" s="3798"/>
      <c r="I52" s="2779"/>
      <c r="J52" s="3454"/>
      <c r="K52" s="3423"/>
      <c r="L52" s="3423"/>
      <c r="M52" s="2582"/>
      <c r="N52" s="3815"/>
      <c r="O52" s="3816"/>
      <c r="P52" s="3663"/>
      <c r="Q52" s="3817"/>
      <c r="R52" s="2708"/>
      <c r="S52" s="2708"/>
      <c r="T52" s="571" t="s">
        <v>494</v>
      </c>
      <c r="U52" s="2468">
        <v>25000000</v>
      </c>
      <c r="V52" s="2478">
        <v>24393824</v>
      </c>
      <c r="W52" s="2478">
        <v>24393824</v>
      </c>
      <c r="X52" s="561">
        <v>88</v>
      </c>
      <c r="Y52" s="2214" t="s">
        <v>369</v>
      </c>
      <c r="Z52" s="3802"/>
      <c r="AA52" s="3802"/>
      <c r="AB52" s="3802"/>
      <c r="AC52" s="3802"/>
      <c r="AD52" s="3802"/>
      <c r="AE52" s="3802"/>
      <c r="AF52" s="3802"/>
      <c r="AG52" s="3802"/>
      <c r="AH52" s="3802"/>
      <c r="AI52" s="3802"/>
      <c r="AJ52" s="3802"/>
      <c r="AK52" s="3802"/>
      <c r="AL52" s="3802"/>
      <c r="AM52" s="3802"/>
      <c r="AN52" s="3802"/>
      <c r="AO52" s="3802"/>
      <c r="AP52" s="3802"/>
      <c r="AQ52" s="3802"/>
      <c r="AR52" s="3802"/>
      <c r="AS52" s="3802"/>
      <c r="AT52" s="3802"/>
      <c r="AU52" s="3802"/>
      <c r="AV52" s="3802"/>
      <c r="AW52" s="3802"/>
      <c r="AX52" s="3802"/>
      <c r="AY52" s="3802"/>
      <c r="AZ52" s="3802"/>
      <c r="BA52" s="3802"/>
      <c r="BB52" s="3802"/>
      <c r="BC52" s="3802"/>
      <c r="BD52" s="3802"/>
      <c r="BE52" s="3802"/>
      <c r="BF52" s="3808"/>
      <c r="BG52" s="3810"/>
      <c r="BH52" s="3810"/>
      <c r="BI52" s="3812"/>
      <c r="BJ52" s="3800"/>
      <c r="BK52" s="3800"/>
      <c r="BL52" s="3804"/>
      <c r="BM52" s="3804"/>
      <c r="BN52" s="3804"/>
      <c r="BO52" s="3806"/>
      <c r="BP52" s="3800"/>
      <c r="BQ52" s="568"/>
    </row>
    <row r="53" spans="1:69" s="553" customFormat="1" ht="15.75" x14ac:dyDescent="0.25">
      <c r="A53" s="3635"/>
      <c r="B53" s="3636"/>
      <c r="C53" s="3637"/>
      <c r="D53" s="579">
        <v>27</v>
      </c>
      <c r="E53" s="580" t="s">
        <v>495</v>
      </c>
      <c r="F53" s="581"/>
      <c r="G53" s="616"/>
      <c r="H53" s="618"/>
      <c r="I53" s="603"/>
      <c r="J53" s="603"/>
      <c r="K53" s="616"/>
      <c r="L53" s="616"/>
      <c r="M53" s="2461"/>
      <c r="N53" s="582"/>
      <c r="O53" s="583"/>
      <c r="P53" s="584"/>
      <c r="Q53" s="585"/>
      <c r="R53" s="583"/>
      <c r="S53" s="583"/>
      <c r="T53" s="603"/>
      <c r="U53" s="2473"/>
      <c r="V53" s="2477"/>
      <c r="W53" s="2477"/>
      <c r="X53" s="620"/>
      <c r="Y53" s="1076"/>
      <c r="Z53" s="602"/>
      <c r="AA53" s="602"/>
      <c r="AB53" s="602"/>
      <c r="AC53" s="602"/>
      <c r="AD53" s="602"/>
      <c r="AE53" s="602"/>
      <c r="AF53" s="602"/>
      <c r="AG53" s="602"/>
      <c r="AH53" s="602"/>
      <c r="AI53" s="602"/>
      <c r="AJ53" s="602"/>
      <c r="AK53" s="602"/>
      <c r="AL53" s="602"/>
      <c r="AM53" s="602"/>
      <c r="AN53" s="602"/>
      <c r="AO53" s="602"/>
      <c r="AP53" s="602"/>
      <c r="AQ53" s="602"/>
      <c r="AR53" s="602"/>
      <c r="AS53" s="602"/>
      <c r="AT53" s="602"/>
      <c r="AU53" s="602"/>
      <c r="AV53" s="602"/>
      <c r="AW53" s="602"/>
      <c r="AX53" s="602"/>
      <c r="AY53" s="602"/>
      <c r="AZ53" s="602"/>
      <c r="BA53" s="602"/>
      <c r="BB53" s="602"/>
      <c r="BC53" s="602"/>
      <c r="BD53" s="602"/>
      <c r="BE53" s="602"/>
      <c r="BF53" s="602"/>
      <c r="BG53" s="602"/>
      <c r="BH53" s="602"/>
      <c r="BI53" s="602"/>
      <c r="BJ53" s="602"/>
      <c r="BK53" s="636"/>
      <c r="BL53" s="602"/>
      <c r="BM53" s="602"/>
      <c r="BN53" s="602"/>
      <c r="BO53" s="602"/>
      <c r="BP53" s="602"/>
      <c r="BQ53" s="568"/>
    </row>
    <row r="54" spans="1:69" s="553" customFormat="1" ht="37.5" customHeight="1" x14ac:dyDescent="0.25">
      <c r="A54" s="606"/>
      <c r="B54" s="607"/>
      <c r="C54" s="607"/>
      <c r="D54" s="3789"/>
      <c r="E54" s="3792"/>
      <c r="F54" s="3792"/>
      <c r="G54" s="3744">
        <v>3502017</v>
      </c>
      <c r="H54" s="3744" t="s">
        <v>496</v>
      </c>
      <c r="I54" s="3087" t="s">
        <v>497</v>
      </c>
      <c r="J54" s="2779" t="s">
        <v>498</v>
      </c>
      <c r="K54" s="3470">
        <v>6</v>
      </c>
      <c r="L54" s="3470">
        <v>2</v>
      </c>
      <c r="M54" s="2625" t="s">
        <v>389</v>
      </c>
      <c r="N54" s="2793" t="s">
        <v>390</v>
      </c>
      <c r="O54" s="3235" t="s">
        <v>391</v>
      </c>
      <c r="P54" s="3442">
        <f>+(U54+U55+U56)/(114200000)</f>
        <v>0.19385989492119091</v>
      </c>
      <c r="Q54" s="3786">
        <v>40000000</v>
      </c>
      <c r="R54" s="2707" t="s">
        <v>392</v>
      </c>
      <c r="S54" s="3784" t="s">
        <v>393</v>
      </c>
      <c r="T54" s="377" t="s">
        <v>499</v>
      </c>
      <c r="U54" s="2463">
        <v>5000000</v>
      </c>
      <c r="V54" s="2463">
        <v>5000000</v>
      </c>
      <c r="W54" s="2463">
        <v>5000000</v>
      </c>
      <c r="X54" s="637">
        <v>20</v>
      </c>
      <c r="Y54" s="2212" t="s">
        <v>85</v>
      </c>
      <c r="Z54" s="3781">
        <v>100</v>
      </c>
      <c r="AA54" s="3781">
        <v>18</v>
      </c>
      <c r="AB54" s="3781">
        <v>60</v>
      </c>
      <c r="AC54" s="3781">
        <v>15</v>
      </c>
      <c r="AD54" s="3781">
        <v>0</v>
      </c>
      <c r="AE54" s="3781"/>
      <c r="AF54" s="3781">
        <v>0</v>
      </c>
      <c r="AG54" s="3781"/>
      <c r="AH54" s="3781">
        <v>110</v>
      </c>
      <c r="AI54" s="3781"/>
      <c r="AJ54" s="3781">
        <v>50</v>
      </c>
      <c r="AK54" s="3781"/>
      <c r="AL54" s="3781">
        <v>0</v>
      </c>
      <c r="AM54" s="3781"/>
      <c r="AN54" s="3781">
        <v>0</v>
      </c>
      <c r="AO54" s="3781"/>
      <c r="AP54" s="3781">
        <v>0</v>
      </c>
      <c r="AQ54" s="3781"/>
      <c r="AR54" s="3781">
        <v>0</v>
      </c>
      <c r="AS54" s="3781"/>
      <c r="AT54" s="3781">
        <v>0</v>
      </c>
      <c r="AU54" s="3781"/>
      <c r="AV54" s="3781">
        <v>0</v>
      </c>
      <c r="AW54" s="3781"/>
      <c r="AX54" s="3781">
        <v>0</v>
      </c>
      <c r="AY54" s="3781"/>
      <c r="AZ54" s="3781">
        <v>0</v>
      </c>
      <c r="BA54" s="3781"/>
      <c r="BB54" s="3781">
        <v>0</v>
      </c>
      <c r="BC54" s="3781"/>
      <c r="BD54" s="3781">
        <v>160</v>
      </c>
      <c r="BE54" s="3781">
        <v>33</v>
      </c>
      <c r="BF54" s="3690">
        <v>5</v>
      </c>
      <c r="BG54" s="3692">
        <f>+V54+V55+V56+V57</f>
        <v>38933333</v>
      </c>
      <c r="BH54" s="3692">
        <f>+W54+W55+W56+W57</f>
        <v>38933333</v>
      </c>
      <c r="BI54" s="3683">
        <f>+BH54/BG54</f>
        <v>1</v>
      </c>
      <c r="BJ54" s="3685" t="s">
        <v>365</v>
      </c>
      <c r="BK54" s="3685" t="s">
        <v>490</v>
      </c>
      <c r="BL54" s="3686">
        <v>43832</v>
      </c>
      <c r="BM54" s="3686">
        <v>43874</v>
      </c>
      <c r="BN54" s="3686">
        <v>44195</v>
      </c>
      <c r="BO54" s="3688">
        <v>44186</v>
      </c>
      <c r="BP54" s="3685" t="s">
        <v>367</v>
      </c>
      <c r="BQ54" s="568"/>
    </row>
    <row r="55" spans="1:69" s="553" customFormat="1" ht="37.5" customHeight="1" x14ac:dyDescent="0.25">
      <c r="A55" s="606"/>
      <c r="B55" s="607"/>
      <c r="C55" s="607"/>
      <c r="D55" s="3790"/>
      <c r="E55" s="3793"/>
      <c r="F55" s="3793"/>
      <c r="G55" s="3744"/>
      <c r="H55" s="3744"/>
      <c r="I55" s="3087"/>
      <c r="J55" s="2779"/>
      <c r="K55" s="3497"/>
      <c r="L55" s="3497"/>
      <c r="M55" s="2625"/>
      <c r="N55" s="2794"/>
      <c r="O55" s="3236"/>
      <c r="P55" s="3675"/>
      <c r="Q55" s="3787"/>
      <c r="R55" s="2708"/>
      <c r="S55" s="2764"/>
      <c r="T55" s="2708" t="s">
        <v>500</v>
      </c>
      <c r="U55" s="2467">
        <v>10000000</v>
      </c>
      <c r="V55" s="2479">
        <v>10000000</v>
      </c>
      <c r="W55" s="2479">
        <v>10000000</v>
      </c>
      <c r="X55" s="638">
        <v>88</v>
      </c>
      <c r="Y55" s="2259" t="s">
        <v>411</v>
      </c>
      <c r="Z55" s="3782"/>
      <c r="AA55" s="3782"/>
      <c r="AB55" s="3782"/>
      <c r="AC55" s="3782"/>
      <c r="AD55" s="3782"/>
      <c r="AE55" s="3782"/>
      <c r="AF55" s="3782"/>
      <c r="AG55" s="3782"/>
      <c r="AH55" s="3782"/>
      <c r="AI55" s="3782"/>
      <c r="AJ55" s="3782"/>
      <c r="AK55" s="3782"/>
      <c r="AL55" s="3782"/>
      <c r="AM55" s="3782"/>
      <c r="AN55" s="3782"/>
      <c r="AO55" s="3782"/>
      <c r="AP55" s="3782"/>
      <c r="AQ55" s="3782"/>
      <c r="AR55" s="3782"/>
      <c r="AS55" s="3782"/>
      <c r="AT55" s="3782"/>
      <c r="AU55" s="3782"/>
      <c r="AV55" s="3782"/>
      <c r="AW55" s="3782"/>
      <c r="AX55" s="3782"/>
      <c r="AY55" s="3782"/>
      <c r="AZ55" s="3782"/>
      <c r="BA55" s="3782"/>
      <c r="BB55" s="3782"/>
      <c r="BC55" s="3782"/>
      <c r="BD55" s="3782"/>
      <c r="BE55" s="3782"/>
      <c r="BF55" s="3780"/>
      <c r="BG55" s="3779"/>
      <c r="BH55" s="3779"/>
      <c r="BI55" s="3024"/>
      <c r="BJ55" s="3780"/>
      <c r="BK55" s="3677"/>
      <c r="BL55" s="3772"/>
      <c r="BM55" s="3772"/>
      <c r="BN55" s="3772"/>
      <c r="BO55" s="3773"/>
      <c r="BP55" s="3677"/>
      <c r="BQ55" s="568"/>
    </row>
    <row r="56" spans="1:69" s="553" customFormat="1" ht="37.5" customHeight="1" x14ac:dyDescent="0.25">
      <c r="A56" s="424"/>
      <c r="B56" s="562"/>
      <c r="C56" s="562"/>
      <c r="D56" s="3790"/>
      <c r="E56" s="3793"/>
      <c r="F56" s="3793"/>
      <c r="G56" s="3744"/>
      <c r="H56" s="3744"/>
      <c r="I56" s="3087"/>
      <c r="J56" s="2779"/>
      <c r="K56" s="3471"/>
      <c r="L56" s="3471"/>
      <c r="M56" s="2625"/>
      <c r="N56" s="2794"/>
      <c r="O56" s="3236"/>
      <c r="P56" s="3675"/>
      <c r="Q56" s="3787"/>
      <c r="R56" s="2708"/>
      <c r="S56" s="2764"/>
      <c r="T56" s="2709"/>
      <c r="U56" s="2468">
        <v>7138800</v>
      </c>
      <c r="V56" s="2463">
        <v>7138800</v>
      </c>
      <c r="W56" s="2463">
        <v>7138800</v>
      </c>
      <c r="X56" s="637">
        <v>20</v>
      </c>
      <c r="Y56" s="2212" t="s">
        <v>85</v>
      </c>
      <c r="Z56" s="3782"/>
      <c r="AA56" s="3782"/>
      <c r="AB56" s="3782"/>
      <c r="AC56" s="3782"/>
      <c r="AD56" s="3782"/>
      <c r="AE56" s="3782"/>
      <c r="AF56" s="3782"/>
      <c r="AG56" s="3782"/>
      <c r="AH56" s="3782"/>
      <c r="AI56" s="3782"/>
      <c r="AJ56" s="3782"/>
      <c r="AK56" s="3782"/>
      <c r="AL56" s="3782"/>
      <c r="AM56" s="3782"/>
      <c r="AN56" s="3782"/>
      <c r="AO56" s="3782"/>
      <c r="AP56" s="3782"/>
      <c r="AQ56" s="3782"/>
      <c r="AR56" s="3782"/>
      <c r="AS56" s="3782"/>
      <c r="AT56" s="3782"/>
      <c r="AU56" s="3782"/>
      <c r="AV56" s="3782"/>
      <c r="AW56" s="3782"/>
      <c r="AX56" s="3782"/>
      <c r="AY56" s="3782"/>
      <c r="AZ56" s="3782"/>
      <c r="BA56" s="3782"/>
      <c r="BB56" s="3782"/>
      <c r="BC56" s="3782"/>
      <c r="BD56" s="3782"/>
      <c r="BE56" s="3782"/>
      <c r="BF56" s="3780"/>
      <c r="BG56" s="3779"/>
      <c r="BH56" s="3779"/>
      <c r="BI56" s="3024"/>
      <c r="BJ56" s="3780"/>
      <c r="BK56" s="3677"/>
      <c r="BL56" s="3772"/>
      <c r="BM56" s="3772"/>
      <c r="BN56" s="3772"/>
      <c r="BO56" s="3773"/>
      <c r="BP56" s="3677"/>
      <c r="BQ56" s="568"/>
    </row>
    <row r="57" spans="1:69" s="553" customFormat="1" ht="81.75" customHeight="1" x14ac:dyDescent="0.25">
      <c r="A57" s="443"/>
      <c r="B57" s="444"/>
      <c r="C57" s="444"/>
      <c r="D57" s="3791"/>
      <c r="E57" s="3794"/>
      <c r="F57" s="3795"/>
      <c r="G57" s="564">
        <v>3502007</v>
      </c>
      <c r="H57" s="1870" t="s">
        <v>501</v>
      </c>
      <c r="I57" s="639" t="s">
        <v>502</v>
      </c>
      <c r="J57" s="640" t="s">
        <v>503</v>
      </c>
      <c r="K57" s="641">
        <v>5</v>
      </c>
      <c r="L57" s="641">
        <v>3</v>
      </c>
      <c r="M57" s="2625"/>
      <c r="N57" s="2795"/>
      <c r="O57" s="3248"/>
      <c r="P57" s="642">
        <f>+U57/114200000</f>
        <v>0.15640280210157617</v>
      </c>
      <c r="Q57" s="3788"/>
      <c r="R57" s="2709"/>
      <c r="S57" s="3785"/>
      <c r="T57" s="571" t="s">
        <v>504</v>
      </c>
      <c r="U57" s="2468">
        <v>17861200</v>
      </c>
      <c r="V57" s="2463">
        <v>16794533</v>
      </c>
      <c r="W57" s="2463">
        <v>16794533</v>
      </c>
      <c r="X57" s="637">
        <v>20</v>
      </c>
      <c r="Y57" s="2212" t="s">
        <v>85</v>
      </c>
      <c r="Z57" s="3783"/>
      <c r="AA57" s="3783"/>
      <c r="AB57" s="3783"/>
      <c r="AC57" s="3783"/>
      <c r="AD57" s="3783"/>
      <c r="AE57" s="3783"/>
      <c r="AF57" s="3783"/>
      <c r="AG57" s="3783"/>
      <c r="AH57" s="3783"/>
      <c r="AI57" s="3783"/>
      <c r="AJ57" s="3783"/>
      <c r="AK57" s="3783"/>
      <c r="AL57" s="3783"/>
      <c r="AM57" s="3783"/>
      <c r="AN57" s="3783"/>
      <c r="AO57" s="3783"/>
      <c r="AP57" s="3783"/>
      <c r="AQ57" s="3783"/>
      <c r="AR57" s="3783"/>
      <c r="AS57" s="3783"/>
      <c r="AT57" s="3783"/>
      <c r="AU57" s="3783"/>
      <c r="AV57" s="3783"/>
      <c r="AW57" s="3783"/>
      <c r="AX57" s="3783"/>
      <c r="AY57" s="3783"/>
      <c r="AZ57" s="3783"/>
      <c r="BA57" s="3783"/>
      <c r="BB57" s="3783"/>
      <c r="BC57" s="3783"/>
      <c r="BD57" s="3783"/>
      <c r="BE57" s="3783"/>
      <c r="BF57" s="3691"/>
      <c r="BG57" s="3693"/>
      <c r="BH57" s="3693"/>
      <c r="BI57" s="3684"/>
      <c r="BJ57" s="3691"/>
      <c r="BK57" s="3678"/>
      <c r="BL57" s="3687"/>
      <c r="BM57" s="3687"/>
      <c r="BN57" s="3687"/>
      <c r="BO57" s="3689"/>
      <c r="BP57" s="3678"/>
      <c r="BQ57" s="568"/>
    </row>
    <row r="58" spans="1:69" s="553" customFormat="1" ht="15.75" x14ac:dyDescent="0.25">
      <c r="A58" s="643">
        <v>3</v>
      </c>
      <c r="B58" s="644" t="s">
        <v>505</v>
      </c>
      <c r="C58" s="645"/>
      <c r="D58" s="646"/>
      <c r="E58" s="646"/>
      <c r="F58" s="646"/>
      <c r="G58" s="647"/>
      <c r="H58" s="647"/>
      <c r="I58" s="648"/>
      <c r="J58" s="648"/>
      <c r="K58" s="647"/>
      <c r="L58" s="647"/>
      <c r="M58" s="2462"/>
      <c r="N58" s="547"/>
      <c r="O58" s="649"/>
      <c r="P58" s="650"/>
      <c r="Q58" s="651"/>
      <c r="R58" s="649"/>
      <c r="S58" s="649"/>
      <c r="T58" s="649"/>
      <c r="U58" s="2480"/>
      <c r="V58" s="2481"/>
      <c r="W58" s="2481"/>
      <c r="X58" s="652"/>
      <c r="Y58" s="2462"/>
      <c r="Z58" s="652"/>
      <c r="AA58" s="652"/>
      <c r="AB58" s="652"/>
      <c r="AC58" s="652"/>
      <c r="AD58" s="652"/>
      <c r="AE58" s="652"/>
      <c r="AF58" s="652"/>
      <c r="AG58" s="652"/>
      <c r="AH58" s="652"/>
      <c r="AI58" s="652"/>
      <c r="AJ58" s="652"/>
      <c r="AK58" s="652"/>
      <c r="AL58" s="652"/>
      <c r="AM58" s="652"/>
      <c r="AN58" s="652"/>
      <c r="AO58" s="652"/>
      <c r="AP58" s="652"/>
      <c r="AQ58" s="652"/>
      <c r="AR58" s="652"/>
      <c r="AS58" s="652"/>
      <c r="AT58" s="652"/>
      <c r="AU58" s="652"/>
      <c r="AV58" s="652"/>
      <c r="AW58" s="652"/>
      <c r="AX58" s="652"/>
      <c r="AY58" s="652"/>
      <c r="AZ58" s="652"/>
      <c r="BA58" s="652"/>
      <c r="BB58" s="652"/>
      <c r="BC58" s="652"/>
      <c r="BD58" s="652"/>
      <c r="BE58" s="652"/>
      <c r="BF58" s="652"/>
      <c r="BG58" s="652"/>
      <c r="BH58" s="652"/>
      <c r="BI58" s="652"/>
      <c r="BJ58" s="652"/>
      <c r="BK58" s="652"/>
      <c r="BL58" s="652"/>
      <c r="BM58" s="652"/>
      <c r="BN58" s="652"/>
      <c r="BO58" s="653"/>
      <c r="BP58" s="652"/>
      <c r="BQ58" s="568"/>
    </row>
    <row r="59" spans="1:69" s="553" customFormat="1" ht="15.75" x14ac:dyDescent="0.25">
      <c r="A59" s="3774"/>
      <c r="B59" s="3775"/>
      <c r="C59" s="3776"/>
      <c r="D59" s="654">
        <v>20</v>
      </c>
      <c r="E59" s="410" t="s">
        <v>506</v>
      </c>
      <c r="F59" s="655"/>
      <c r="G59" s="582"/>
      <c r="H59" s="582"/>
      <c r="I59" s="583"/>
      <c r="J59" s="583"/>
      <c r="K59" s="582"/>
      <c r="L59" s="582"/>
      <c r="M59" s="82"/>
      <c r="N59" s="582"/>
      <c r="O59" s="583"/>
      <c r="P59" s="584"/>
      <c r="Q59" s="585"/>
      <c r="R59" s="583"/>
      <c r="S59" s="583"/>
      <c r="T59" s="583"/>
      <c r="U59" s="2472"/>
      <c r="V59" s="2472"/>
      <c r="W59" s="2472"/>
      <c r="X59" s="587"/>
      <c r="Y59" s="82"/>
      <c r="Z59" s="587"/>
      <c r="AA59" s="587"/>
      <c r="AB59" s="587"/>
      <c r="AC59" s="587"/>
      <c r="AD59" s="587"/>
      <c r="AE59" s="587"/>
      <c r="AF59" s="587"/>
      <c r="AG59" s="587"/>
      <c r="AH59" s="587"/>
      <c r="AI59" s="587"/>
      <c r="AJ59" s="587"/>
      <c r="AK59" s="587"/>
      <c r="AL59" s="587"/>
      <c r="AM59" s="587"/>
      <c r="AN59" s="587"/>
      <c r="AO59" s="587"/>
      <c r="AP59" s="587"/>
      <c r="AQ59" s="587"/>
      <c r="AR59" s="587"/>
      <c r="AS59" s="587"/>
      <c r="AT59" s="587"/>
      <c r="AU59" s="587"/>
      <c r="AV59" s="587"/>
      <c r="AW59" s="587"/>
      <c r="AX59" s="587"/>
      <c r="AY59" s="587"/>
      <c r="AZ59" s="587"/>
      <c r="BA59" s="587"/>
      <c r="BB59" s="587"/>
      <c r="BC59" s="587"/>
      <c r="BD59" s="587"/>
      <c r="BE59" s="587"/>
      <c r="BF59" s="587"/>
      <c r="BG59" s="587"/>
      <c r="BH59" s="587"/>
      <c r="BI59" s="587"/>
      <c r="BJ59" s="587"/>
      <c r="BK59" s="587"/>
      <c r="BL59" s="587"/>
      <c r="BM59" s="587"/>
      <c r="BN59" s="587"/>
      <c r="BO59" s="587"/>
      <c r="BP59" s="587"/>
      <c r="BQ59" s="568"/>
    </row>
    <row r="60" spans="1:69" s="553" customFormat="1" ht="45" x14ac:dyDescent="0.25">
      <c r="A60" s="424"/>
      <c r="B60" s="562"/>
      <c r="C60" s="562"/>
      <c r="D60" s="426"/>
      <c r="E60" s="427"/>
      <c r="F60" s="428"/>
      <c r="G60" s="3777">
        <v>3201013</v>
      </c>
      <c r="H60" s="3660" t="s">
        <v>507</v>
      </c>
      <c r="I60" s="3235" t="s">
        <v>508</v>
      </c>
      <c r="J60" s="2908" t="s">
        <v>509</v>
      </c>
      <c r="K60" s="2601">
        <v>1</v>
      </c>
      <c r="L60" s="2601">
        <v>1</v>
      </c>
      <c r="M60" s="2581" t="s">
        <v>510</v>
      </c>
      <c r="N60" s="2721" t="s">
        <v>511</v>
      </c>
      <c r="O60" s="3235" t="s">
        <v>512</v>
      </c>
      <c r="P60" s="3442">
        <f>+(U60+U61)/Q60</f>
        <v>1</v>
      </c>
      <c r="Q60" s="3664">
        <v>40000000</v>
      </c>
      <c r="R60" s="2707" t="s">
        <v>513</v>
      </c>
      <c r="S60" s="2707" t="s">
        <v>514</v>
      </c>
      <c r="T60" s="571" t="s">
        <v>515</v>
      </c>
      <c r="U60" s="2469">
        <v>10000000</v>
      </c>
      <c r="V60" s="2469">
        <v>0</v>
      </c>
      <c r="W60" s="2469">
        <v>0</v>
      </c>
      <c r="X60" s="638">
        <v>88</v>
      </c>
      <c r="Y60" s="2259" t="s">
        <v>411</v>
      </c>
      <c r="Z60" s="2789">
        <v>39408</v>
      </c>
      <c r="AA60" s="2789"/>
      <c r="AB60" s="2789">
        <v>38892</v>
      </c>
      <c r="AC60" s="2789"/>
      <c r="AD60" s="2789">
        <v>15324</v>
      </c>
      <c r="AE60" s="2789"/>
      <c r="AF60" s="2789">
        <v>7104</v>
      </c>
      <c r="AG60" s="2789"/>
      <c r="AH60" s="2789">
        <v>40867</v>
      </c>
      <c r="AI60" s="2789"/>
      <c r="AJ60" s="2789">
        <v>15005</v>
      </c>
      <c r="AK60" s="2789"/>
      <c r="AL60" s="2789"/>
      <c r="AM60" s="2789"/>
      <c r="AN60" s="2789"/>
      <c r="AO60" s="2789"/>
      <c r="AP60" s="2789"/>
      <c r="AQ60" s="2789"/>
      <c r="AR60" s="2789"/>
      <c r="AS60" s="2789"/>
      <c r="AT60" s="2789"/>
      <c r="AU60" s="2789"/>
      <c r="AV60" s="2789"/>
      <c r="AW60" s="2789"/>
      <c r="AX60" s="2789"/>
      <c r="AY60" s="2789"/>
      <c r="AZ60" s="2789"/>
      <c r="BA60" s="2789"/>
      <c r="BB60" s="2789"/>
      <c r="BC60" s="2789"/>
      <c r="BD60" s="2789">
        <v>78300</v>
      </c>
      <c r="BE60" s="2789"/>
      <c r="BF60" s="3643">
        <v>3</v>
      </c>
      <c r="BG60" s="3638">
        <f>+V60+V61</f>
        <v>17400000</v>
      </c>
      <c r="BH60" s="3638">
        <f>+W60+W61</f>
        <v>17400000</v>
      </c>
      <c r="BI60" s="3460">
        <v>1</v>
      </c>
      <c r="BJ60" s="3632" t="s">
        <v>411</v>
      </c>
      <c r="BK60" s="3643"/>
      <c r="BL60" s="3626">
        <v>44033</v>
      </c>
      <c r="BM60" s="3626"/>
      <c r="BN60" s="3626">
        <v>44188</v>
      </c>
      <c r="BO60" s="3629">
        <v>44188</v>
      </c>
      <c r="BP60" s="3632" t="s">
        <v>367</v>
      </c>
      <c r="BQ60" s="568"/>
    </row>
    <row r="61" spans="1:69" s="553" customFormat="1" ht="45" x14ac:dyDescent="0.25">
      <c r="A61" s="424"/>
      <c r="B61" s="562"/>
      <c r="C61" s="562"/>
      <c r="D61" s="443"/>
      <c r="E61" s="444"/>
      <c r="F61" s="445"/>
      <c r="G61" s="3778"/>
      <c r="H61" s="3662"/>
      <c r="I61" s="3237"/>
      <c r="J61" s="3422"/>
      <c r="K61" s="3423"/>
      <c r="L61" s="3423"/>
      <c r="M61" s="2726"/>
      <c r="N61" s="2723"/>
      <c r="O61" s="3237"/>
      <c r="P61" s="3663"/>
      <c r="Q61" s="3665"/>
      <c r="R61" s="2709"/>
      <c r="S61" s="2709"/>
      <c r="T61" s="656" t="s">
        <v>516</v>
      </c>
      <c r="U61" s="2475">
        <v>30000000</v>
      </c>
      <c r="V61" s="2475">
        <v>17400000</v>
      </c>
      <c r="W61" s="2475">
        <v>17400000</v>
      </c>
      <c r="X61" s="638">
        <v>88</v>
      </c>
      <c r="Y61" s="2259" t="s">
        <v>411</v>
      </c>
      <c r="Z61" s="2791"/>
      <c r="AA61" s="2791"/>
      <c r="AB61" s="2791"/>
      <c r="AC61" s="2791"/>
      <c r="AD61" s="2791"/>
      <c r="AE61" s="2791"/>
      <c r="AF61" s="2791"/>
      <c r="AG61" s="2791"/>
      <c r="AH61" s="2791"/>
      <c r="AI61" s="2791"/>
      <c r="AJ61" s="2791"/>
      <c r="AK61" s="2791"/>
      <c r="AL61" s="2791"/>
      <c r="AM61" s="2791"/>
      <c r="AN61" s="2791"/>
      <c r="AO61" s="2791"/>
      <c r="AP61" s="2791"/>
      <c r="AQ61" s="2791"/>
      <c r="AR61" s="2791"/>
      <c r="AS61" s="2791"/>
      <c r="AT61" s="2791"/>
      <c r="AU61" s="2791"/>
      <c r="AV61" s="2791"/>
      <c r="AW61" s="2791"/>
      <c r="AX61" s="2791"/>
      <c r="AY61" s="2791"/>
      <c r="AZ61" s="2791"/>
      <c r="BA61" s="2791"/>
      <c r="BB61" s="2791"/>
      <c r="BC61" s="2791"/>
      <c r="BD61" s="2791"/>
      <c r="BE61" s="2791"/>
      <c r="BF61" s="3642"/>
      <c r="BG61" s="3640"/>
      <c r="BH61" s="3640"/>
      <c r="BI61" s="3462"/>
      <c r="BJ61" s="3634"/>
      <c r="BK61" s="3642"/>
      <c r="BL61" s="3628"/>
      <c r="BM61" s="3628"/>
      <c r="BN61" s="3628"/>
      <c r="BO61" s="3631"/>
      <c r="BP61" s="3634"/>
      <c r="BQ61" s="568"/>
    </row>
    <row r="62" spans="1:69" s="553" customFormat="1" ht="15.75" x14ac:dyDescent="0.25">
      <c r="A62" s="3635"/>
      <c r="B62" s="3636"/>
      <c r="C62" s="3637"/>
      <c r="D62" s="579">
        <v>21</v>
      </c>
      <c r="E62" s="580" t="s">
        <v>517</v>
      </c>
      <c r="F62" s="581"/>
      <c r="G62" s="616"/>
      <c r="H62" s="616"/>
      <c r="I62" s="603"/>
      <c r="J62" s="603"/>
      <c r="K62" s="582"/>
      <c r="L62" s="582"/>
      <c r="M62" s="82"/>
      <c r="N62" s="582"/>
      <c r="O62" s="583"/>
      <c r="P62" s="584"/>
      <c r="Q62" s="585"/>
      <c r="R62" s="583"/>
      <c r="S62" s="583"/>
      <c r="T62" s="603"/>
      <c r="U62" s="2473"/>
      <c r="V62" s="2473"/>
      <c r="W62" s="2473"/>
      <c r="X62" s="602"/>
      <c r="Y62" s="2461"/>
      <c r="Z62" s="587"/>
      <c r="AA62" s="587"/>
      <c r="AB62" s="587"/>
      <c r="AC62" s="587"/>
      <c r="AD62" s="587"/>
      <c r="AE62" s="587"/>
      <c r="AF62" s="587"/>
      <c r="AG62" s="587"/>
      <c r="AH62" s="587"/>
      <c r="AI62" s="587"/>
      <c r="AJ62" s="587"/>
      <c r="AK62" s="587"/>
      <c r="AL62" s="587"/>
      <c r="AM62" s="587"/>
      <c r="AN62" s="587"/>
      <c r="AO62" s="587"/>
      <c r="AP62" s="587"/>
      <c r="AQ62" s="587"/>
      <c r="AR62" s="587"/>
      <c r="AS62" s="587"/>
      <c r="AT62" s="587"/>
      <c r="AU62" s="587"/>
      <c r="AV62" s="587"/>
      <c r="AW62" s="587"/>
      <c r="AX62" s="587"/>
      <c r="AY62" s="587"/>
      <c r="AZ62" s="587"/>
      <c r="BA62" s="587"/>
      <c r="BB62" s="587"/>
      <c r="BC62" s="587"/>
      <c r="BD62" s="587"/>
      <c r="BE62" s="587"/>
      <c r="BF62" s="587"/>
      <c r="BG62" s="587"/>
      <c r="BH62" s="587"/>
      <c r="BI62" s="587"/>
      <c r="BJ62" s="587"/>
      <c r="BK62" s="587"/>
      <c r="BL62" s="587"/>
      <c r="BM62" s="587"/>
      <c r="BN62" s="587"/>
      <c r="BO62" s="587"/>
      <c r="BP62" s="587"/>
      <c r="BQ62" s="568"/>
    </row>
    <row r="63" spans="1:69" s="553" customFormat="1" ht="36.75" customHeight="1" x14ac:dyDescent="0.25">
      <c r="A63" s="3764"/>
      <c r="B63" s="3765"/>
      <c r="C63" s="3765"/>
      <c r="D63" s="3766"/>
      <c r="E63" s="3768"/>
      <c r="F63" s="3769"/>
      <c r="G63" s="3743">
        <v>3202017</v>
      </c>
      <c r="H63" s="3743" t="s">
        <v>518</v>
      </c>
      <c r="I63" s="2779" t="s">
        <v>519</v>
      </c>
      <c r="J63" s="3189" t="s">
        <v>520</v>
      </c>
      <c r="K63" s="3761">
        <v>1</v>
      </c>
      <c r="L63" s="3455">
        <v>1</v>
      </c>
      <c r="M63" s="2581" t="s">
        <v>521</v>
      </c>
      <c r="N63" s="2721" t="s">
        <v>522</v>
      </c>
      <c r="O63" s="3235" t="s">
        <v>523</v>
      </c>
      <c r="P63" s="3460">
        <f>+(U63+U64+U65+U66+U67+U68)/Q63</f>
        <v>1</v>
      </c>
      <c r="Q63" s="3644">
        <v>80000000</v>
      </c>
      <c r="R63" s="2908" t="s">
        <v>524</v>
      </c>
      <c r="S63" s="3737" t="s">
        <v>525</v>
      </c>
      <c r="T63" s="2863" t="s">
        <v>526</v>
      </c>
      <c r="U63" s="2463">
        <v>25466667</v>
      </c>
      <c r="V63" s="2471">
        <v>19599333</v>
      </c>
      <c r="W63" s="2471">
        <v>19599333</v>
      </c>
      <c r="X63" s="561">
        <v>20</v>
      </c>
      <c r="Y63" s="2212" t="s">
        <v>85</v>
      </c>
      <c r="Z63" s="3753">
        <v>252568</v>
      </c>
      <c r="AA63" s="3753">
        <v>150</v>
      </c>
      <c r="AB63" s="3753">
        <v>243650</v>
      </c>
      <c r="AC63" s="3753">
        <v>230</v>
      </c>
      <c r="AD63" s="3753">
        <v>97896</v>
      </c>
      <c r="AE63" s="3753"/>
      <c r="AF63" s="3753">
        <v>53351</v>
      </c>
      <c r="AG63" s="3753"/>
      <c r="AH63" s="3753">
        <v>140316</v>
      </c>
      <c r="AI63" s="3753"/>
      <c r="AJ63" s="3753">
        <v>30825</v>
      </c>
      <c r="AK63" s="3753"/>
      <c r="AL63" s="3753">
        <v>0</v>
      </c>
      <c r="AM63" s="3753"/>
      <c r="AN63" s="3753">
        <v>0</v>
      </c>
      <c r="AO63" s="3753"/>
      <c r="AP63" s="3753">
        <v>0</v>
      </c>
      <c r="AQ63" s="3753"/>
      <c r="AR63" s="3753">
        <v>0</v>
      </c>
      <c r="AS63" s="3753"/>
      <c r="AT63" s="3753">
        <v>0</v>
      </c>
      <c r="AU63" s="3753"/>
      <c r="AV63" s="3753">
        <v>0</v>
      </c>
      <c r="AW63" s="3753"/>
      <c r="AX63" s="3753">
        <v>0</v>
      </c>
      <c r="AY63" s="3753"/>
      <c r="AZ63" s="3753">
        <v>0</v>
      </c>
      <c r="BA63" s="3753"/>
      <c r="BB63" s="3753">
        <v>0</v>
      </c>
      <c r="BC63" s="3753"/>
      <c r="BD63" s="3753">
        <v>496218</v>
      </c>
      <c r="BE63" s="3753">
        <v>380</v>
      </c>
      <c r="BF63" s="3754">
        <v>4</v>
      </c>
      <c r="BG63" s="3755">
        <f>+V63+V64+V65+V66+V67+V68</f>
        <v>49132666</v>
      </c>
      <c r="BH63" s="3755">
        <f>+W63+W64+W65+W66+W67+W68</f>
        <v>49132666</v>
      </c>
      <c r="BI63" s="3758">
        <f>+BH63/BG63</f>
        <v>1</v>
      </c>
      <c r="BJ63" s="3740" t="s">
        <v>365</v>
      </c>
      <c r="BK63" s="3740" t="s">
        <v>527</v>
      </c>
      <c r="BL63" s="3747">
        <v>43832</v>
      </c>
      <c r="BM63" s="3747">
        <v>43857</v>
      </c>
      <c r="BN63" s="3747">
        <v>44195</v>
      </c>
      <c r="BO63" s="3750">
        <v>44183</v>
      </c>
      <c r="BP63" s="3740" t="s">
        <v>367</v>
      </c>
      <c r="BQ63" s="568"/>
    </row>
    <row r="64" spans="1:69" s="553" customFormat="1" ht="30" x14ac:dyDescent="0.25">
      <c r="A64" s="3764"/>
      <c r="B64" s="3765"/>
      <c r="C64" s="3765"/>
      <c r="D64" s="3767"/>
      <c r="E64" s="3653"/>
      <c r="F64" s="3770"/>
      <c r="G64" s="3743"/>
      <c r="H64" s="3743"/>
      <c r="I64" s="2779"/>
      <c r="J64" s="3189"/>
      <c r="K64" s="3762"/>
      <c r="L64" s="3052"/>
      <c r="M64" s="2582"/>
      <c r="N64" s="2722"/>
      <c r="O64" s="3236"/>
      <c r="P64" s="3461"/>
      <c r="Q64" s="3645"/>
      <c r="R64" s="2909"/>
      <c r="S64" s="3738"/>
      <c r="T64" s="2865"/>
      <c r="U64" s="2466">
        <v>1284000</v>
      </c>
      <c r="V64" s="2482">
        <v>0</v>
      </c>
      <c r="W64" s="2471">
        <v>0</v>
      </c>
      <c r="X64" s="561">
        <v>88</v>
      </c>
      <c r="Y64" s="2259" t="s">
        <v>411</v>
      </c>
      <c r="Z64" s="3673"/>
      <c r="AA64" s="3673"/>
      <c r="AB64" s="3673"/>
      <c r="AC64" s="3673"/>
      <c r="AD64" s="3673"/>
      <c r="AE64" s="3673"/>
      <c r="AF64" s="3673"/>
      <c r="AG64" s="3673"/>
      <c r="AH64" s="3673"/>
      <c r="AI64" s="3673"/>
      <c r="AJ64" s="3673"/>
      <c r="AK64" s="3673"/>
      <c r="AL64" s="3673"/>
      <c r="AM64" s="3673"/>
      <c r="AN64" s="3673"/>
      <c r="AO64" s="3673"/>
      <c r="AP64" s="3673"/>
      <c r="AQ64" s="3673"/>
      <c r="AR64" s="3673"/>
      <c r="AS64" s="3673"/>
      <c r="AT64" s="3673"/>
      <c r="AU64" s="3673"/>
      <c r="AV64" s="3673"/>
      <c r="AW64" s="3673"/>
      <c r="AX64" s="3673"/>
      <c r="AY64" s="3673"/>
      <c r="AZ64" s="3673"/>
      <c r="BA64" s="3673"/>
      <c r="BB64" s="3673"/>
      <c r="BC64" s="3673"/>
      <c r="BD64" s="3673"/>
      <c r="BE64" s="3673"/>
      <c r="BF64" s="3745"/>
      <c r="BG64" s="3756"/>
      <c r="BH64" s="3756"/>
      <c r="BI64" s="3759"/>
      <c r="BJ64" s="3745"/>
      <c r="BK64" s="3741"/>
      <c r="BL64" s="3748"/>
      <c r="BM64" s="3748"/>
      <c r="BN64" s="3748"/>
      <c r="BO64" s="3751"/>
      <c r="BP64" s="3741"/>
      <c r="BQ64" s="568"/>
    </row>
    <row r="65" spans="1:69" s="553" customFormat="1" ht="30" customHeight="1" x14ac:dyDescent="0.25">
      <c r="A65" s="3764"/>
      <c r="B65" s="3765"/>
      <c r="C65" s="3765"/>
      <c r="D65" s="3767"/>
      <c r="E65" s="3653"/>
      <c r="F65" s="3770"/>
      <c r="G65" s="3743"/>
      <c r="H65" s="3743"/>
      <c r="I65" s="2779"/>
      <c r="J65" s="3189"/>
      <c r="K65" s="3762"/>
      <c r="L65" s="3052"/>
      <c r="M65" s="2582"/>
      <c r="N65" s="2722"/>
      <c r="O65" s="3236"/>
      <c r="P65" s="3461"/>
      <c r="Q65" s="3645"/>
      <c r="R65" s="2909"/>
      <c r="S65" s="3738"/>
      <c r="T65" s="576" t="s">
        <v>528</v>
      </c>
      <c r="U65" s="2466">
        <v>29533333</v>
      </c>
      <c r="V65" s="2482">
        <v>29533333</v>
      </c>
      <c r="W65" s="2471">
        <v>29533333</v>
      </c>
      <c r="X65" s="561">
        <v>20</v>
      </c>
      <c r="Y65" s="2212" t="s">
        <v>85</v>
      </c>
      <c r="Z65" s="3673"/>
      <c r="AA65" s="3673"/>
      <c r="AB65" s="3673"/>
      <c r="AC65" s="3673"/>
      <c r="AD65" s="3673"/>
      <c r="AE65" s="3673"/>
      <c r="AF65" s="3673"/>
      <c r="AG65" s="3673"/>
      <c r="AH65" s="3673"/>
      <c r="AI65" s="3673"/>
      <c r="AJ65" s="3673"/>
      <c r="AK65" s="3673"/>
      <c r="AL65" s="3673"/>
      <c r="AM65" s="3673"/>
      <c r="AN65" s="3673"/>
      <c r="AO65" s="3673"/>
      <c r="AP65" s="3673"/>
      <c r="AQ65" s="3673"/>
      <c r="AR65" s="3673"/>
      <c r="AS65" s="3673"/>
      <c r="AT65" s="3673"/>
      <c r="AU65" s="3673"/>
      <c r="AV65" s="3673"/>
      <c r="AW65" s="3673"/>
      <c r="AX65" s="3673"/>
      <c r="AY65" s="3673"/>
      <c r="AZ65" s="3673"/>
      <c r="BA65" s="3673"/>
      <c r="BB65" s="3673"/>
      <c r="BC65" s="3673"/>
      <c r="BD65" s="3673"/>
      <c r="BE65" s="3673"/>
      <c r="BF65" s="3745"/>
      <c r="BG65" s="3756"/>
      <c r="BH65" s="3756"/>
      <c r="BI65" s="3759"/>
      <c r="BJ65" s="3745"/>
      <c r="BK65" s="3741"/>
      <c r="BL65" s="3748"/>
      <c r="BM65" s="3748"/>
      <c r="BN65" s="3748"/>
      <c r="BO65" s="3751"/>
      <c r="BP65" s="3741"/>
      <c r="BQ65" s="568"/>
    </row>
    <row r="66" spans="1:69" s="553" customFormat="1" ht="30" x14ac:dyDescent="0.25">
      <c r="A66" s="3764"/>
      <c r="B66" s="3765"/>
      <c r="C66" s="3765"/>
      <c r="D66" s="3767"/>
      <c r="E66" s="3653"/>
      <c r="F66" s="3770"/>
      <c r="G66" s="3743"/>
      <c r="H66" s="3743"/>
      <c r="I66" s="2779"/>
      <c r="J66" s="3189"/>
      <c r="K66" s="3762"/>
      <c r="L66" s="3052"/>
      <c r="M66" s="2582"/>
      <c r="N66" s="2722"/>
      <c r="O66" s="3236"/>
      <c r="P66" s="3461"/>
      <c r="Q66" s="3645"/>
      <c r="R66" s="2909"/>
      <c r="S66" s="3738"/>
      <c r="T66" s="576" t="s">
        <v>529</v>
      </c>
      <c r="U66" s="2466">
        <v>23716000</v>
      </c>
      <c r="V66" s="2482">
        <v>0</v>
      </c>
      <c r="W66" s="2471">
        <v>0</v>
      </c>
      <c r="X66" s="561">
        <v>88</v>
      </c>
      <c r="Y66" s="2259" t="s">
        <v>411</v>
      </c>
      <c r="Z66" s="3673"/>
      <c r="AA66" s="3673"/>
      <c r="AB66" s="3673"/>
      <c r="AC66" s="3673"/>
      <c r="AD66" s="3673"/>
      <c r="AE66" s="3673"/>
      <c r="AF66" s="3673"/>
      <c r="AG66" s="3673"/>
      <c r="AH66" s="3673"/>
      <c r="AI66" s="3673"/>
      <c r="AJ66" s="3673"/>
      <c r="AK66" s="3673"/>
      <c r="AL66" s="3673"/>
      <c r="AM66" s="3673"/>
      <c r="AN66" s="3673"/>
      <c r="AO66" s="3673"/>
      <c r="AP66" s="3673"/>
      <c r="AQ66" s="3673"/>
      <c r="AR66" s="3673"/>
      <c r="AS66" s="3673"/>
      <c r="AT66" s="3673"/>
      <c r="AU66" s="3673"/>
      <c r="AV66" s="3673"/>
      <c r="AW66" s="3673"/>
      <c r="AX66" s="3673"/>
      <c r="AY66" s="3673"/>
      <c r="AZ66" s="3673"/>
      <c r="BA66" s="3673"/>
      <c r="BB66" s="3673"/>
      <c r="BC66" s="3673"/>
      <c r="BD66" s="3673"/>
      <c r="BE66" s="3673"/>
      <c r="BF66" s="3745"/>
      <c r="BG66" s="3756"/>
      <c r="BH66" s="3756"/>
      <c r="BI66" s="3759"/>
      <c r="BJ66" s="3745"/>
      <c r="BK66" s="3741"/>
      <c r="BL66" s="3748"/>
      <c r="BM66" s="3748"/>
      <c r="BN66" s="3748"/>
      <c r="BO66" s="3751"/>
      <c r="BP66" s="3741"/>
      <c r="BQ66" s="568"/>
    </row>
    <row r="67" spans="1:69" s="553" customFormat="1" ht="15.75" x14ac:dyDescent="0.25">
      <c r="A67" s="3764"/>
      <c r="B67" s="3765"/>
      <c r="C67" s="3765"/>
      <c r="D67" s="3767"/>
      <c r="E67" s="3653"/>
      <c r="F67" s="3770"/>
      <c r="G67" s="3771"/>
      <c r="H67" s="3771"/>
      <c r="I67" s="3273"/>
      <c r="J67" s="3070"/>
      <c r="K67" s="3762"/>
      <c r="L67" s="3052"/>
      <c r="M67" s="2582"/>
      <c r="N67" s="2722"/>
      <c r="O67" s="3236"/>
      <c r="P67" s="3461"/>
      <c r="Q67" s="3645"/>
      <c r="R67" s="2909"/>
      <c r="S67" s="3738"/>
      <c r="T67" s="2717" t="s">
        <v>530</v>
      </c>
      <c r="U67" s="2463">
        <v>0</v>
      </c>
      <c r="V67" s="2463">
        <v>0</v>
      </c>
      <c r="W67" s="2483">
        <v>0</v>
      </c>
      <c r="X67" s="561">
        <v>20</v>
      </c>
      <c r="Y67" s="2212" t="s">
        <v>85</v>
      </c>
      <c r="Z67" s="3673"/>
      <c r="AA67" s="3673"/>
      <c r="AB67" s="3673"/>
      <c r="AC67" s="3673"/>
      <c r="AD67" s="3673"/>
      <c r="AE67" s="3673"/>
      <c r="AF67" s="3673"/>
      <c r="AG67" s="3673"/>
      <c r="AH67" s="3673"/>
      <c r="AI67" s="3673"/>
      <c r="AJ67" s="3673"/>
      <c r="AK67" s="3673"/>
      <c r="AL67" s="3673"/>
      <c r="AM67" s="3673"/>
      <c r="AN67" s="3673"/>
      <c r="AO67" s="3673"/>
      <c r="AP67" s="3673"/>
      <c r="AQ67" s="3673"/>
      <c r="AR67" s="3673"/>
      <c r="AS67" s="3673"/>
      <c r="AT67" s="3673"/>
      <c r="AU67" s="3673"/>
      <c r="AV67" s="3673"/>
      <c r="AW67" s="3673"/>
      <c r="AX67" s="3673"/>
      <c r="AY67" s="3673"/>
      <c r="AZ67" s="3673"/>
      <c r="BA67" s="3673"/>
      <c r="BB67" s="3673"/>
      <c r="BC67" s="3673"/>
      <c r="BD67" s="3673"/>
      <c r="BE67" s="3673"/>
      <c r="BF67" s="3745"/>
      <c r="BG67" s="3756"/>
      <c r="BH67" s="3756"/>
      <c r="BI67" s="3759"/>
      <c r="BJ67" s="3745"/>
      <c r="BK67" s="3741"/>
      <c r="BL67" s="3748"/>
      <c r="BM67" s="3748"/>
      <c r="BN67" s="3748"/>
      <c r="BO67" s="3751"/>
      <c r="BP67" s="3741"/>
      <c r="BQ67" s="568"/>
    </row>
    <row r="68" spans="1:69" s="553" customFormat="1" ht="30" x14ac:dyDescent="0.25">
      <c r="A68" s="3764"/>
      <c r="B68" s="3765"/>
      <c r="C68" s="3765"/>
      <c r="D68" s="3767"/>
      <c r="E68" s="3653"/>
      <c r="F68" s="3770"/>
      <c r="G68" s="3771"/>
      <c r="H68" s="3771"/>
      <c r="I68" s="3273"/>
      <c r="J68" s="3070"/>
      <c r="K68" s="3762"/>
      <c r="L68" s="3763"/>
      <c r="M68" s="2582"/>
      <c r="N68" s="2722"/>
      <c r="O68" s="3236"/>
      <c r="P68" s="3461"/>
      <c r="Q68" s="3645"/>
      <c r="R68" s="3422"/>
      <c r="S68" s="3739"/>
      <c r="T68" s="2863"/>
      <c r="U68" s="2466">
        <v>0</v>
      </c>
      <c r="V68" s="2466">
        <v>0</v>
      </c>
      <c r="W68" s="2484">
        <v>0</v>
      </c>
      <c r="X68" s="561">
        <v>88</v>
      </c>
      <c r="Y68" s="2259" t="s">
        <v>411</v>
      </c>
      <c r="Z68" s="3674"/>
      <c r="AA68" s="3674"/>
      <c r="AB68" s="3674"/>
      <c r="AC68" s="3674"/>
      <c r="AD68" s="3674"/>
      <c r="AE68" s="3674"/>
      <c r="AF68" s="3674"/>
      <c r="AG68" s="3674"/>
      <c r="AH68" s="3674"/>
      <c r="AI68" s="3674"/>
      <c r="AJ68" s="3674"/>
      <c r="AK68" s="3674"/>
      <c r="AL68" s="3674"/>
      <c r="AM68" s="3674"/>
      <c r="AN68" s="3674"/>
      <c r="AO68" s="3674"/>
      <c r="AP68" s="3674"/>
      <c r="AQ68" s="3674"/>
      <c r="AR68" s="3674"/>
      <c r="AS68" s="3674"/>
      <c r="AT68" s="3674"/>
      <c r="AU68" s="3674"/>
      <c r="AV68" s="3674"/>
      <c r="AW68" s="3674"/>
      <c r="AX68" s="3674"/>
      <c r="AY68" s="3674"/>
      <c r="AZ68" s="3674"/>
      <c r="BA68" s="3674"/>
      <c r="BB68" s="3674"/>
      <c r="BC68" s="3674"/>
      <c r="BD68" s="3674"/>
      <c r="BE68" s="3674"/>
      <c r="BF68" s="3746"/>
      <c r="BG68" s="3757"/>
      <c r="BH68" s="3757"/>
      <c r="BI68" s="3760"/>
      <c r="BJ68" s="3746"/>
      <c r="BK68" s="3742"/>
      <c r="BL68" s="3749"/>
      <c r="BM68" s="3749"/>
      <c r="BN68" s="3749"/>
      <c r="BO68" s="3752"/>
      <c r="BP68" s="3742"/>
      <c r="BQ68" s="568"/>
    </row>
    <row r="69" spans="1:69" s="553" customFormat="1" ht="30" customHeight="1" x14ac:dyDescent="0.25">
      <c r="A69" s="606"/>
      <c r="B69" s="607"/>
      <c r="C69" s="607"/>
      <c r="D69" s="657"/>
      <c r="E69" s="658"/>
      <c r="F69" s="659"/>
      <c r="G69" s="3743">
        <v>3202037</v>
      </c>
      <c r="H69" s="3744" t="s">
        <v>531</v>
      </c>
      <c r="I69" s="2779" t="s">
        <v>532</v>
      </c>
      <c r="J69" s="2698" t="s">
        <v>533</v>
      </c>
      <c r="K69" s="3470">
        <v>30</v>
      </c>
      <c r="L69" s="3470">
        <v>21</v>
      </c>
      <c r="M69" s="2625" t="s">
        <v>534</v>
      </c>
      <c r="N69" s="2620" t="s">
        <v>535</v>
      </c>
      <c r="O69" s="2779" t="s">
        <v>536</v>
      </c>
      <c r="P69" s="3731">
        <f>+(U69+U70)/Q69</f>
        <v>0.22545649591315178</v>
      </c>
      <c r="Q69" s="3732">
        <v>450049867</v>
      </c>
      <c r="R69" s="3734" t="s">
        <v>537</v>
      </c>
      <c r="S69" s="3737" t="s">
        <v>538</v>
      </c>
      <c r="T69" s="660" t="s">
        <v>539</v>
      </c>
      <c r="U69" s="2463">
        <v>48666666</v>
      </c>
      <c r="V69" s="2463">
        <v>48666666</v>
      </c>
      <c r="W69" s="2463">
        <v>48666666</v>
      </c>
      <c r="X69" s="661">
        <v>20</v>
      </c>
      <c r="Y69" s="2212" t="s">
        <v>85</v>
      </c>
      <c r="Z69" s="3710">
        <v>35373</v>
      </c>
      <c r="AA69" s="3710"/>
      <c r="AB69" s="3710">
        <v>33985</v>
      </c>
      <c r="AC69" s="3710"/>
      <c r="AD69" s="3710">
        <v>16632</v>
      </c>
      <c r="AE69" s="3710"/>
      <c r="AF69" s="3710">
        <v>3361</v>
      </c>
      <c r="AG69" s="3710"/>
      <c r="AH69" s="3710">
        <v>39432</v>
      </c>
      <c r="AI69" s="3710"/>
      <c r="AJ69" s="3710">
        <v>9933</v>
      </c>
      <c r="AK69" s="3710"/>
      <c r="AL69" s="3710">
        <v>0</v>
      </c>
      <c r="AM69" s="3710"/>
      <c r="AN69" s="3710">
        <v>0</v>
      </c>
      <c r="AO69" s="3710"/>
      <c r="AP69" s="3710">
        <v>0</v>
      </c>
      <c r="AQ69" s="3710"/>
      <c r="AR69" s="3710">
        <v>0</v>
      </c>
      <c r="AS69" s="3710"/>
      <c r="AT69" s="3710">
        <v>0</v>
      </c>
      <c r="AU69" s="3710"/>
      <c r="AV69" s="3710">
        <v>0</v>
      </c>
      <c r="AW69" s="3710"/>
      <c r="AX69" s="3710">
        <v>0</v>
      </c>
      <c r="AY69" s="3710"/>
      <c r="AZ69" s="3710">
        <v>0</v>
      </c>
      <c r="BA69" s="3710"/>
      <c r="BB69" s="3710">
        <v>0</v>
      </c>
      <c r="BC69" s="3710"/>
      <c r="BD69" s="3710">
        <v>69358</v>
      </c>
      <c r="BE69" s="3710"/>
      <c r="BF69" s="3721">
        <v>36</v>
      </c>
      <c r="BG69" s="3724">
        <f>+V69+V70+V71+V72+V73+V74+V75</f>
        <v>159666664</v>
      </c>
      <c r="BH69" s="3724">
        <f>+W69+W70+W71+W72+W73+W74+W75</f>
        <v>149866664</v>
      </c>
      <c r="BI69" s="3727">
        <f>+BH69/BG69</f>
        <v>0.9386221284112255</v>
      </c>
      <c r="BJ69" s="3730" t="s">
        <v>365</v>
      </c>
      <c r="BK69" s="3713" t="s">
        <v>540</v>
      </c>
      <c r="BL69" s="3714">
        <v>43832</v>
      </c>
      <c r="BM69" s="3714">
        <v>43885</v>
      </c>
      <c r="BN69" s="3714">
        <v>44195</v>
      </c>
      <c r="BO69" s="3717">
        <v>44190</v>
      </c>
      <c r="BP69" s="3720" t="s">
        <v>367</v>
      </c>
      <c r="BQ69" s="568"/>
    </row>
    <row r="70" spans="1:69" s="553" customFormat="1" ht="30" x14ac:dyDescent="0.25">
      <c r="A70" s="424"/>
      <c r="B70" s="562"/>
      <c r="C70" s="562"/>
      <c r="D70" s="424"/>
      <c r="E70" s="562"/>
      <c r="F70" s="434"/>
      <c r="G70" s="3743"/>
      <c r="H70" s="3744"/>
      <c r="I70" s="2779"/>
      <c r="J70" s="2698"/>
      <c r="K70" s="3471"/>
      <c r="L70" s="3497"/>
      <c r="M70" s="2625"/>
      <c r="N70" s="2620"/>
      <c r="O70" s="2779"/>
      <c r="P70" s="3731"/>
      <c r="Q70" s="3733"/>
      <c r="R70" s="3735"/>
      <c r="S70" s="3738"/>
      <c r="T70" s="380" t="s">
        <v>398</v>
      </c>
      <c r="U70" s="2485">
        <v>52800000</v>
      </c>
      <c r="V70" s="2486">
        <v>0</v>
      </c>
      <c r="W70" s="2487">
        <v>0</v>
      </c>
      <c r="X70" s="662">
        <v>88</v>
      </c>
      <c r="Y70" s="2259" t="s">
        <v>411</v>
      </c>
      <c r="Z70" s="3711"/>
      <c r="AA70" s="3711"/>
      <c r="AB70" s="3711"/>
      <c r="AC70" s="3711"/>
      <c r="AD70" s="3711"/>
      <c r="AE70" s="3711"/>
      <c r="AF70" s="3711"/>
      <c r="AG70" s="3711"/>
      <c r="AH70" s="3711"/>
      <c r="AI70" s="3711"/>
      <c r="AJ70" s="3711"/>
      <c r="AK70" s="3711"/>
      <c r="AL70" s="3711"/>
      <c r="AM70" s="3711"/>
      <c r="AN70" s="3711"/>
      <c r="AO70" s="3711"/>
      <c r="AP70" s="3711"/>
      <c r="AQ70" s="3711"/>
      <c r="AR70" s="3711"/>
      <c r="AS70" s="3711"/>
      <c r="AT70" s="3711"/>
      <c r="AU70" s="3711"/>
      <c r="AV70" s="3711"/>
      <c r="AW70" s="3711"/>
      <c r="AX70" s="3711"/>
      <c r="AY70" s="3711"/>
      <c r="AZ70" s="3711"/>
      <c r="BA70" s="3711"/>
      <c r="BB70" s="3711"/>
      <c r="BC70" s="3711"/>
      <c r="BD70" s="3711"/>
      <c r="BE70" s="3711"/>
      <c r="BF70" s="3722"/>
      <c r="BG70" s="3725"/>
      <c r="BH70" s="3725"/>
      <c r="BI70" s="3728"/>
      <c r="BJ70" s="3722"/>
      <c r="BK70" s="3677"/>
      <c r="BL70" s="3715"/>
      <c r="BM70" s="3715"/>
      <c r="BN70" s="3715"/>
      <c r="BO70" s="3718"/>
      <c r="BP70" s="3720"/>
      <c r="BQ70" s="568"/>
    </row>
    <row r="71" spans="1:69" s="553" customFormat="1" ht="45" x14ac:dyDescent="0.25">
      <c r="A71" s="424"/>
      <c r="B71" s="562"/>
      <c r="C71" s="562"/>
      <c r="D71" s="424"/>
      <c r="E71" s="562"/>
      <c r="F71" s="434"/>
      <c r="G71" s="3707" t="s">
        <v>64</v>
      </c>
      <c r="H71" s="3469" t="s">
        <v>541</v>
      </c>
      <c r="I71" s="2779" t="s">
        <v>542</v>
      </c>
      <c r="J71" s="3189" t="s">
        <v>543</v>
      </c>
      <c r="K71" s="3708">
        <v>20</v>
      </c>
      <c r="L71" s="3706">
        <v>20</v>
      </c>
      <c r="M71" s="2792"/>
      <c r="N71" s="2620"/>
      <c r="O71" s="2779"/>
      <c r="P71" s="3731">
        <f>+(U71+U72+U73+U74+U75)/Q69</f>
        <v>0.77454350408684824</v>
      </c>
      <c r="Q71" s="3733"/>
      <c r="R71" s="3735"/>
      <c r="S71" s="3738"/>
      <c r="T71" s="573" t="s">
        <v>544</v>
      </c>
      <c r="U71" s="2470">
        <v>97200000</v>
      </c>
      <c r="V71" s="2467">
        <v>0</v>
      </c>
      <c r="W71" s="2471">
        <v>0</v>
      </c>
      <c r="X71" s="662">
        <v>88</v>
      </c>
      <c r="Y71" s="2259" t="s">
        <v>411</v>
      </c>
      <c r="Z71" s="3711"/>
      <c r="AA71" s="3711"/>
      <c r="AB71" s="3711"/>
      <c r="AC71" s="3711"/>
      <c r="AD71" s="3711"/>
      <c r="AE71" s="3711"/>
      <c r="AF71" s="3711"/>
      <c r="AG71" s="3711"/>
      <c r="AH71" s="3711"/>
      <c r="AI71" s="3711"/>
      <c r="AJ71" s="3711"/>
      <c r="AK71" s="3711"/>
      <c r="AL71" s="3711"/>
      <c r="AM71" s="3711"/>
      <c r="AN71" s="3711"/>
      <c r="AO71" s="3711"/>
      <c r="AP71" s="3711"/>
      <c r="AQ71" s="3711"/>
      <c r="AR71" s="3711"/>
      <c r="AS71" s="3711"/>
      <c r="AT71" s="3711"/>
      <c r="AU71" s="3711"/>
      <c r="AV71" s="3711"/>
      <c r="AW71" s="3711"/>
      <c r="AX71" s="3711"/>
      <c r="AY71" s="3711"/>
      <c r="AZ71" s="3711"/>
      <c r="BA71" s="3711"/>
      <c r="BB71" s="3711"/>
      <c r="BC71" s="3711"/>
      <c r="BD71" s="3711"/>
      <c r="BE71" s="3711"/>
      <c r="BF71" s="3722"/>
      <c r="BG71" s="3725"/>
      <c r="BH71" s="3725"/>
      <c r="BI71" s="3728"/>
      <c r="BJ71" s="3722"/>
      <c r="BK71" s="3677"/>
      <c r="BL71" s="3715"/>
      <c r="BM71" s="3715"/>
      <c r="BN71" s="3715"/>
      <c r="BO71" s="3718"/>
      <c r="BP71" s="3720"/>
      <c r="BQ71" s="568"/>
    </row>
    <row r="72" spans="1:69" s="553" customFormat="1" ht="60" x14ac:dyDescent="0.25">
      <c r="A72" s="424"/>
      <c r="B72" s="562"/>
      <c r="C72" s="562"/>
      <c r="D72" s="424"/>
      <c r="E72" s="562"/>
      <c r="F72" s="434"/>
      <c r="G72" s="3707"/>
      <c r="H72" s="3469"/>
      <c r="I72" s="2779"/>
      <c r="J72" s="3189"/>
      <c r="K72" s="3708"/>
      <c r="L72" s="3706"/>
      <c r="M72" s="2792"/>
      <c r="N72" s="2620"/>
      <c r="O72" s="2779"/>
      <c r="P72" s="3731"/>
      <c r="Q72" s="3733"/>
      <c r="R72" s="3735"/>
      <c r="S72" s="3738"/>
      <c r="T72" s="573" t="s">
        <v>545</v>
      </c>
      <c r="U72" s="2470">
        <v>15000000</v>
      </c>
      <c r="V72" s="2467">
        <v>0</v>
      </c>
      <c r="W72" s="2471">
        <v>0</v>
      </c>
      <c r="X72" s="662">
        <v>88</v>
      </c>
      <c r="Y72" s="2259" t="s">
        <v>411</v>
      </c>
      <c r="Z72" s="3711"/>
      <c r="AA72" s="3711"/>
      <c r="AB72" s="3711"/>
      <c r="AC72" s="3711"/>
      <c r="AD72" s="3711"/>
      <c r="AE72" s="3711"/>
      <c r="AF72" s="3711"/>
      <c r="AG72" s="3711"/>
      <c r="AH72" s="3711"/>
      <c r="AI72" s="3711"/>
      <c r="AJ72" s="3711"/>
      <c r="AK72" s="3711"/>
      <c r="AL72" s="3711"/>
      <c r="AM72" s="3711"/>
      <c r="AN72" s="3711"/>
      <c r="AO72" s="3711"/>
      <c r="AP72" s="3711"/>
      <c r="AQ72" s="3711"/>
      <c r="AR72" s="3711"/>
      <c r="AS72" s="3711"/>
      <c r="AT72" s="3711"/>
      <c r="AU72" s="3711"/>
      <c r="AV72" s="3711"/>
      <c r="AW72" s="3711"/>
      <c r="AX72" s="3711"/>
      <c r="AY72" s="3711"/>
      <c r="AZ72" s="3711"/>
      <c r="BA72" s="3711"/>
      <c r="BB72" s="3711"/>
      <c r="BC72" s="3711"/>
      <c r="BD72" s="3711"/>
      <c r="BE72" s="3711"/>
      <c r="BF72" s="3722"/>
      <c r="BG72" s="3725"/>
      <c r="BH72" s="3725"/>
      <c r="BI72" s="3728"/>
      <c r="BJ72" s="3722"/>
      <c r="BK72" s="3677"/>
      <c r="BL72" s="3715"/>
      <c r="BM72" s="3715"/>
      <c r="BN72" s="3715"/>
      <c r="BO72" s="3718"/>
      <c r="BP72" s="3720"/>
      <c r="BQ72" s="568"/>
    </row>
    <row r="73" spans="1:69" s="553" customFormat="1" ht="30" x14ac:dyDescent="0.25">
      <c r="A73" s="424"/>
      <c r="B73" s="562"/>
      <c r="C73" s="562"/>
      <c r="D73" s="424"/>
      <c r="E73" s="562"/>
      <c r="F73" s="434"/>
      <c r="G73" s="3707"/>
      <c r="H73" s="3469"/>
      <c r="I73" s="2779"/>
      <c r="J73" s="3189"/>
      <c r="K73" s="3708"/>
      <c r="L73" s="3706"/>
      <c r="M73" s="2792"/>
      <c r="N73" s="2620"/>
      <c r="O73" s="2779"/>
      <c r="P73" s="3731"/>
      <c r="Q73" s="3733"/>
      <c r="R73" s="3735"/>
      <c r="S73" s="3738"/>
      <c r="T73" s="573" t="s">
        <v>398</v>
      </c>
      <c r="U73" s="2470">
        <v>50000000</v>
      </c>
      <c r="V73" s="2467">
        <v>0</v>
      </c>
      <c r="W73" s="2471">
        <v>0</v>
      </c>
      <c r="X73" s="662">
        <v>88</v>
      </c>
      <c r="Y73" s="2259" t="s">
        <v>411</v>
      </c>
      <c r="Z73" s="3711"/>
      <c r="AA73" s="3711"/>
      <c r="AB73" s="3711"/>
      <c r="AC73" s="3711"/>
      <c r="AD73" s="3711"/>
      <c r="AE73" s="3711"/>
      <c r="AF73" s="3711"/>
      <c r="AG73" s="3711"/>
      <c r="AH73" s="3711"/>
      <c r="AI73" s="3711"/>
      <c r="AJ73" s="3711"/>
      <c r="AK73" s="3711"/>
      <c r="AL73" s="3711"/>
      <c r="AM73" s="3711"/>
      <c r="AN73" s="3711"/>
      <c r="AO73" s="3711"/>
      <c r="AP73" s="3711"/>
      <c r="AQ73" s="3711"/>
      <c r="AR73" s="3711"/>
      <c r="AS73" s="3711"/>
      <c r="AT73" s="3711"/>
      <c r="AU73" s="3711"/>
      <c r="AV73" s="3711"/>
      <c r="AW73" s="3711"/>
      <c r="AX73" s="3711"/>
      <c r="AY73" s="3711"/>
      <c r="AZ73" s="3711"/>
      <c r="BA73" s="3711"/>
      <c r="BB73" s="3711"/>
      <c r="BC73" s="3711"/>
      <c r="BD73" s="3711"/>
      <c r="BE73" s="3711"/>
      <c r="BF73" s="3722"/>
      <c r="BG73" s="3725"/>
      <c r="BH73" s="3725"/>
      <c r="BI73" s="3728"/>
      <c r="BJ73" s="3722"/>
      <c r="BK73" s="3677"/>
      <c r="BL73" s="3715"/>
      <c r="BM73" s="3715"/>
      <c r="BN73" s="3715"/>
      <c r="BO73" s="3718"/>
      <c r="BP73" s="3720"/>
      <c r="BQ73" s="568"/>
    </row>
    <row r="74" spans="1:69" s="553" customFormat="1" ht="30" x14ac:dyDescent="0.25">
      <c r="A74" s="424"/>
      <c r="B74" s="562"/>
      <c r="C74" s="562"/>
      <c r="D74" s="424"/>
      <c r="E74" s="562"/>
      <c r="F74" s="434"/>
      <c r="G74" s="3707"/>
      <c r="H74" s="3469"/>
      <c r="I74" s="2779"/>
      <c r="J74" s="3189"/>
      <c r="K74" s="3708"/>
      <c r="L74" s="3706"/>
      <c r="M74" s="2792"/>
      <c r="N74" s="2620"/>
      <c r="O74" s="2779"/>
      <c r="P74" s="3731"/>
      <c r="Q74" s="3733"/>
      <c r="R74" s="3735"/>
      <c r="S74" s="3738"/>
      <c r="T74" s="573" t="s">
        <v>542</v>
      </c>
      <c r="U74" s="2470">
        <v>138383201</v>
      </c>
      <c r="V74" s="2467">
        <v>110999998</v>
      </c>
      <c r="W74" s="2471">
        <v>101199998</v>
      </c>
      <c r="X74" s="662">
        <v>88</v>
      </c>
      <c r="Y74" s="2259" t="s">
        <v>411</v>
      </c>
      <c r="Z74" s="3711"/>
      <c r="AA74" s="3711"/>
      <c r="AB74" s="3711"/>
      <c r="AC74" s="3711"/>
      <c r="AD74" s="3711"/>
      <c r="AE74" s="3711"/>
      <c r="AF74" s="3711"/>
      <c r="AG74" s="3711"/>
      <c r="AH74" s="3711"/>
      <c r="AI74" s="3711"/>
      <c r="AJ74" s="3711"/>
      <c r="AK74" s="3711"/>
      <c r="AL74" s="3711"/>
      <c r="AM74" s="3711"/>
      <c r="AN74" s="3711"/>
      <c r="AO74" s="3711"/>
      <c r="AP74" s="3711"/>
      <c r="AQ74" s="3711"/>
      <c r="AR74" s="3711"/>
      <c r="AS74" s="3711"/>
      <c r="AT74" s="3711"/>
      <c r="AU74" s="3711"/>
      <c r="AV74" s="3711"/>
      <c r="AW74" s="3711"/>
      <c r="AX74" s="3711"/>
      <c r="AY74" s="3711"/>
      <c r="AZ74" s="3711"/>
      <c r="BA74" s="3711"/>
      <c r="BB74" s="3711"/>
      <c r="BC74" s="3711"/>
      <c r="BD74" s="3711"/>
      <c r="BE74" s="3711"/>
      <c r="BF74" s="3722"/>
      <c r="BG74" s="3725"/>
      <c r="BH74" s="3725"/>
      <c r="BI74" s="3728"/>
      <c r="BJ74" s="3722"/>
      <c r="BK74" s="3677"/>
      <c r="BL74" s="3715"/>
      <c r="BM74" s="3715"/>
      <c r="BN74" s="3715"/>
      <c r="BO74" s="3718"/>
      <c r="BP74" s="3720"/>
      <c r="BQ74" s="568"/>
    </row>
    <row r="75" spans="1:69" s="553" customFormat="1" ht="45" x14ac:dyDescent="0.25">
      <c r="A75" s="424"/>
      <c r="B75" s="562"/>
      <c r="C75" s="562"/>
      <c r="D75" s="424"/>
      <c r="E75" s="562"/>
      <c r="F75" s="434"/>
      <c r="G75" s="3707"/>
      <c r="H75" s="3469"/>
      <c r="I75" s="2779"/>
      <c r="J75" s="3189"/>
      <c r="K75" s="3709"/>
      <c r="L75" s="3706"/>
      <c r="M75" s="2792"/>
      <c r="N75" s="2620"/>
      <c r="O75" s="2779"/>
      <c r="P75" s="3683"/>
      <c r="Q75" s="3733"/>
      <c r="R75" s="3736"/>
      <c r="S75" s="3739"/>
      <c r="T75" s="663" t="s">
        <v>546</v>
      </c>
      <c r="U75" s="2488">
        <v>48000000</v>
      </c>
      <c r="V75" s="2489">
        <v>0</v>
      </c>
      <c r="W75" s="2482">
        <v>0</v>
      </c>
      <c r="X75" s="664">
        <v>88</v>
      </c>
      <c r="Y75" s="2259" t="s">
        <v>411</v>
      </c>
      <c r="Z75" s="3712"/>
      <c r="AA75" s="3712"/>
      <c r="AB75" s="3712"/>
      <c r="AC75" s="3712"/>
      <c r="AD75" s="3712"/>
      <c r="AE75" s="3712"/>
      <c r="AF75" s="3712"/>
      <c r="AG75" s="3712"/>
      <c r="AH75" s="3712"/>
      <c r="AI75" s="3712"/>
      <c r="AJ75" s="3712"/>
      <c r="AK75" s="3712"/>
      <c r="AL75" s="3712"/>
      <c r="AM75" s="3712"/>
      <c r="AN75" s="3712"/>
      <c r="AO75" s="3712"/>
      <c r="AP75" s="3712"/>
      <c r="AQ75" s="3712"/>
      <c r="AR75" s="3712"/>
      <c r="AS75" s="3712"/>
      <c r="AT75" s="3712"/>
      <c r="AU75" s="3712"/>
      <c r="AV75" s="3712"/>
      <c r="AW75" s="3712"/>
      <c r="AX75" s="3712"/>
      <c r="AY75" s="3712"/>
      <c r="AZ75" s="3712"/>
      <c r="BA75" s="3712"/>
      <c r="BB75" s="3712"/>
      <c r="BC75" s="3712"/>
      <c r="BD75" s="3712"/>
      <c r="BE75" s="3712"/>
      <c r="BF75" s="3723"/>
      <c r="BG75" s="3726"/>
      <c r="BH75" s="3726"/>
      <c r="BI75" s="3729"/>
      <c r="BJ75" s="3723"/>
      <c r="BK75" s="3678"/>
      <c r="BL75" s="3716"/>
      <c r="BM75" s="3716"/>
      <c r="BN75" s="3716"/>
      <c r="BO75" s="3719"/>
      <c r="BP75" s="3720"/>
      <c r="BQ75" s="568"/>
    </row>
    <row r="76" spans="1:69" s="553" customFormat="1" ht="45" x14ac:dyDescent="0.25">
      <c r="A76" s="424"/>
      <c r="B76" s="562"/>
      <c r="C76" s="562"/>
      <c r="D76" s="424"/>
      <c r="E76" s="562"/>
      <c r="F76" s="434"/>
      <c r="G76" s="3701" t="s">
        <v>64</v>
      </c>
      <c r="H76" s="3703" t="s">
        <v>547</v>
      </c>
      <c r="I76" s="3421" t="s">
        <v>548</v>
      </c>
      <c r="J76" s="3705" t="s">
        <v>549</v>
      </c>
      <c r="K76" s="3706">
        <v>1</v>
      </c>
      <c r="L76" s="3706">
        <v>1</v>
      </c>
      <c r="M76" s="3694" t="s">
        <v>550</v>
      </c>
      <c r="N76" s="3695" t="s">
        <v>551</v>
      </c>
      <c r="O76" s="3696" t="s">
        <v>552</v>
      </c>
      <c r="P76" s="3697">
        <f>+(U76+U77)/Q76</f>
        <v>1</v>
      </c>
      <c r="Q76" s="3698">
        <v>30000000</v>
      </c>
      <c r="R76" s="3699" t="s">
        <v>553</v>
      </c>
      <c r="S76" s="3681" t="s">
        <v>554</v>
      </c>
      <c r="T76" s="380" t="s">
        <v>555</v>
      </c>
      <c r="U76" s="2463">
        <v>15000000</v>
      </c>
      <c r="V76" s="2463">
        <v>11874999</v>
      </c>
      <c r="W76" s="2482">
        <v>11874999</v>
      </c>
      <c r="X76" s="561">
        <v>88</v>
      </c>
      <c r="Y76" s="2259" t="s">
        <v>411</v>
      </c>
      <c r="Z76" s="3679">
        <v>5060</v>
      </c>
      <c r="AA76" s="3679"/>
      <c r="AB76" s="3679">
        <v>6100</v>
      </c>
      <c r="AC76" s="3679"/>
      <c r="AD76" s="3679">
        <v>2550</v>
      </c>
      <c r="AE76" s="3679"/>
      <c r="AF76" s="3679">
        <v>2150</v>
      </c>
      <c r="AG76" s="3679"/>
      <c r="AH76" s="3679">
        <v>5500</v>
      </c>
      <c r="AI76" s="3679"/>
      <c r="AJ76" s="3679">
        <v>960</v>
      </c>
      <c r="AK76" s="3679"/>
      <c r="AL76" s="3679"/>
      <c r="AM76" s="3679"/>
      <c r="AN76" s="3679"/>
      <c r="AO76" s="3679"/>
      <c r="AP76" s="3679"/>
      <c r="AQ76" s="3679"/>
      <c r="AR76" s="3679"/>
      <c r="AS76" s="3679"/>
      <c r="AT76" s="3679"/>
      <c r="AU76" s="3679"/>
      <c r="AV76" s="3679"/>
      <c r="AW76" s="3679"/>
      <c r="AX76" s="3679"/>
      <c r="AY76" s="3679"/>
      <c r="AZ76" s="3679"/>
      <c r="BA76" s="3679"/>
      <c r="BB76" s="3679"/>
      <c r="BC76" s="3679"/>
      <c r="BD76" s="3679">
        <v>11160</v>
      </c>
      <c r="BE76" s="3679"/>
      <c r="BF76" s="3690">
        <v>4</v>
      </c>
      <c r="BG76" s="3692">
        <f>+V76+V77</f>
        <v>18914999</v>
      </c>
      <c r="BH76" s="3692">
        <f>+W76+W77</f>
        <v>18914999</v>
      </c>
      <c r="BI76" s="3683">
        <f>+BH76/BG76</f>
        <v>1</v>
      </c>
      <c r="BJ76" s="3685" t="s">
        <v>411</v>
      </c>
      <c r="BK76" s="665" t="s">
        <v>540</v>
      </c>
      <c r="BL76" s="3686">
        <v>44033</v>
      </c>
      <c r="BM76" s="3686">
        <v>44091</v>
      </c>
      <c r="BN76" s="3686">
        <v>44195</v>
      </c>
      <c r="BO76" s="3688">
        <v>44185</v>
      </c>
      <c r="BP76" s="3677" t="s">
        <v>367</v>
      </c>
      <c r="BQ76" s="568"/>
    </row>
    <row r="77" spans="1:69" s="553" customFormat="1" ht="30" x14ac:dyDescent="0.25">
      <c r="A77" s="424"/>
      <c r="B77" s="562"/>
      <c r="C77" s="562"/>
      <c r="D77" s="424"/>
      <c r="E77" s="562"/>
      <c r="F77" s="434"/>
      <c r="G77" s="3702"/>
      <c r="H77" s="3704"/>
      <c r="I77" s="3237"/>
      <c r="J77" s="3422"/>
      <c r="K77" s="3706"/>
      <c r="L77" s="3706"/>
      <c r="M77" s="2726"/>
      <c r="N77" s="2723"/>
      <c r="O77" s="3248"/>
      <c r="P77" s="3697"/>
      <c r="Q77" s="3698"/>
      <c r="R77" s="3700"/>
      <c r="S77" s="3682"/>
      <c r="T77" s="380" t="s">
        <v>556</v>
      </c>
      <c r="U77" s="2463">
        <v>15000000</v>
      </c>
      <c r="V77" s="2471">
        <v>7040000</v>
      </c>
      <c r="W77" s="2463">
        <v>7040000</v>
      </c>
      <c r="X77" s="666">
        <v>88</v>
      </c>
      <c r="Y77" s="2259" t="s">
        <v>411</v>
      </c>
      <c r="Z77" s="3680"/>
      <c r="AA77" s="3680"/>
      <c r="AB77" s="3680"/>
      <c r="AC77" s="3680"/>
      <c r="AD77" s="3680"/>
      <c r="AE77" s="3680"/>
      <c r="AF77" s="3680"/>
      <c r="AG77" s="3680"/>
      <c r="AH77" s="3680"/>
      <c r="AI77" s="3680"/>
      <c r="AJ77" s="3680"/>
      <c r="AK77" s="3680"/>
      <c r="AL77" s="3680"/>
      <c r="AM77" s="3680"/>
      <c r="AN77" s="3680"/>
      <c r="AO77" s="3680"/>
      <c r="AP77" s="3680"/>
      <c r="AQ77" s="3680"/>
      <c r="AR77" s="3680"/>
      <c r="AS77" s="3680"/>
      <c r="AT77" s="3680"/>
      <c r="AU77" s="3680"/>
      <c r="AV77" s="3680"/>
      <c r="AW77" s="3680"/>
      <c r="AX77" s="3680"/>
      <c r="AY77" s="3680"/>
      <c r="AZ77" s="3680"/>
      <c r="BA77" s="3680"/>
      <c r="BB77" s="3680"/>
      <c r="BC77" s="3680"/>
      <c r="BD77" s="3680"/>
      <c r="BE77" s="3680"/>
      <c r="BF77" s="3691"/>
      <c r="BG77" s="3693"/>
      <c r="BH77" s="3693"/>
      <c r="BI77" s="3684"/>
      <c r="BJ77" s="3678"/>
      <c r="BK77" s="667"/>
      <c r="BL77" s="3687"/>
      <c r="BM77" s="3687"/>
      <c r="BN77" s="3687"/>
      <c r="BO77" s="3689"/>
      <c r="BP77" s="3678"/>
      <c r="BQ77" s="568"/>
    </row>
    <row r="78" spans="1:69" s="553" customFormat="1" ht="30" x14ac:dyDescent="0.25">
      <c r="A78" s="424"/>
      <c r="B78" s="562"/>
      <c r="C78" s="562"/>
      <c r="D78" s="424"/>
      <c r="E78" s="562"/>
      <c r="F78" s="434"/>
      <c r="G78" s="3344" t="s">
        <v>64</v>
      </c>
      <c r="H78" s="2721" t="s">
        <v>557</v>
      </c>
      <c r="I78" s="3235" t="s">
        <v>558</v>
      </c>
      <c r="J78" s="2741" t="s">
        <v>559</v>
      </c>
      <c r="K78" s="2601">
        <v>1</v>
      </c>
      <c r="L78" s="2601">
        <v>1</v>
      </c>
      <c r="M78" s="2581" t="s">
        <v>560</v>
      </c>
      <c r="N78" s="2583" t="s">
        <v>561</v>
      </c>
      <c r="O78" s="3235" t="s">
        <v>562</v>
      </c>
      <c r="P78" s="3675">
        <f>+(U78+U79+U80)/(90000000)</f>
        <v>0.44444444444444442</v>
      </c>
      <c r="Q78" s="3676">
        <v>40000000</v>
      </c>
      <c r="R78" s="2707" t="s">
        <v>563</v>
      </c>
      <c r="S78" s="2707" t="s">
        <v>564</v>
      </c>
      <c r="T78" s="573" t="s">
        <v>565</v>
      </c>
      <c r="U78" s="2470">
        <v>5500000</v>
      </c>
      <c r="V78" s="2470">
        <v>5500000</v>
      </c>
      <c r="W78" s="2467">
        <v>5500000</v>
      </c>
      <c r="X78" s="662">
        <v>20</v>
      </c>
      <c r="Y78" s="2220" t="s">
        <v>85</v>
      </c>
      <c r="Z78" s="3673">
        <v>40906</v>
      </c>
      <c r="AA78" s="3673">
        <v>13</v>
      </c>
      <c r="AB78" s="3673">
        <v>37728</v>
      </c>
      <c r="AC78" s="3673">
        <v>25</v>
      </c>
      <c r="AD78" s="3673">
        <v>16790</v>
      </c>
      <c r="AE78" s="3673"/>
      <c r="AF78" s="3673">
        <v>8871</v>
      </c>
      <c r="AG78" s="3673"/>
      <c r="AH78" s="3673">
        <v>46240</v>
      </c>
      <c r="AI78" s="3673"/>
      <c r="AJ78" s="3672">
        <v>10814</v>
      </c>
      <c r="AK78" s="3672"/>
      <c r="AL78" s="3672">
        <v>0</v>
      </c>
      <c r="AM78" s="3672"/>
      <c r="AN78" s="3672">
        <v>0</v>
      </c>
      <c r="AO78" s="3672"/>
      <c r="AP78" s="3672">
        <v>0</v>
      </c>
      <c r="AQ78" s="3672"/>
      <c r="AR78" s="3672">
        <v>0</v>
      </c>
      <c r="AS78" s="3672"/>
      <c r="AT78" s="3672">
        <v>0</v>
      </c>
      <c r="AU78" s="3672"/>
      <c r="AV78" s="3672">
        <v>0</v>
      </c>
      <c r="AW78" s="3672"/>
      <c r="AX78" s="3672"/>
      <c r="AY78" s="3672"/>
      <c r="AZ78" s="3672"/>
      <c r="BA78" s="3672"/>
      <c r="BB78" s="3672"/>
      <c r="BC78" s="3672"/>
      <c r="BD78" s="3672">
        <v>78634</v>
      </c>
      <c r="BE78" s="3672">
        <v>38</v>
      </c>
      <c r="BF78" s="3669">
        <v>1</v>
      </c>
      <c r="BG78" s="3670">
        <f>+V78+V79+V80</f>
        <v>21204000</v>
      </c>
      <c r="BH78" s="3670">
        <f>+W78+W79+W80</f>
        <v>21204000</v>
      </c>
      <c r="BI78" s="3671">
        <f>+BH78/BG78</f>
        <v>1</v>
      </c>
      <c r="BJ78" s="3668" t="s">
        <v>365</v>
      </c>
      <c r="BK78" s="3668" t="s">
        <v>540</v>
      </c>
      <c r="BL78" s="3666">
        <v>43832</v>
      </c>
      <c r="BM78" s="3666">
        <v>43864</v>
      </c>
      <c r="BN78" s="3666">
        <v>44195</v>
      </c>
      <c r="BO78" s="3667">
        <v>44195</v>
      </c>
      <c r="BP78" s="3668" t="s">
        <v>367</v>
      </c>
      <c r="BQ78" s="568"/>
    </row>
    <row r="79" spans="1:69" s="553" customFormat="1" ht="30" x14ac:dyDescent="0.25">
      <c r="A79" s="424"/>
      <c r="B79" s="562"/>
      <c r="C79" s="562"/>
      <c r="D79" s="424"/>
      <c r="E79" s="562"/>
      <c r="F79" s="434"/>
      <c r="G79" s="3216"/>
      <c r="H79" s="2722"/>
      <c r="I79" s="3236"/>
      <c r="J79" s="2742"/>
      <c r="K79" s="2598"/>
      <c r="L79" s="2598"/>
      <c r="M79" s="2582"/>
      <c r="N79" s="2584"/>
      <c r="O79" s="3236"/>
      <c r="P79" s="3675"/>
      <c r="Q79" s="3676"/>
      <c r="R79" s="2708"/>
      <c r="S79" s="2708"/>
      <c r="T79" s="571" t="s">
        <v>566</v>
      </c>
      <c r="U79" s="2469">
        <v>15000000</v>
      </c>
      <c r="V79" s="2469">
        <v>11200000</v>
      </c>
      <c r="W79" s="2467">
        <v>11200000</v>
      </c>
      <c r="X79" s="561">
        <v>20</v>
      </c>
      <c r="Y79" s="2212" t="s">
        <v>85</v>
      </c>
      <c r="Z79" s="3673"/>
      <c r="AA79" s="3673"/>
      <c r="AB79" s="3673"/>
      <c r="AC79" s="3673"/>
      <c r="AD79" s="3673"/>
      <c r="AE79" s="3673"/>
      <c r="AF79" s="3673"/>
      <c r="AG79" s="3673"/>
      <c r="AH79" s="3673"/>
      <c r="AI79" s="3673"/>
      <c r="AJ79" s="2603"/>
      <c r="AK79" s="2603"/>
      <c r="AL79" s="2603"/>
      <c r="AM79" s="2603"/>
      <c r="AN79" s="2603"/>
      <c r="AO79" s="2603"/>
      <c r="AP79" s="2603"/>
      <c r="AQ79" s="2603"/>
      <c r="AR79" s="2603"/>
      <c r="AS79" s="2603"/>
      <c r="AT79" s="2603"/>
      <c r="AU79" s="2603"/>
      <c r="AV79" s="2603"/>
      <c r="AW79" s="2603"/>
      <c r="AX79" s="2603"/>
      <c r="AY79" s="2603"/>
      <c r="AZ79" s="2603"/>
      <c r="BA79" s="2603"/>
      <c r="BB79" s="2603"/>
      <c r="BC79" s="2603"/>
      <c r="BD79" s="2603"/>
      <c r="BE79" s="2603"/>
      <c r="BF79" s="3641"/>
      <c r="BG79" s="3639"/>
      <c r="BH79" s="3639"/>
      <c r="BI79" s="3461"/>
      <c r="BJ79" s="3641"/>
      <c r="BK79" s="3633"/>
      <c r="BL79" s="3627"/>
      <c r="BM79" s="3627"/>
      <c r="BN79" s="3627"/>
      <c r="BO79" s="3630"/>
      <c r="BP79" s="3633"/>
      <c r="BQ79" s="568"/>
    </row>
    <row r="80" spans="1:69" s="553" customFormat="1" ht="42" customHeight="1" x14ac:dyDescent="0.25">
      <c r="A80" s="424"/>
      <c r="B80" s="562"/>
      <c r="C80" s="562"/>
      <c r="D80" s="443"/>
      <c r="E80" s="444"/>
      <c r="F80" s="445"/>
      <c r="G80" s="3217"/>
      <c r="H80" s="2723"/>
      <c r="I80" s="3237"/>
      <c r="J80" s="2743"/>
      <c r="K80" s="3423"/>
      <c r="L80" s="3423"/>
      <c r="M80" s="2726"/>
      <c r="N80" s="2720"/>
      <c r="O80" s="3237"/>
      <c r="P80" s="3663"/>
      <c r="Q80" s="3665"/>
      <c r="R80" s="2709"/>
      <c r="S80" s="2709"/>
      <c r="T80" s="571" t="s">
        <v>567</v>
      </c>
      <c r="U80" s="2469">
        <v>19500000</v>
      </c>
      <c r="V80" s="2469">
        <v>4504000</v>
      </c>
      <c r="W80" s="2467">
        <v>4504000</v>
      </c>
      <c r="X80" s="561">
        <v>88</v>
      </c>
      <c r="Y80" s="2259" t="s">
        <v>411</v>
      </c>
      <c r="Z80" s="3674"/>
      <c r="AA80" s="3674"/>
      <c r="AB80" s="3674"/>
      <c r="AC80" s="3674"/>
      <c r="AD80" s="3674"/>
      <c r="AE80" s="3674"/>
      <c r="AF80" s="3674"/>
      <c r="AG80" s="3674"/>
      <c r="AH80" s="3674"/>
      <c r="AI80" s="3674"/>
      <c r="AJ80" s="3055"/>
      <c r="AK80" s="3055"/>
      <c r="AL80" s="3055"/>
      <c r="AM80" s="3055"/>
      <c r="AN80" s="3055"/>
      <c r="AO80" s="3055"/>
      <c r="AP80" s="3055"/>
      <c r="AQ80" s="3055"/>
      <c r="AR80" s="3055"/>
      <c r="AS80" s="3055"/>
      <c r="AT80" s="3055"/>
      <c r="AU80" s="3055"/>
      <c r="AV80" s="3055"/>
      <c r="AW80" s="3055"/>
      <c r="AX80" s="3055">
        <v>0</v>
      </c>
      <c r="AY80" s="3055"/>
      <c r="AZ80" s="3055">
        <v>0</v>
      </c>
      <c r="BA80" s="3055"/>
      <c r="BB80" s="3055">
        <v>0</v>
      </c>
      <c r="BC80" s="3055"/>
      <c r="BD80" s="3055"/>
      <c r="BE80" s="3055"/>
      <c r="BF80" s="3642"/>
      <c r="BG80" s="3640"/>
      <c r="BH80" s="3640"/>
      <c r="BI80" s="3462"/>
      <c r="BJ80" s="3642"/>
      <c r="BK80" s="3634"/>
      <c r="BL80" s="3628">
        <v>43832</v>
      </c>
      <c r="BM80" s="3628"/>
      <c r="BN80" s="3628">
        <v>44195</v>
      </c>
      <c r="BO80" s="3631"/>
      <c r="BP80" s="3634" t="s">
        <v>367</v>
      </c>
      <c r="BQ80" s="568"/>
    </row>
    <row r="81" spans="1:70" s="553" customFormat="1" ht="15.75" x14ac:dyDescent="0.25">
      <c r="A81" s="3635"/>
      <c r="B81" s="3636"/>
      <c r="C81" s="3637"/>
      <c r="D81" s="579">
        <v>22</v>
      </c>
      <c r="E81" s="580" t="s">
        <v>568</v>
      </c>
      <c r="F81" s="581"/>
      <c r="G81" s="582"/>
      <c r="H81" s="582"/>
      <c r="I81" s="583"/>
      <c r="J81" s="583"/>
      <c r="K81" s="582"/>
      <c r="L81" s="582"/>
      <c r="M81" s="82"/>
      <c r="N81" s="582"/>
      <c r="O81" s="583"/>
      <c r="P81" s="584"/>
      <c r="Q81" s="585"/>
      <c r="R81" s="583"/>
      <c r="S81" s="583"/>
      <c r="T81" s="583"/>
      <c r="U81" s="2472"/>
      <c r="V81" s="2472"/>
      <c r="W81" s="2472"/>
      <c r="X81" s="605"/>
      <c r="Y81" s="448"/>
      <c r="Z81" s="668"/>
      <c r="AA81" s="668"/>
      <c r="AB81" s="668"/>
      <c r="AC81" s="668"/>
      <c r="AD81" s="668"/>
      <c r="AE81" s="668"/>
      <c r="AF81" s="668"/>
      <c r="AG81" s="668"/>
      <c r="AH81" s="668"/>
      <c r="AI81" s="668"/>
      <c r="AJ81" s="668"/>
      <c r="AK81" s="668"/>
      <c r="AL81" s="668"/>
      <c r="AM81" s="668"/>
      <c r="AN81" s="668"/>
      <c r="AO81" s="668"/>
      <c r="AP81" s="668"/>
      <c r="AQ81" s="668"/>
      <c r="AR81" s="668"/>
      <c r="AS81" s="668"/>
      <c r="AT81" s="668"/>
      <c r="AU81" s="668"/>
      <c r="AV81" s="668"/>
      <c r="AW81" s="668"/>
      <c r="AX81" s="668"/>
      <c r="AY81" s="668"/>
      <c r="AZ81" s="668"/>
      <c r="BA81" s="668"/>
      <c r="BB81" s="668"/>
      <c r="BC81" s="668"/>
      <c r="BD81" s="668"/>
      <c r="BE81" s="668"/>
      <c r="BF81" s="668"/>
      <c r="BG81" s="668"/>
      <c r="BH81" s="668"/>
      <c r="BI81" s="668"/>
      <c r="BJ81" s="668"/>
      <c r="BK81" s="668"/>
      <c r="BL81" s="668"/>
      <c r="BM81" s="668"/>
      <c r="BN81" s="668"/>
      <c r="BO81" s="668"/>
      <c r="BP81" s="668"/>
      <c r="BQ81" s="568"/>
    </row>
    <row r="82" spans="1:70" s="553" customFormat="1" ht="56.25" customHeight="1" x14ac:dyDescent="0.25">
      <c r="A82" s="424"/>
      <c r="B82" s="562"/>
      <c r="C82" s="434"/>
      <c r="D82" s="458"/>
      <c r="E82" s="458"/>
      <c r="F82" s="459"/>
      <c r="G82" s="3660">
        <v>3204012</v>
      </c>
      <c r="H82" s="3660" t="s">
        <v>569</v>
      </c>
      <c r="I82" s="3235" t="s">
        <v>570</v>
      </c>
      <c r="J82" s="2908" t="s">
        <v>571</v>
      </c>
      <c r="K82" s="2601">
        <v>1</v>
      </c>
      <c r="L82" s="2601">
        <v>1</v>
      </c>
      <c r="M82" s="2581" t="s">
        <v>572</v>
      </c>
      <c r="N82" s="2721" t="s">
        <v>573</v>
      </c>
      <c r="O82" s="3235" t="s">
        <v>574</v>
      </c>
      <c r="P82" s="3442">
        <f>+(U82+U83)/(Q82)</f>
        <v>1</v>
      </c>
      <c r="Q82" s="3664">
        <v>26000000</v>
      </c>
      <c r="R82" s="2707" t="s">
        <v>575</v>
      </c>
      <c r="S82" s="2707" t="s">
        <v>576</v>
      </c>
      <c r="T82" s="571" t="s">
        <v>577</v>
      </c>
      <c r="U82" s="2469">
        <v>15000000</v>
      </c>
      <c r="V82" s="2469">
        <v>14933333</v>
      </c>
      <c r="W82" s="2469">
        <v>14933333</v>
      </c>
      <c r="X82" s="561">
        <v>88</v>
      </c>
      <c r="Y82" s="2259" t="s">
        <v>411</v>
      </c>
      <c r="Z82" s="2789">
        <v>250</v>
      </c>
      <c r="AA82" s="2789"/>
      <c r="AB82" s="2789">
        <v>250</v>
      </c>
      <c r="AC82" s="2789"/>
      <c r="AD82" s="2789">
        <v>100</v>
      </c>
      <c r="AE82" s="2789"/>
      <c r="AF82" s="2789">
        <v>100</v>
      </c>
      <c r="AG82" s="2789"/>
      <c r="AH82" s="2789">
        <v>200</v>
      </c>
      <c r="AI82" s="2789"/>
      <c r="AJ82" s="2789">
        <v>100</v>
      </c>
      <c r="AK82" s="2789"/>
      <c r="AL82" s="2789"/>
      <c r="AM82" s="2789"/>
      <c r="AN82" s="2789"/>
      <c r="AO82" s="2789"/>
      <c r="AP82" s="2789"/>
      <c r="AQ82" s="2789"/>
      <c r="AR82" s="2789"/>
      <c r="AS82" s="2789"/>
      <c r="AT82" s="2789"/>
      <c r="AU82" s="2789"/>
      <c r="AV82" s="2789"/>
      <c r="AW82" s="2789"/>
      <c r="AX82" s="2789"/>
      <c r="AY82" s="2789"/>
      <c r="AZ82" s="2789"/>
      <c r="BA82" s="2789"/>
      <c r="BB82" s="2789"/>
      <c r="BC82" s="2789"/>
      <c r="BD82" s="2789">
        <v>500</v>
      </c>
      <c r="BE82" s="2789"/>
      <c r="BF82" s="3643">
        <v>2</v>
      </c>
      <c r="BG82" s="3638">
        <f>+V82+V83</f>
        <v>14933333</v>
      </c>
      <c r="BH82" s="3638">
        <f>+W82+W83</f>
        <v>14933333</v>
      </c>
      <c r="BI82" s="3460">
        <f>+BH82/BG82</f>
        <v>1</v>
      </c>
      <c r="BJ82" s="3632" t="s">
        <v>411</v>
      </c>
      <c r="BK82" s="3632" t="s">
        <v>540</v>
      </c>
      <c r="BL82" s="3626">
        <v>44033</v>
      </c>
      <c r="BM82" s="3626">
        <v>44084</v>
      </c>
      <c r="BN82" s="3626">
        <v>44195</v>
      </c>
      <c r="BO82" s="3629">
        <v>44185</v>
      </c>
      <c r="BP82" s="3632" t="s">
        <v>367</v>
      </c>
      <c r="BQ82" s="568"/>
    </row>
    <row r="83" spans="1:70" s="553" customFormat="1" ht="179.25" customHeight="1" x14ac:dyDescent="0.25">
      <c r="A83" s="424"/>
      <c r="B83" s="562"/>
      <c r="C83" s="434"/>
      <c r="D83" s="562"/>
      <c r="E83" s="562"/>
      <c r="F83" s="434"/>
      <c r="G83" s="3662"/>
      <c r="H83" s="3662"/>
      <c r="I83" s="3237"/>
      <c r="J83" s="3422"/>
      <c r="K83" s="3423"/>
      <c r="L83" s="3423"/>
      <c r="M83" s="2726"/>
      <c r="N83" s="2723"/>
      <c r="O83" s="3237"/>
      <c r="P83" s="3663"/>
      <c r="Q83" s="3665"/>
      <c r="R83" s="2709"/>
      <c r="S83" s="2709"/>
      <c r="T83" s="571" t="s">
        <v>578</v>
      </c>
      <c r="U83" s="2469">
        <v>11000000</v>
      </c>
      <c r="V83" s="2469">
        <v>0</v>
      </c>
      <c r="W83" s="2469">
        <v>0</v>
      </c>
      <c r="X83" s="561">
        <v>88</v>
      </c>
      <c r="Y83" s="2259" t="s">
        <v>411</v>
      </c>
      <c r="Z83" s="2791"/>
      <c r="AA83" s="2791"/>
      <c r="AB83" s="2791"/>
      <c r="AC83" s="2791"/>
      <c r="AD83" s="2791"/>
      <c r="AE83" s="2791"/>
      <c r="AF83" s="2791"/>
      <c r="AG83" s="2791"/>
      <c r="AH83" s="2791"/>
      <c r="AI83" s="2791"/>
      <c r="AJ83" s="2791"/>
      <c r="AK83" s="2791"/>
      <c r="AL83" s="2791"/>
      <c r="AM83" s="2791"/>
      <c r="AN83" s="2791"/>
      <c r="AO83" s="2791"/>
      <c r="AP83" s="2791"/>
      <c r="AQ83" s="2791"/>
      <c r="AR83" s="2791"/>
      <c r="AS83" s="2791"/>
      <c r="AT83" s="2791"/>
      <c r="AU83" s="2791"/>
      <c r="AV83" s="2791"/>
      <c r="AW83" s="2791"/>
      <c r="AX83" s="2791"/>
      <c r="AY83" s="2791"/>
      <c r="AZ83" s="2791"/>
      <c r="BA83" s="2791"/>
      <c r="BB83" s="2791"/>
      <c r="BC83" s="2791"/>
      <c r="BD83" s="2791"/>
      <c r="BE83" s="2791"/>
      <c r="BF83" s="3642"/>
      <c r="BG83" s="3640"/>
      <c r="BH83" s="3640"/>
      <c r="BI83" s="3462"/>
      <c r="BJ83" s="3634"/>
      <c r="BK83" s="3634"/>
      <c r="BL83" s="3628"/>
      <c r="BM83" s="3628"/>
      <c r="BN83" s="3628"/>
      <c r="BO83" s="3631"/>
      <c r="BP83" s="3634"/>
      <c r="BQ83" s="568"/>
    </row>
    <row r="84" spans="1:70" s="553" customFormat="1" ht="15.75" x14ac:dyDescent="0.25">
      <c r="A84" s="3635"/>
      <c r="B84" s="3636"/>
      <c r="C84" s="3637"/>
      <c r="D84" s="579">
        <v>23</v>
      </c>
      <c r="E84" s="580" t="s">
        <v>579</v>
      </c>
      <c r="F84" s="581"/>
      <c r="G84" s="582"/>
      <c r="H84" s="582"/>
      <c r="I84" s="583"/>
      <c r="J84" s="583"/>
      <c r="K84" s="582"/>
      <c r="L84" s="582"/>
      <c r="M84" s="82"/>
      <c r="N84" s="582"/>
      <c r="O84" s="583"/>
      <c r="P84" s="584"/>
      <c r="Q84" s="585"/>
      <c r="R84" s="583"/>
      <c r="S84" s="583"/>
      <c r="T84" s="583"/>
      <c r="U84" s="2472"/>
      <c r="V84" s="2472"/>
      <c r="W84" s="2472"/>
      <c r="X84" s="587"/>
      <c r="Y84" s="82"/>
      <c r="Z84" s="587"/>
      <c r="AA84" s="587"/>
      <c r="AB84" s="587"/>
      <c r="AC84" s="587"/>
      <c r="AD84" s="587"/>
      <c r="AE84" s="587"/>
      <c r="AF84" s="587"/>
      <c r="AG84" s="587"/>
      <c r="AH84" s="587"/>
      <c r="AI84" s="587"/>
      <c r="AJ84" s="587"/>
      <c r="AK84" s="587"/>
      <c r="AL84" s="587"/>
      <c r="AM84" s="587"/>
      <c r="AN84" s="587"/>
      <c r="AO84" s="587"/>
      <c r="AP84" s="587"/>
      <c r="AQ84" s="587"/>
      <c r="AR84" s="587"/>
      <c r="AS84" s="587"/>
      <c r="AT84" s="587"/>
      <c r="AU84" s="587"/>
      <c r="AV84" s="587"/>
      <c r="AW84" s="587"/>
      <c r="AX84" s="587"/>
      <c r="AY84" s="587"/>
      <c r="AZ84" s="587"/>
      <c r="BA84" s="587"/>
      <c r="BB84" s="587"/>
      <c r="BC84" s="587"/>
      <c r="BD84" s="587"/>
      <c r="BE84" s="587"/>
      <c r="BF84" s="587"/>
      <c r="BG84" s="587"/>
      <c r="BH84" s="587"/>
      <c r="BI84" s="587"/>
      <c r="BJ84" s="587"/>
      <c r="BK84" s="587"/>
      <c r="BL84" s="587"/>
      <c r="BM84" s="587"/>
      <c r="BN84" s="587"/>
      <c r="BO84" s="587"/>
      <c r="BP84" s="587"/>
      <c r="BQ84" s="568"/>
    </row>
    <row r="85" spans="1:70" s="553" customFormat="1" ht="94.5" customHeight="1" x14ac:dyDescent="0.25">
      <c r="A85" s="606"/>
      <c r="B85" s="607"/>
      <c r="C85" s="608"/>
      <c r="D85" s="3651"/>
      <c r="E85" s="3653"/>
      <c r="F85" s="3655"/>
      <c r="G85" s="3657">
        <v>3205010</v>
      </c>
      <c r="H85" s="3660" t="s">
        <v>580</v>
      </c>
      <c r="I85" s="2908" t="s">
        <v>581</v>
      </c>
      <c r="J85" s="2908" t="s">
        <v>582</v>
      </c>
      <c r="K85" s="3455">
        <v>1</v>
      </c>
      <c r="L85" s="3455">
        <v>1</v>
      </c>
      <c r="M85" s="3576" t="s">
        <v>560</v>
      </c>
      <c r="N85" s="3224" t="s">
        <v>561</v>
      </c>
      <c r="O85" s="2908" t="s">
        <v>562</v>
      </c>
      <c r="P85" s="3460">
        <f>+(U85+U86+U87)/(90000000)</f>
        <v>0.55555555555555558</v>
      </c>
      <c r="Q85" s="3644">
        <v>50000000</v>
      </c>
      <c r="R85" s="3647" t="s">
        <v>563</v>
      </c>
      <c r="S85" s="3647" t="s">
        <v>564</v>
      </c>
      <c r="T85" s="669" t="s">
        <v>583</v>
      </c>
      <c r="U85" s="2469">
        <v>20000000</v>
      </c>
      <c r="V85" s="2469">
        <v>11717317</v>
      </c>
      <c r="W85" s="2469">
        <v>11717317</v>
      </c>
      <c r="X85" s="361">
        <v>88</v>
      </c>
      <c r="Y85" s="2268" t="s">
        <v>411</v>
      </c>
      <c r="Z85" s="3455">
        <v>40906</v>
      </c>
      <c r="AA85" s="3455">
        <v>92</v>
      </c>
      <c r="AB85" s="3455">
        <v>37728</v>
      </c>
      <c r="AC85" s="3455">
        <v>88</v>
      </c>
      <c r="AD85" s="3455">
        <v>16790</v>
      </c>
      <c r="AE85" s="3455"/>
      <c r="AF85" s="3455">
        <v>8871</v>
      </c>
      <c r="AG85" s="3455"/>
      <c r="AH85" s="3455">
        <v>46240</v>
      </c>
      <c r="AI85" s="3455"/>
      <c r="AJ85" s="3455">
        <v>10814</v>
      </c>
      <c r="AK85" s="3455"/>
      <c r="AL85" s="3455">
        <v>0</v>
      </c>
      <c r="AM85" s="3455"/>
      <c r="AN85" s="3455">
        <v>0</v>
      </c>
      <c r="AO85" s="3455"/>
      <c r="AP85" s="3455">
        <v>0</v>
      </c>
      <c r="AQ85" s="3455"/>
      <c r="AR85" s="3455">
        <v>0</v>
      </c>
      <c r="AS85" s="3455"/>
      <c r="AT85" s="3455">
        <v>0</v>
      </c>
      <c r="AU85" s="3455"/>
      <c r="AV85" s="3455">
        <v>0</v>
      </c>
      <c r="AW85" s="3455"/>
      <c r="AX85" s="3455">
        <v>0</v>
      </c>
      <c r="AY85" s="3455"/>
      <c r="AZ85" s="3455">
        <v>0</v>
      </c>
      <c r="BA85" s="3455"/>
      <c r="BB85" s="3455">
        <v>0</v>
      </c>
      <c r="BC85" s="3455"/>
      <c r="BD85" s="3455">
        <v>78634</v>
      </c>
      <c r="BE85" s="3455">
        <v>180</v>
      </c>
      <c r="BF85" s="3643">
        <v>2</v>
      </c>
      <c r="BG85" s="3638">
        <f>+V85+V86+V87</f>
        <v>26717317</v>
      </c>
      <c r="BH85" s="3638">
        <f>+W85+W86+W87</f>
        <v>26717317</v>
      </c>
      <c r="BI85" s="3460">
        <f>+BH85/BG85</f>
        <v>1</v>
      </c>
      <c r="BJ85" s="3632" t="s">
        <v>365</v>
      </c>
      <c r="BK85" s="3632" t="s">
        <v>540</v>
      </c>
      <c r="BL85" s="3626">
        <v>43832</v>
      </c>
      <c r="BM85" s="3626">
        <v>43864</v>
      </c>
      <c r="BN85" s="3626">
        <v>44195</v>
      </c>
      <c r="BO85" s="3629">
        <v>43984</v>
      </c>
      <c r="BP85" s="3632" t="s">
        <v>367</v>
      </c>
      <c r="BQ85" s="568"/>
    </row>
    <row r="86" spans="1:70" s="553" customFormat="1" ht="46.5" customHeight="1" x14ac:dyDescent="0.25">
      <c r="A86" s="606"/>
      <c r="B86" s="607"/>
      <c r="C86" s="608"/>
      <c r="D86" s="3651"/>
      <c r="E86" s="3653"/>
      <c r="F86" s="3655"/>
      <c r="G86" s="3658"/>
      <c r="H86" s="3661"/>
      <c r="I86" s="2909"/>
      <c r="J86" s="2909"/>
      <c r="K86" s="3052"/>
      <c r="L86" s="3052"/>
      <c r="M86" s="3650"/>
      <c r="N86" s="3225"/>
      <c r="O86" s="2909"/>
      <c r="P86" s="3461"/>
      <c r="Q86" s="3645"/>
      <c r="R86" s="3648"/>
      <c r="S86" s="3648"/>
      <c r="T86" s="3235" t="s">
        <v>584</v>
      </c>
      <c r="U86" s="2469">
        <v>15000000</v>
      </c>
      <c r="V86" s="2469">
        <v>0</v>
      </c>
      <c r="W86" s="2469">
        <v>0</v>
      </c>
      <c r="X86" s="361">
        <v>20</v>
      </c>
      <c r="Y86" s="2268" t="s">
        <v>85</v>
      </c>
      <c r="Z86" s="3052"/>
      <c r="AA86" s="3052"/>
      <c r="AB86" s="3052"/>
      <c r="AC86" s="3052"/>
      <c r="AD86" s="3052"/>
      <c r="AE86" s="3052"/>
      <c r="AF86" s="3052"/>
      <c r="AG86" s="3052"/>
      <c r="AH86" s="3052"/>
      <c r="AI86" s="3052"/>
      <c r="AJ86" s="3052"/>
      <c r="AK86" s="3052"/>
      <c r="AL86" s="3052"/>
      <c r="AM86" s="3052"/>
      <c r="AN86" s="3052"/>
      <c r="AO86" s="3052"/>
      <c r="AP86" s="3052"/>
      <c r="AQ86" s="3052"/>
      <c r="AR86" s="3052"/>
      <c r="AS86" s="3052"/>
      <c r="AT86" s="3052"/>
      <c r="AU86" s="3052"/>
      <c r="AV86" s="3052"/>
      <c r="AW86" s="3052"/>
      <c r="AX86" s="3052"/>
      <c r="AY86" s="3052"/>
      <c r="AZ86" s="3052"/>
      <c r="BA86" s="3052"/>
      <c r="BB86" s="3052"/>
      <c r="BC86" s="3052"/>
      <c r="BD86" s="3052"/>
      <c r="BE86" s="3052"/>
      <c r="BF86" s="3641"/>
      <c r="BG86" s="3639"/>
      <c r="BH86" s="3639"/>
      <c r="BI86" s="3461"/>
      <c r="BJ86" s="3641"/>
      <c r="BK86" s="3633"/>
      <c r="BL86" s="3627"/>
      <c r="BM86" s="3627"/>
      <c r="BN86" s="3627"/>
      <c r="BO86" s="3630"/>
      <c r="BP86" s="3633"/>
      <c r="BQ86" s="568"/>
    </row>
    <row r="87" spans="1:70" s="553" customFormat="1" ht="46.5" customHeight="1" x14ac:dyDescent="0.25">
      <c r="A87" s="589"/>
      <c r="B87" s="590"/>
      <c r="C87" s="591"/>
      <c r="D87" s="3652"/>
      <c r="E87" s="3654"/>
      <c r="F87" s="3656"/>
      <c r="G87" s="3659"/>
      <c r="H87" s="3662"/>
      <c r="I87" s="3422"/>
      <c r="J87" s="3422"/>
      <c r="K87" s="3456"/>
      <c r="L87" s="3456"/>
      <c r="M87" s="3577"/>
      <c r="N87" s="3384"/>
      <c r="O87" s="3422"/>
      <c r="P87" s="3462"/>
      <c r="Q87" s="3646"/>
      <c r="R87" s="3649"/>
      <c r="S87" s="3649"/>
      <c r="T87" s="3237"/>
      <c r="U87" s="2469">
        <v>15000000</v>
      </c>
      <c r="V87" s="2469">
        <v>15000000</v>
      </c>
      <c r="W87" s="2469">
        <v>15000000</v>
      </c>
      <c r="X87" s="361">
        <v>20</v>
      </c>
      <c r="Y87" s="2234" t="s">
        <v>85</v>
      </c>
      <c r="Z87" s="3456"/>
      <c r="AA87" s="3456"/>
      <c r="AB87" s="3456"/>
      <c r="AC87" s="3456"/>
      <c r="AD87" s="3456"/>
      <c r="AE87" s="3456"/>
      <c r="AF87" s="3456"/>
      <c r="AG87" s="3456"/>
      <c r="AH87" s="3456"/>
      <c r="AI87" s="3456"/>
      <c r="AJ87" s="3456"/>
      <c r="AK87" s="3456"/>
      <c r="AL87" s="3456"/>
      <c r="AM87" s="3456"/>
      <c r="AN87" s="3456"/>
      <c r="AO87" s="3456"/>
      <c r="AP87" s="3456"/>
      <c r="AQ87" s="3456"/>
      <c r="AR87" s="3456"/>
      <c r="AS87" s="3456"/>
      <c r="AT87" s="3456"/>
      <c r="AU87" s="3456"/>
      <c r="AV87" s="3456"/>
      <c r="AW87" s="3456"/>
      <c r="AX87" s="3456"/>
      <c r="AY87" s="3456"/>
      <c r="AZ87" s="3456"/>
      <c r="BA87" s="3456"/>
      <c r="BB87" s="3456"/>
      <c r="BC87" s="3456"/>
      <c r="BD87" s="3456"/>
      <c r="BE87" s="3456"/>
      <c r="BF87" s="3642"/>
      <c r="BG87" s="3640"/>
      <c r="BH87" s="3640"/>
      <c r="BI87" s="3462"/>
      <c r="BJ87" s="3642"/>
      <c r="BK87" s="3634"/>
      <c r="BL87" s="3628"/>
      <c r="BM87" s="3628"/>
      <c r="BN87" s="3628"/>
      <c r="BO87" s="3631"/>
      <c r="BP87" s="3634"/>
      <c r="BQ87" s="568"/>
    </row>
    <row r="88" spans="1:70" s="553" customFormat="1" ht="15.75" x14ac:dyDescent="0.25">
      <c r="A88" s="3635"/>
      <c r="B88" s="3636"/>
      <c r="C88" s="3637"/>
      <c r="D88" s="579">
        <v>24</v>
      </c>
      <c r="E88" s="580" t="s">
        <v>585</v>
      </c>
      <c r="F88" s="581"/>
      <c r="G88" s="582"/>
      <c r="H88" s="582"/>
      <c r="I88" s="583"/>
      <c r="J88" s="583"/>
      <c r="K88" s="582"/>
      <c r="L88" s="582"/>
      <c r="M88" s="82"/>
      <c r="N88" s="582"/>
      <c r="O88" s="583"/>
      <c r="P88" s="584"/>
      <c r="Q88" s="585"/>
      <c r="R88" s="583"/>
      <c r="S88" s="583"/>
      <c r="T88" s="583"/>
      <c r="U88" s="2472"/>
      <c r="V88" s="2472"/>
      <c r="W88" s="2472"/>
      <c r="X88" s="587"/>
      <c r="Y88" s="82"/>
      <c r="Z88" s="587"/>
      <c r="AA88" s="587"/>
      <c r="AB88" s="587"/>
      <c r="AC88" s="587"/>
      <c r="AD88" s="587"/>
      <c r="AE88" s="587"/>
      <c r="AF88" s="587"/>
      <c r="AG88" s="587"/>
      <c r="AH88" s="587"/>
      <c r="AI88" s="587"/>
      <c r="AJ88" s="587"/>
      <c r="AK88" s="587"/>
      <c r="AL88" s="587"/>
      <c r="AM88" s="587"/>
      <c r="AN88" s="587"/>
      <c r="AO88" s="587"/>
      <c r="AP88" s="587"/>
      <c r="AQ88" s="587"/>
      <c r="AR88" s="587"/>
      <c r="AS88" s="587"/>
      <c r="AT88" s="587"/>
      <c r="AU88" s="587"/>
      <c r="AV88" s="587"/>
      <c r="AW88" s="587"/>
      <c r="AX88" s="587"/>
      <c r="AY88" s="587"/>
      <c r="AZ88" s="587"/>
      <c r="BA88" s="587"/>
      <c r="BB88" s="587"/>
      <c r="BC88" s="587"/>
      <c r="BD88" s="587"/>
      <c r="BE88" s="670"/>
      <c r="BF88" s="587"/>
      <c r="BG88" s="670"/>
      <c r="BH88" s="587"/>
      <c r="BI88" s="670"/>
      <c r="BJ88" s="587"/>
      <c r="BK88" s="670"/>
      <c r="BL88" s="587"/>
      <c r="BM88" s="670"/>
      <c r="BN88" s="587"/>
      <c r="BO88" s="670"/>
      <c r="BP88" s="587"/>
      <c r="BQ88" s="568"/>
    </row>
    <row r="89" spans="1:70" s="553" customFormat="1" ht="120" x14ac:dyDescent="0.25">
      <c r="A89" s="424"/>
      <c r="B89" s="562"/>
      <c r="C89" s="434"/>
      <c r="D89" s="427"/>
      <c r="E89" s="427"/>
      <c r="F89" s="428"/>
      <c r="G89" s="577">
        <v>3206014</v>
      </c>
      <c r="H89" s="577" t="s">
        <v>586</v>
      </c>
      <c r="I89" s="571" t="s">
        <v>587</v>
      </c>
      <c r="J89" s="385" t="s">
        <v>588</v>
      </c>
      <c r="K89" s="362">
        <v>50</v>
      </c>
      <c r="L89" s="362">
        <v>50</v>
      </c>
      <c r="M89" s="2234" t="s">
        <v>589</v>
      </c>
      <c r="N89" s="671" t="s">
        <v>590</v>
      </c>
      <c r="O89" s="571" t="s">
        <v>591</v>
      </c>
      <c r="P89" s="604">
        <f>+U89/Q89</f>
        <v>1</v>
      </c>
      <c r="Q89" s="672">
        <v>20000000</v>
      </c>
      <c r="R89" s="378" t="s">
        <v>592</v>
      </c>
      <c r="S89" s="378" t="s">
        <v>593</v>
      </c>
      <c r="T89" s="571" t="s">
        <v>594</v>
      </c>
      <c r="U89" s="2469">
        <v>20000000</v>
      </c>
      <c r="V89" s="2469">
        <v>20000000</v>
      </c>
      <c r="W89" s="2469">
        <v>20000000</v>
      </c>
      <c r="X89" s="361">
        <v>88</v>
      </c>
      <c r="Y89" s="2234" t="s">
        <v>411</v>
      </c>
      <c r="Z89" s="361">
        <v>285580</v>
      </c>
      <c r="AA89" s="361"/>
      <c r="AB89" s="361">
        <v>285580</v>
      </c>
      <c r="AC89" s="361"/>
      <c r="AD89" s="361">
        <v>135545</v>
      </c>
      <c r="AE89" s="361"/>
      <c r="AF89" s="361">
        <v>44254</v>
      </c>
      <c r="AG89" s="361"/>
      <c r="AH89" s="361">
        <v>309146</v>
      </c>
      <c r="AI89" s="361"/>
      <c r="AJ89" s="361">
        <v>92607</v>
      </c>
      <c r="AK89" s="361"/>
      <c r="AL89" s="361"/>
      <c r="AM89" s="361"/>
      <c r="AN89" s="361"/>
      <c r="AO89" s="361"/>
      <c r="AP89" s="361"/>
      <c r="AQ89" s="361"/>
      <c r="AR89" s="361"/>
      <c r="AS89" s="361"/>
      <c r="AT89" s="361"/>
      <c r="AU89" s="361"/>
      <c r="AV89" s="361"/>
      <c r="AW89" s="361"/>
      <c r="AX89" s="361"/>
      <c r="AY89" s="361"/>
      <c r="AZ89" s="361"/>
      <c r="BA89" s="361"/>
      <c r="BB89" s="361"/>
      <c r="BC89" s="361"/>
      <c r="BD89" s="361">
        <v>581552</v>
      </c>
      <c r="BE89" s="673"/>
      <c r="BF89" s="674">
        <v>0</v>
      </c>
      <c r="BG89" s="575">
        <f>+V89</f>
        <v>20000000</v>
      </c>
      <c r="BH89" s="575">
        <f>+W89</f>
        <v>20000000</v>
      </c>
      <c r="BI89" s="675">
        <v>1</v>
      </c>
      <c r="BJ89" s="674"/>
      <c r="BK89" s="598"/>
      <c r="BL89" s="600">
        <v>44033</v>
      </c>
      <c r="BM89" s="600"/>
      <c r="BN89" s="600">
        <v>44195</v>
      </c>
      <c r="BO89" s="676"/>
      <c r="BP89" s="677" t="s">
        <v>367</v>
      </c>
      <c r="BQ89" s="678"/>
    </row>
    <row r="90" spans="1:70" s="553" customFormat="1" ht="45.75" customHeight="1" x14ac:dyDescent="0.25">
      <c r="A90" s="679"/>
      <c r="B90" s="144"/>
      <c r="C90" s="142"/>
      <c r="D90" s="680"/>
      <c r="E90" s="680"/>
      <c r="F90" s="681"/>
      <c r="G90" s="682"/>
      <c r="H90" s="682"/>
      <c r="I90" s="384"/>
      <c r="J90" s="384"/>
      <c r="K90" s="145"/>
      <c r="L90" s="145"/>
      <c r="M90" s="384"/>
      <c r="N90" s="145"/>
      <c r="O90" s="384"/>
      <c r="P90" s="683"/>
      <c r="Q90" s="684">
        <f>SUM(Q12:Q89)</f>
        <v>1704396659.97</v>
      </c>
      <c r="R90" s="384"/>
      <c r="S90" s="384"/>
      <c r="T90" s="384"/>
      <c r="U90" s="2490">
        <f>SUM(U12:U89)</f>
        <v>1704396659.97</v>
      </c>
      <c r="V90" s="2491">
        <f>SUM(V12:V89)</f>
        <v>922940601</v>
      </c>
      <c r="W90" s="2491">
        <f>SUM(W12:W89)</f>
        <v>913140601</v>
      </c>
      <c r="X90" s="597"/>
      <c r="Y90" s="685"/>
      <c r="Z90" s="686"/>
      <c r="AA90" s="686"/>
      <c r="AB90" s="686"/>
      <c r="AC90" s="686"/>
      <c r="AD90" s="686"/>
      <c r="AE90" s="686"/>
      <c r="AF90" s="686"/>
      <c r="AG90" s="686"/>
      <c r="AH90" s="686"/>
      <c r="AI90" s="686"/>
      <c r="AJ90" s="686"/>
      <c r="AK90" s="686"/>
      <c r="AL90" s="686"/>
      <c r="AM90" s="686"/>
      <c r="AN90" s="686"/>
      <c r="AO90" s="686"/>
      <c r="AP90" s="686"/>
      <c r="AQ90" s="686"/>
      <c r="AR90" s="686"/>
      <c r="AS90" s="686"/>
      <c r="AT90" s="686"/>
      <c r="AU90" s="686"/>
      <c r="AV90" s="686"/>
      <c r="AW90" s="686"/>
      <c r="AX90" s="686"/>
      <c r="AY90" s="686"/>
      <c r="AZ90" s="686"/>
      <c r="BA90" s="686"/>
      <c r="BB90" s="686"/>
      <c r="BC90" s="686"/>
      <c r="BD90" s="686"/>
      <c r="BE90" s="686"/>
      <c r="BF90" s="355"/>
      <c r="BG90" s="687">
        <f>SUM(BG12:BG89)</f>
        <v>922940601</v>
      </c>
      <c r="BH90" s="687">
        <f>SUM(BH12:BH89)</f>
        <v>913140601</v>
      </c>
      <c r="BI90" s="355"/>
      <c r="BJ90" s="355"/>
      <c r="BK90" s="688"/>
      <c r="BL90" s="689"/>
      <c r="BM90" s="689"/>
      <c r="BN90" s="690"/>
      <c r="BO90" s="154"/>
      <c r="BP90" s="691"/>
      <c r="BQ90" s="568"/>
    </row>
    <row r="91" spans="1:70" x14ac:dyDescent="0.2">
      <c r="Q91" s="694"/>
      <c r="R91" s="695"/>
      <c r="S91" s="695"/>
      <c r="T91" s="695"/>
      <c r="U91" s="696"/>
      <c r="V91" s="696"/>
      <c r="W91" s="696"/>
      <c r="Y91" s="693"/>
      <c r="AA91" s="499"/>
      <c r="BF91" s="697"/>
      <c r="BG91" s="697"/>
      <c r="BH91" s="697"/>
      <c r="BI91" s="697"/>
      <c r="BJ91" s="697"/>
      <c r="BK91" s="697"/>
      <c r="BL91" s="697"/>
      <c r="BM91" s="697"/>
      <c r="BN91" s="697"/>
      <c r="BO91" s="697"/>
      <c r="BP91" s="697"/>
    </row>
    <row r="92" spans="1:70" ht="28.5" customHeight="1" x14ac:dyDescent="0.2">
      <c r="P92" s="698"/>
      <c r="Q92" s="699"/>
      <c r="R92" s="700"/>
      <c r="S92" s="700"/>
      <c r="T92" s="701"/>
      <c r="U92" s="702"/>
      <c r="V92" s="703"/>
      <c r="W92" s="703"/>
      <c r="X92" s="697"/>
      <c r="Y92" s="704"/>
      <c r="BG92" s="692"/>
      <c r="BH92" s="705"/>
      <c r="BI92" s="697"/>
      <c r="BJ92" s="697"/>
      <c r="BK92" s="697"/>
      <c r="BL92" s="697"/>
      <c r="BM92" s="697"/>
      <c r="BN92" s="697"/>
      <c r="BO92" s="697"/>
      <c r="BP92" s="697"/>
      <c r="BR92" s="697"/>
    </row>
    <row r="93" spans="1:70" ht="15.75" x14ac:dyDescent="0.2">
      <c r="B93" s="706"/>
      <c r="C93" s="706"/>
      <c r="D93" s="706"/>
      <c r="E93" s="706"/>
      <c r="F93" s="706"/>
      <c r="G93" s="707"/>
      <c r="H93" s="708"/>
      <c r="P93" s="709"/>
      <c r="Q93" s="710"/>
      <c r="R93" s="700"/>
      <c r="S93" s="700"/>
      <c r="T93" s="709"/>
      <c r="U93" s="711"/>
      <c r="V93" s="712"/>
      <c r="W93" s="711"/>
      <c r="X93" s="697"/>
      <c r="Y93" s="704"/>
      <c r="Z93" s="498"/>
      <c r="BH93" s="697"/>
      <c r="BI93" s="697"/>
      <c r="BJ93" s="697"/>
      <c r="BK93" s="697"/>
      <c r="BL93" s="697"/>
      <c r="BM93" s="697"/>
      <c r="BN93" s="697"/>
      <c r="BO93" s="697"/>
      <c r="BP93" s="697"/>
      <c r="BR93" s="697"/>
    </row>
    <row r="94" spans="1:70" x14ac:dyDescent="0.2">
      <c r="B94" s="3625" t="s">
        <v>595</v>
      </c>
      <c r="C94" s="3625"/>
      <c r="D94" s="3625"/>
      <c r="E94" s="3625"/>
      <c r="F94" s="3625"/>
      <c r="P94" s="698"/>
      <c r="Q94" s="698"/>
      <c r="R94" s="700"/>
      <c r="S94" s="700"/>
      <c r="T94" s="700"/>
      <c r="U94" s="713"/>
      <c r="V94" s="697"/>
      <c r="W94" s="714"/>
      <c r="X94" s="498"/>
      <c r="Y94" s="498"/>
      <c r="AA94" s="499"/>
      <c r="BF94" s="697"/>
      <c r="BG94" s="697"/>
      <c r="BH94" s="697"/>
      <c r="BI94" s="697"/>
      <c r="BJ94" s="697"/>
      <c r="BK94" s="697"/>
      <c r="BL94" s="697"/>
      <c r="BM94" s="697"/>
      <c r="BN94" s="697"/>
      <c r="BO94" s="697"/>
      <c r="BP94" s="697"/>
    </row>
    <row r="95" spans="1:70" ht="12.75" customHeight="1" x14ac:dyDescent="0.2">
      <c r="B95" s="715" t="s">
        <v>596</v>
      </c>
      <c r="C95" s="715"/>
      <c r="D95" s="715"/>
      <c r="E95" s="715"/>
      <c r="F95" s="715"/>
      <c r="G95" s="716"/>
      <c r="H95" s="716"/>
      <c r="I95" s="700"/>
      <c r="P95" s="698"/>
      <c r="Q95" s="698"/>
      <c r="R95" s="700"/>
      <c r="S95" s="700"/>
      <c r="T95" s="700"/>
      <c r="U95" s="717"/>
      <c r="V95" s="718"/>
      <c r="W95" s="718"/>
      <c r="X95" s="719"/>
      <c r="Y95" s="719"/>
      <c r="AA95" s="499"/>
      <c r="BF95" s="697"/>
      <c r="BG95" s="697"/>
      <c r="BH95" s="697"/>
      <c r="BI95" s="697"/>
      <c r="BJ95" s="697"/>
      <c r="BK95" s="697"/>
      <c r="BL95" s="697"/>
      <c r="BM95" s="697"/>
      <c r="BN95" s="697"/>
      <c r="BO95" s="697"/>
      <c r="BP95" s="697"/>
    </row>
    <row r="96" spans="1:70" x14ac:dyDescent="0.2">
      <c r="B96" s="720"/>
      <c r="C96" s="721"/>
      <c r="D96" s="722"/>
      <c r="E96" s="723"/>
      <c r="F96" s="710"/>
      <c r="G96" s="716"/>
      <c r="H96" s="716"/>
      <c r="I96" s="700"/>
      <c r="P96" s="698"/>
      <c r="Q96" s="724"/>
      <c r="R96" s="700"/>
      <c r="S96" s="700"/>
      <c r="T96" s="700"/>
      <c r="U96" s="698"/>
      <c r="V96" s="498"/>
      <c r="W96" s="498"/>
      <c r="X96" s="498"/>
      <c r="Y96" s="498"/>
      <c r="AA96" s="499"/>
      <c r="BF96" s="697"/>
      <c r="BG96" s="697"/>
      <c r="BH96" s="697"/>
      <c r="BI96" s="697"/>
      <c r="BJ96" s="697"/>
      <c r="BK96" s="697"/>
      <c r="BL96" s="697"/>
      <c r="BM96" s="697"/>
      <c r="BN96" s="697"/>
      <c r="BO96" s="697"/>
      <c r="BP96" s="697"/>
    </row>
    <row r="102" spans="8:8" x14ac:dyDescent="0.2">
      <c r="H102" s="692">
        <v>4</v>
      </c>
    </row>
  </sheetData>
  <sheetProtection password="A60F" sheet="1" objects="1" scenarios="1"/>
  <mergeCells count="1136">
    <mergeCell ref="O7:O8"/>
    <mergeCell ref="P7:P8"/>
    <mergeCell ref="Q7:Q8"/>
    <mergeCell ref="R7:R8"/>
    <mergeCell ref="A7:A8"/>
    <mergeCell ref="B7:C8"/>
    <mergeCell ref="D7:D8"/>
    <mergeCell ref="E7:F8"/>
    <mergeCell ref="G7:G8"/>
    <mergeCell ref="H7:H8"/>
    <mergeCell ref="I7:I8"/>
    <mergeCell ref="J7:J8"/>
    <mergeCell ref="K7:L7"/>
    <mergeCell ref="A1:BN1"/>
    <mergeCell ref="AX8:AY8"/>
    <mergeCell ref="AZ8:BA8"/>
    <mergeCell ref="BB8:BC8"/>
    <mergeCell ref="B9:C9"/>
    <mergeCell ref="E9:F9"/>
    <mergeCell ref="A11:C11"/>
    <mergeCell ref="E11:N11"/>
    <mergeCell ref="BN7:BO8"/>
    <mergeCell ref="BP7:BP8"/>
    <mergeCell ref="Z8:AA8"/>
    <mergeCell ref="AB8:AC8"/>
    <mergeCell ref="AD8:AE8"/>
    <mergeCell ref="AF8:AG8"/>
    <mergeCell ref="AH8:AI8"/>
    <mergeCell ref="AJ8:AK8"/>
    <mergeCell ref="AL8:AM8"/>
    <mergeCell ref="AN8:AO8"/>
    <mergeCell ref="AD7:AK7"/>
    <mergeCell ref="AL7:AW7"/>
    <mergeCell ref="AX7:BC7"/>
    <mergeCell ref="BD7:BE8"/>
    <mergeCell ref="BF7:BK7"/>
    <mergeCell ref="BL7:BM8"/>
    <mergeCell ref="AP8:AQ8"/>
    <mergeCell ref="AR8:AS8"/>
    <mergeCell ref="AT8:AU8"/>
    <mergeCell ref="AV8:AW8"/>
    <mergeCell ref="S7:S8"/>
    <mergeCell ref="T7:T8"/>
    <mergeCell ref="U7:W7"/>
    <mergeCell ref="X7:X8"/>
    <mergeCell ref="Y7:Y8"/>
    <mergeCell ref="Z7:AC7"/>
    <mergeCell ref="M7:M8"/>
    <mergeCell ref="N7:N8"/>
    <mergeCell ref="Q12:Q14"/>
    <mergeCell ref="R12:R14"/>
    <mergeCell ref="S12:S14"/>
    <mergeCell ref="Z12:Z14"/>
    <mergeCell ref="AA12:AA14"/>
    <mergeCell ref="AB12:AB14"/>
    <mergeCell ref="K12:K13"/>
    <mergeCell ref="L12:L13"/>
    <mergeCell ref="M12:M14"/>
    <mergeCell ref="N12:N14"/>
    <mergeCell ref="O12:O14"/>
    <mergeCell ref="P12:P13"/>
    <mergeCell ref="D12:D13"/>
    <mergeCell ref="E12:F14"/>
    <mergeCell ref="G12:G13"/>
    <mergeCell ref="H12:H13"/>
    <mergeCell ref="I12:I13"/>
    <mergeCell ref="J12:J13"/>
    <mergeCell ref="AY12:AY14"/>
    <mergeCell ref="AZ12:AZ14"/>
    <mergeCell ref="AO12:AO14"/>
    <mergeCell ref="AP12:AP14"/>
    <mergeCell ref="AQ12:AQ14"/>
    <mergeCell ref="AR12:AR14"/>
    <mergeCell ref="AS12:AS14"/>
    <mergeCell ref="AT12:AT14"/>
    <mergeCell ref="AI12:AI14"/>
    <mergeCell ref="AJ12:AJ14"/>
    <mergeCell ref="AK12:AK14"/>
    <mergeCell ref="AL12:AL14"/>
    <mergeCell ref="AM12:AM14"/>
    <mergeCell ref="AN12:AN14"/>
    <mergeCell ref="AC12:AC14"/>
    <mergeCell ref="AD12:AD14"/>
    <mergeCell ref="AE12:AE14"/>
    <mergeCell ref="AF12:AF14"/>
    <mergeCell ref="AG12:AG14"/>
    <mergeCell ref="AH12:AH14"/>
    <mergeCell ref="M15:M19"/>
    <mergeCell ref="N15:N19"/>
    <mergeCell ref="O15:O19"/>
    <mergeCell ref="P15:P19"/>
    <mergeCell ref="Q15:Q19"/>
    <mergeCell ref="R15:R19"/>
    <mergeCell ref="BM12:BM14"/>
    <mergeCell ref="BN12:BN14"/>
    <mergeCell ref="BO12:BO14"/>
    <mergeCell ref="BP12:BP14"/>
    <mergeCell ref="G15:G19"/>
    <mergeCell ref="H15:H19"/>
    <mergeCell ref="I15:I19"/>
    <mergeCell ref="J15:J19"/>
    <mergeCell ref="K15:K19"/>
    <mergeCell ref="L15:L19"/>
    <mergeCell ref="BG12:BG14"/>
    <mergeCell ref="BH12:BH14"/>
    <mergeCell ref="BI12:BI14"/>
    <mergeCell ref="BJ12:BJ14"/>
    <mergeCell ref="BK12:BK14"/>
    <mergeCell ref="BL12:BL14"/>
    <mergeCell ref="BA12:BA14"/>
    <mergeCell ref="BB12:BB14"/>
    <mergeCell ref="BC12:BC14"/>
    <mergeCell ref="BD12:BD14"/>
    <mergeCell ref="BE12:BE14"/>
    <mergeCell ref="BF12:BF14"/>
    <mergeCell ref="AU12:AU14"/>
    <mergeCell ref="AV12:AV14"/>
    <mergeCell ref="AW12:AW14"/>
    <mergeCell ref="AX12:AX14"/>
    <mergeCell ref="AT15:AT19"/>
    <mergeCell ref="AU15:AU19"/>
    <mergeCell ref="AJ15:AJ19"/>
    <mergeCell ref="AK15:AK19"/>
    <mergeCell ref="AL15:AL19"/>
    <mergeCell ref="AM15:AM19"/>
    <mergeCell ref="AN15:AN19"/>
    <mergeCell ref="AO15:AO19"/>
    <mergeCell ref="AD15:AD19"/>
    <mergeCell ref="AE15:AE19"/>
    <mergeCell ref="AF15:AF19"/>
    <mergeCell ref="AG15:AG19"/>
    <mergeCell ref="AH15:AH19"/>
    <mergeCell ref="AI15:AI19"/>
    <mergeCell ref="S15:S19"/>
    <mergeCell ref="T15:T16"/>
    <mergeCell ref="Z15:Z19"/>
    <mergeCell ref="AA15:AA19"/>
    <mergeCell ref="AB15:AB19"/>
    <mergeCell ref="AC15:AC19"/>
    <mergeCell ref="BN15:BN19"/>
    <mergeCell ref="BO15:BO19"/>
    <mergeCell ref="BP15:BP19"/>
    <mergeCell ref="T18:T19"/>
    <mergeCell ref="G20:G25"/>
    <mergeCell ref="H20:H22"/>
    <mergeCell ref="I20:I25"/>
    <mergeCell ref="J20:J22"/>
    <mergeCell ref="K20:K22"/>
    <mergeCell ref="L20:L22"/>
    <mergeCell ref="BH15:BH19"/>
    <mergeCell ref="BI15:BI19"/>
    <mergeCell ref="BJ15:BJ19"/>
    <mergeCell ref="BK15:BK19"/>
    <mergeCell ref="BL15:BL19"/>
    <mergeCell ref="BM15:BM19"/>
    <mergeCell ref="BB15:BB19"/>
    <mergeCell ref="BC15:BC19"/>
    <mergeCell ref="BD15:BD19"/>
    <mergeCell ref="BE15:BE19"/>
    <mergeCell ref="BF15:BF19"/>
    <mergeCell ref="BG15:BG19"/>
    <mergeCell ref="AV15:AV19"/>
    <mergeCell ref="AW15:AW19"/>
    <mergeCell ref="AX15:AX19"/>
    <mergeCell ref="AY15:AY19"/>
    <mergeCell ref="AZ15:AZ19"/>
    <mergeCell ref="BA15:BA19"/>
    <mergeCell ref="AP15:AP19"/>
    <mergeCell ref="AQ15:AQ19"/>
    <mergeCell ref="AR15:AR19"/>
    <mergeCell ref="AS15:AS19"/>
    <mergeCell ref="AE20:AE25"/>
    <mergeCell ref="AF20:AF25"/>
    <mergeCell ref="AG20:AG25"/>
    <mergeCell ref="AH20:AH25"/>
    <mergeCell ref="AI20:AI25"/>
    <mergeCell ref="AJ20:AJ25"/>
    <mergeCell ref="S20:S25"/>
    <mergeCell ref="Z20:Z25"/>
    <mergeCell ref="AA20:AA25"/>
    <mergeCell ref="AB20:AB25"/>
    <mergeCell ref="AC20:AC25"/>
    <mergeCell ref="AD20:AD25"/>
    <mergeCell ref="M20:M25"/>
    <mergeCell ref="N20:N25"/>
    <mergeCell ref="O20:O25"/>
    <mergeCell ref="P20:P22"/>
    <mergeCell ref="Q20:Q25"/>
    <mergeCell ref="R20:R25"/>
    <mergeCell ref="AX20:AX25"/>
    <mergeCell ref="AY20:AY25"/>
    <mergeCell ref="AZ20:AZ25"/>
    <mergeCell ref="BA20:BA25"/>
    <mergeCell ref="BB20:BB25"/>
    <mergeCell ref="AQ20:AQ25"/>
    <mergeCell ref="AR20:AR25"/>
    <mergeCell ref="AS20:AS25"/>
    <mergeCell ref="AT20:AT25"/>
    <mergeCell ref="AU20:AU25"/>
    <mergeCell ref="AV20:AV25"/>
    <mergeCell ref="AK20:AK25"/>
    <mergeCell ref="AL20:AL25"/>
    <mergeCell ref="AM20:AM25"/>
    <mergeCell ref="AN20:AN25"/>
    <mergeCell ref="AO20:AO25"/>
    <mergeCell ref="AP20:AP25"/>
    <mergeCell ref="Z26:Z27"/>
    <mergeCell ref="AA26:AA27"/>
    <mergeCell ref="AB26:AB27"/>
    <mergeCell ref="AC26:AC27"/>
    <mergeCell ref="AD26:AD27"/>
    <mergeCell ref="AE26:AE27"/>
    <mergeCell ref="M26:M27"/>
    <mergeCell ref="N26:N27"/>
    <mergeCell ref="O26:O27"/>
    <mergeCell ref="Q26:Q27"/>
    <mergeCell ref="R26:R27"/>
    <mergeCell ref="S26:S27"/>
    <mergeCell ref="BO20:BO25"/>
    <mergeCell ref="BP20:BP25"/>
    <mergeCell ref="H23:H25"/>
    <mergeCell ref="J23:J25"/>
    <mergeCell ref="K23:K25"/>
    <mergeCell ref="L23:L25"/>
    <mergeCell ref="P23:P25"/>
    <mergeCell ref="BI20:BI25"/>
    <mergeCell ref="BJ20:BJ25"/>
    <mergeCell ref="BK20:BK25"/>
    <mergeCell ref="BL20:BL25"/>
    <mergeCell ref="BM20:BM25"/>
    <mergeCell ref="BN20:BN25"/>
    <mergeCell ref="BC20:BC25"/>
    <mergeCell ref="BD20:BD25"/>
    <mergeCell ref="BE20:BE25"/>
    <mergeCell ref="BF20:BF25"/>
    <mergeCell ref="BG20:BG25"/>
    <mergeCell ref="BH20:BH25"/>
    <mergeCell ref="AW20:AW25"/>
    <mergeCell ref="BB26:BB27"/>
    <mergeCell ref="BC26:BC27"/>
    <mergeCell ref="AR26:AR27"/>
    <mergeCell ref="AS26:AS27"/>
    <mergeCell ref="AT26:AT27"/>
    <mergeCell ref="AU26:AU27"/>
    <mergeCell ref="AV26:AV27"/>
    <mergeCell ref="AW26:AW27"/>
    <mergeCell ref="AL26:AL27"/>
    <mergeCell ref="AM26:AM27"/>
    <mergeCell ref="AN26:AN27"/>
    <mergeCell ref="AO26:AO27"/>
    <mergeCell ref="AP26:AP27"/>
    <mergeCell ref="AQ26:AQ27"/>
    <mergeCell ref="AF26:AF27"/>
    <mergeCell ref="AG26:AG27"/>
    <mergeCell ref="AH26:AH27"/>
    <mergeCell ref="AI26:AI27"/>
    <mergeCell ref="AJ26:AJ27"/>
    <mergeCell ref="AK26:AK27"/>
    <mergeCell ref="AC28:AC30"/>
    <mergeCell ref="AD28:AD30"/>
    <mergeCell ref="AE28:AE30"/>
    <mergeCell ref="AF28:AF30"/>
    <mergeCell ref="AG28:AG30"/>
    <mergeCell ref="AH28:AH30"/>
    <mergeCell ref="BP26:BP27"/>
    <mergeCell ref="M28:M30"/>
    <mergeCell ref="N28:N30"/>
    <mergeCell ref="O28:O30"/>
    <mergeCell ref="Q28:Q30"/>
    <mergeCell ref="R28:R30"/>
    <mergeCell ref="S28:S30"/>
    <mergeCell ref="Z28:Z30"/>
    <mergeCell ref="AA28:AA30"/>
    <mergeCell ref="AB28:AB30"/>
    <mergeCell ref="BJ26:BJ27"/>
    <mergeCell ref="BK26:BK27"/>
    <mergeCell ref="BL26:BL27"/>
    <mergeCell ref="BM26:BM27"/>
    <mergeCell ref="BN26:BN27"/>
    <mergeCell ref="BO26:BO27"/>
    <mergeCell ref="BD26:BD27"/>
    <mergeCell ref="BE26:BE27"/>
    <mergeCell ref="BF26:BF27"/>
    <mergeCell ref="BG26:BG27"/>
    <mergeCell ref="BH26:BH27"/>
    <mergeCell ref="BI26:BI27"/>
    <mergeCell ref="AX26:AX27"/>
    <mergeCell ref="AY26:AY27"/>
    <mergeCell ref="AZ26:AZ27"/>
    <mergeCell ref="BA26:BA27"/>
    <mergeCell ref="BE28:BE30"/>
    <mergeCell ref="BF28:BF30"/>
    <mergeCell ref="AU28:AU30"/>
    <mergeCell ref="AV28:AV30"/>
    <mergeCell ref="AW28:AW30"/>
    <mergeCell ref="AX28:AX30"/>
    <mergeCell ref="AY28:AY30"/>
    <mergeCell ref="AZ28:AZ30"/>
    <mergeCell ref="AO28:AO30"/>
    <mergeCell ref="AP28:AP30"/>
    <mergeCell ref="AQ28:AQ30"/>
    <mergeCell ref="AR28:AR30"/>
    <mergeCell ref="AS28:AS30"/>
    <mergeCell ref="AT28:AT30"/>
    <mergeCell ref="AI28:AI30"/>
    <mergeCell ref="AJ28:AJ30"/>
    <mergeCell ref="AK28:AK30"/>
    <mergeCell ref="AL28:AL30"/>
    <mergeCell ref="AM28:AM30"/>
    <mergeCell ref="AN28:AN30"/>
    <mergeCell ref="S31:S32"/>
    <mergeCell ref="T31:T32"/>
    <mergeCell ref="Z31:Z32"/>
    <mergeCell ref="AA31:AA32"/>
    <mergeCell ref="AB31:AB32"/>
    <mergeCell ref="AC31:AC32"/>
    <mergeCell ref="M31:M32"/>
    <mergeCell ref="N31:N32"/>
    <mergeCell ref="O31:O32"/>
    <mergeCell ref="P31:P32"/>
    <mergeCell ref="Q31:Q32"/>
    <mergeCell ref="R31:R32"/>
    <mergeCell ref="BM28:BM30"/>
    <mergeCell ref="BN28:BN30"/>
    <mergeCell ref="BO28:BO30"/>
    <mergeCell ref="BP28:BP30"/>
    <mergeCell ref="G31:G32"/>
    <mergeCell ref="H31:H32"/>
    <mergeCell ref="I31:I32"/>
    <mergeCell ref="J31:J32"/>
    <mergeCell ref="K31:K32"/>
    <mergeCell ref="L31:L32"/>
    <mergeCell ref="BG28:BG30"/>
    <mergeCell ref="BH28:BH30"/>
    <mergeCell ref="BI28:BI30"/>
    <mergeCell ref="BJ28:BJ30"/>
    <mergeCell ref="BK28:BK30"/>
    <mergeCell ref="BL28:BL30"/>
    <mergeCell ref="BA28:BA30"/>
    <mergeCell ref="BB28:BB30"/>
    <mergeCell ref="BC28:BC30"/>
    <mergeCell ref="BD28:BD30"/>
    <mergeCell ref="AX31:AX32"/>
    <mergeCell ref="AY31:AY32"/>
    <mergeCell ref="AZ31:AZ32"/>
    <mergeCell ref="BA31:BA32"/>
    <mergeCell ref="AP31:AP32"/>
    <mergeCell ref="AQ31:AQ32"/>
    <mergeCell ref="AR31:AR32"/>
    <mergeCell ref="AS31:AS32"/>
    <mergeCell ref="AT31:AT32"/>
    <mergeCell ref="AU31:AU32"/>
    <mergeCell ref="AJ31:AJ32"/>
    <mergeCell ref="AK31:AK32"/>
    <mergeCell ref="AL31:AL32"/>
    <mergeCell ref="AM31:AM32"/>
    <mergeCell ref="AN31:AN32"/>
    <mergeCell ref="AO31:AO32"/>
    <mergeCell ref="AD31:AD32"/>
    <mergeCell ref="AE31:AE32"/>
    <mergeCell ref="AF31:AF32"/>
    <mergeCell ref="AG31:AG32"/>
    <mergeCell ref="AH31:AH32"/>
    <mergeCell ref="AI31:AI32"/>
    <mergeCell ref="Z36:Z37"/>
    <mergeCell ref="AA36:AA37"/>
    <mergeCell ref="AB36:AB37"/>
    <mergeCell ref="AC36:AC37"/>
    <mergeCell ref="AD36:AD37"/>
    <mergeCell ref="AE36:AE37"/>
    <mergeCell ref="M36:M37"/>
    <mergeCell ref="N36:N37"/>
    <mergeCell ref="O36:O37"/>
    <mergeCell ref="Q36:Q37"/>
    <mergeCell ref="R36:R37"/>
    <mergeCell ref="S36:S37"/>
    <mergeCell ref="BN31:BN32"/>
    <mergeCell ref="BO31:BO32"/>
    <mergeCell ref="BP31:BP32"/>
    <mergeCell ref="A33:C33"/>
    <mergeCell ref="A35:C35"/>
    <mergeCell ref="E35:O35"/>
    <mergeCell ref="BH31:BH32"/>
    <mergeCell ref="BI31:BI32"/>
    <mergeCell ref="BJ31:BJ32"/>
    <mergeCell ref="BK31:BK32"/>
    <mergeCell ref="BL31:BL32"/>
    <mergeCell ref="BM31:BM32"/>
    <mergeCell ref="BB31:BB32"/>
    <mergeCell ref="BC31:BC32"/>
    <mergeCell ref="BD31:BD32"/>
    <mergeCell ref="BE31:BE32"/>
    <mergeCell ref="BF31:BF32"/>
    <mergeCell ref="BG31:BG32"/>
    <mergeCell ref="AV31:AV32"/>
    <mergeCell ref="AW31:AW32"/>
    <mergeCell ref="BB36:BB37"/>
    <mergeCell ref="BC36:BC37"/>
    <mergeCell ref="AR36:AR37"/>
    <mergeCell ref="AS36:AS37"/>
    <mergeCell ref="AT36:AT37"/>
    <mergeCell ref="AU36:AU37"/>
    <mergeCell ref="AV36:AV37"/>
    <mergeCell ref="AW36:AW37"/>
    <mergeCell ref="AL36:AL37"/>
    <mergeCell ref="AM36:AM37"/>
    <mergeCell ref="AN36:AN37"/>
    <mergeCell ref="AO36:AO37"/>
    <mergeCell ref="AP36:AP37"/>
    <mergeCell ref="AQ36:AQ37"/>
    <mergeCell ref="AF36:AF37"/>
    <mergeCell ref="AG36:AG37"/>
    <mergeCell ref="AH36:AH37"/>
    <mergeCell ref="AI36:AI37"/>
    <mergeCell ref="AJ36:AJ37"/>
    <mergeCell ref="AK36:AK37"/>
    <mergeCell ref="N39:N41"/>
    <mergeCell ref="O39:O41"/>
    <mergeCell ref="P39:P41"/>
    <mergeCell ref="Q39:Q41"/>
    <mergeCell ref="R39:R41"/>
    <mergeCell ref="S39:S41"/>
    <mergeCell ref="BP36:BP37"/>
    <mergeCell ref="A38:C38"/>
    <mergeCell ref="D39:F41"/>
    <mergeCell ref="G39:G41"/>
    <mergeCell ref="H39:H41"/>
    <mergeCell ref="I39:I41"/>
    <mergeCell ref="J39:J41"/>
    <mergeCell ref="K39:K41"/>
    <mergeCell ref="L39:L41"/>
    <mergeCell ref="M39:M41"/>
    <mergeCell ref="BJ36:BJ37"/>
    <mergeCell ref="BK36:BK37"/>
    <mergeCell ref="BL36:BL37"/>
    <mergeCell ref="BM36:BM37"/>
    <mergeCell ref="BN36:BN37"/>
    <mergeCell ref="BO36:BO37"/>
    <mergeCell ref="BD36:BD37"/>
    <mergeCell ref="BE36:BE37"/>
    <mergeCell ref="BF36:BF37"/>
    <mergeCell ref="BG36:BG37"/>
    <mergeCell ref="BH36:BH37"/>
    <mergeCell ref="BI36:BI37"/>
    <mergeCell ref="AX36:AX37"/>
    <mergeCell ref="AY36:AY37"/>
    <mergeCell ref="AZ36:AZ37"/>
    <mergeCell ref="BA36:BA37"/>
    <mergeCell ref="AV39:AV41"/>
    <mergeCell ref="AW39:AW41"/>
    <mergeCell ref="AL39:AL41"/>
    <mergeCell ref="AM39:AM41"/>
    <mergeCell ref="AN39:AN41"/>
    <mergeCell ref="AO39:AO41"/>
    <mergeCell ref="AP39:AP41"/>
    <mergeCell ref="AQ39:AQ41"/>
    <mergeCell ref="AF39:AF41"/>
    <mergeCell ref="AG39:AG41"/>
    <mergeCell ref="AH39:AH41"/>
    <mergeCell ref="AI39:AI41"/>
    <mergeCell ref="AJ39:AJ41"/>
    <mergeCell ref="AK39:AK41"/>
    <mergeCell ref="Z39:Z41"/>
    <mergeCell ref="AA39:AA41"/>
    <mergeCell ref="AB39:AB41"/>
    <mergeCell ref="AC39:AC41"/>
    <mergeCell ref="AD39:AD41"/>
    <mergeCell ref="AE39:AE41"/>
    <mergeCell ref="BP39:BP41"/>
    <mergeCell ref="T40:T41"/>
    <mergeCell ref="A42:C42"/>
    <mergeCell ref="D43:D45"/>
    <mergeCell ref="E43:E45"/>
    <mergeCell ref="F43:F45"/>
    <mergeCell ref="G43:G45"/>
    <mergeCell ref="H43:H45"/>
    <mergeCell ref="I43:I45"/>
    <mergeCell ref="J43:J45"/>
    <mergeCell ref="BJ39:BJ41"/>
    <mergeCell ref="BK39:BK41"/>
    <mergeCell ref="BL39:BL41"/>
    <mergeCell ref="BM39:BM41"/>
    <mergeCell ref="BN39:BN41"/>
    <mergeCell ref="BO39:BO41"/>
    <mergeCell ref="BD39:BD41"/>
    <mergeCell ref="BE39:BE41"/>
    <mergeCell ref="BF39:BF41"/>
    <mergeCell ref="BG39:BG41"/>
    <mergeCell ref="BH39:BH41"/>
    <mergeCell ref="BI39:BI41"/>
    <mergeCell ref="AX39:AX41"/>
    <mergeCell ref="AY39:AY41"/>
    <mergeCell ref="AZ39:AZ41"/>
    <mergeCell ref="BA39:BA41"/>
    <mergeCell ref="BB39:BB41"/>
    <mergeCell ref="BC39:BC41"/>
    <mergeCell ref="AR39:AR41"/>
    <mergeCell ref="AS39:AS41"/>
    <mergeCell ref="AT39:AT41"/>
    <mergeCell ref="AU39:AU41"/>
    <mergeCell ref="AJ43:AJ45"/>
    <mergeCell ref="AK43:AK45"/>
    <mergeCell ref="AL43:AL45"/>
    <mergeCell ref="AM43:AM45"/>
    <mergeCell ref="AB43:AB45"/>
    <mergeCell ref="AC43:AC45"/>
    <mergeCell ref="AD43:AD45"/>
    <mergeCell ref="AE43:AE45"/>
    <mergeCell ref="AF43:AF45"/>
    <mergeCell ref="AG43:AG45"/>
    <mergeCell ref="Q43:Q45"/>
    <mergeCell ref="R43:R45"/>
    <mergeCell ref="S43:S45"/>
    <mergeCell ref="T43:T44"/>
    <mergeCell ref="Z43:Z45"/>
    <mergeCell ref="AA43:AA45"/>
    <mergeCell ref="K43:K45"/>
    <mergeCell ref="L43:L45"/>
    <mergeCell ref="M43:M45"/>
    <mergeCell ref="N43:N45"/>
    <mergeCell ref="O43:O45"/>
    <mergeCell ref="P43:P45"/>
    <mergeCell ref="BL43:BL45"/>
    <mergeCell ref="BM43:BM45"/>
    <mergeCell ref="BN43:BN45"/>
    <mergeCell ref="BO43:BO45"/>
    <mergeCell ref="BP43:BP45"/>
    <mergeCell ref="A46:C46"/>
    <mergeCell ref="BF43:BF45"/>
    <mergeCell ref="BG43:BG45"/>
    <mergeCell ref="BH43:BH45"/>
    <mergeCell ref="BI43:BI45"/>
    <mergeCell ref="BJ43:BJ45"/>
    <mergeCell ref="BK43:BK45"/>
    <mergeCell ref="AZ43:AZ45"/>
    <mergeCell ref="BA43:BA45"/>
    <mergeCell ref="BB43:BB45"/>
    <mergeCell ref="BC43:BC45"/>
    <mergeCell ref="BD43:BD45"/>
    <mergeCell ref="BE43:BE45"/>
    <mergeCell ref="AT43:AT45"/>
    <mergeCell ref="AU43:AU45"/>
    <mergeCell ref="AV43:AV45"/>
    <mergeCell ref="AW43:AW45"/>
    <mergeCell ref="AX43:AX45"/>
    <mergeCell ref="AY43:AY45"/>
    <mergeCell ref="AN43:AN45"/>
    <mergeCell ref="AO43:AO45"/>
    <mergeCell ref="AP43:AP45"/>
    <mergeCell ref="AQ43:AQ45"/>
    <mergeCell ref="AR43:AR45"/>
    <mergeCell ref="AS43:AS45"/>
    <mergeCell ref="AH43:AH45"/>
    <mergeCell ref="AI43:AI45"/>
    <mergeCell ref="AF47:AF48"/>
    <mergeCell ref="AG47:AG48"/>
    <mergeCell ref="AH47:AH48"/>
    <mergeCell ref="AI47:AI48"/>
    <mergeCell ref="AJ47:AJ48"/>
    <mergeCell ref="AK47:AK48"/>
    <mergeCell ref="Z47:Z48"/>
    <mergeCell ref="AA47:AA48"/>
    <mergeCell ref="AB47:AB48"/>
    <mergeCell ref="AC47:AC48"/>
    <mergeCell ref="AD47:AD48"/>
    <mergeCell ref="AE47:AE48"/>
    <mergeCell ref="M47:M48"/>
    <mergeCell ref="N47:N48"/>
    <mergeCell ref="O47:O48"/>
    <mergeCell ref="Q47:Q48"/>
    <mergeCell ref="R47:R48"/>
    <mergeCell ref="S47:S48"/>
    <mergeCell ref="AY47:AY48"/>
    <mergeCell ref="AZ47:AZ48"/>
    <mergeCell ref="BA47:BA48"/>
    <mergeCell ref="BB47:BB48"/>
    <mergeCell ref="BC47:BC48"/>
    <mergeCell ref="AR47:AR48"/>
    <mergeCell ref="AS47:AS48"/>
    <mergeCell ref="AT47:AT48"/>
    <mergeCell ref="AU47:AU48"/>
    <mergeCell ref="AV47:AV48"/>
    <mergeCell ref="AW47:AW48"/>
    <mergeCell ref="AL47:AL48"/>
    <mergeCell ref="AM47:AM48"/>
    <mergeCell ref="AN47:AN48"/>
    <mergeCell ref="AO47:AO48"/>
    <mergeCell ref="AP47:AP48"/>
    <mergeCell ref="AQ47:AQ48"/>
    <mergeCell ref="AJ50:AJ52"/>
    <mergeCell ref="AK50:AK52"/>
    <mergeCell ref="AL50:AL52"/>
    <mergeCell ref="AA50:AA52"/>
    <mergeCell ref="AB50:AB52"/>
    <mergeCell ref="AC50:AC52"/>
    <mergeCell ref="AD50:AD52"/>
    <mergeCell ref="AE50:AE52"/>
    <mergeCell ref="AF50:AF52"/>
    <mergeCell ref="BP47:BP48"/>
    <mergeCell ref="A49:C49"/>
    <mergeCell ref="E49:K49"/>
    <mergeCell ref="M50:M52"/>
    <mergeCell ref="N50:N52"/>
    <mergeCell ref="O50:O52"/>
    <mergeCell ref="Q50:Q52"/>
    <mergeCell ref="R50:R52"/>
    <mergeCell ref="S50:S52"/>
    <mergeCell ref="Z50:Z52"/>
    <mergeCell ref="BJ47:BJ48"/>
    <mergeCell ref="BK47:BK48"/>
    <mergeCell ref="BL47:BL48"/>
    <mergeCell ref="BM47:BM48"/>
    <mergeCell ref="BN47:BN48"/>
    <mergeCell ref="BO47:BO48"/>
    <mergeCell ref="BD47:BD48"/>
    <mergeCell ref="BE47:BE48"/>
    <mergeCell ref="BF47:BF48"/>
    <mergeCell ref="BG47:BG48"/>
    <mergeCell ref="BH47:BH48"/>
    <mergeCell ref="BI47:BI48"/>
    <mergeCell ref="AX47:AX48"/>
    <mergeCell ref="BL50:BL52"/>
    <mergeCell ref="BM50:BM52"/>
    <mergeCell ref="BN50:BN52"/>
    <mergeCell ref="BO50:BO52"/>
    <mergeCell ref="BP50:BP52"/>
    <mergeCell ref="BE50:BE52"/>
    <mergeCell ref="BF50:BF52"/>
    <mergeCell ref="BG50:BG52"/>
    <mergeCell ref="BH50:BH52"/>
    <mergeCell ref="BI50:BI52"/>
    <mergeCell ref="BJ50:BJ52"/>
    <mergeCell ref="AY50:AY52"/>
    <mergeCell ref="AZ50:AZ52"/>
    <mergeCell ref="BA50:BA52"/>
    <mergeCell ref="BB50:BB52"/>
    <mergeCell ref="BC50:BC52"/>
    <mergeCell ref="BD50:BD52"/>
    <mergeCell ref="P51:P52"/>
    <mergeCell ref="A53:C53"/>
    <mergeCell ref="D54:D57"/>
    <mergeCell ref="E54:E57"/>
    <mergeCell ref="F54:F57"/>
    <mergeCell ref="G54:G56"/>
    <mergeCell ref="H54:H56"/>
    <mergeCell ref="I54:I56"/>
    <mergeCell ref="J54:J56"/>
    <mergeCell ref="K54:K56"/>
    <mergeCell ref="G51:G52"/>
    <mergeCell ref="H51:H52"/>
    <mergeCell ref="I51:I52"/>
    <mergeCell ref="J51:J52"/>
    <mergeCell ref="K51:K52"/>
    <mergeCell ref="L51:L52"/>
    <mergeCell ref="BK50:BK52"/>
    <mergeCell ref="AS50:AS52"/>
    <mergeCell ref="AT50:AT52"/>
    <mergeCell ref="AU50:AU52"/>
    <mergeCell ref="AV50:AV52"/>
    <mergeCell ref="AW50:AW52"/>
    <mergeCell ref="AX50:AX52"/>
    <mergeCell ref="AM50:AM52"/>
    <mergeCell ref="AN50:AN52"/>
    <mergeCell ref="AO50:AO52"/>
    <mergeCell ref="AP50:AP52"/>
    <mergeCell ref="AQ50:AQ52"/>
    <mergeCell ref="AR50:AR52"/>
    <mergeCell ref="AG50:AG52"/>
    <mergeCell ref="AH50:AH52"/>
    <mergeCell ref="AI50:AI52"/>
    <mergeCell ref="AD54:AD57"/>
    <mergeCell ref="AE54:AE57"/>
    <mergeCell ref="AF54:AF57"/>
    <mergeCell ref="AG54:AG57"/>
    <mergeCell ref="AH54:AH57"/>
    <mergeCell ref="AI54:AI57"/>
    <mergeCell ref="R54:R57"/>
    <mergeCell ref="S54:S57"/>
    <mergeCell ref="Z54:Z57"/>
    <mergeCell ref="AA54:AA57"/>
    <mergeCell ref="AB54:AB57"/>
    <mergeCell ref="AC54:AC57"/>
    <mergeCell ref="L54:L56"/>
    <mergeCell ref="M54:M57"/>
    <mergeCell ref="N54:N57"/>
    <mergeCell ref="O54:O57"/>
    <mergeCell ref="P54:P56"/>
    <mergeCell ref="Q54:Q57"/>
    <mergeCell ref="BF54:BF57"/>
    <mergeCell ref="BG54:BG57"/>
    <mergeCell ref="AV54:AV57"/>
    <mergeCell ref="AW54:AW57"/>
    <mergeCell ref="AX54:AX57"/>
    <mergeCell ref="AY54:AY57"/>
    <mergeCell ref="AZ54:AZ57"/>
    <mergeCell ref="BA54:BA57"/>
    <mergeCell ref="AP54:AP57"/>
    <mergeCell ref="AQ54:AQ57"/>
    <mergeCell ref="AR54:AR57"/>
    <mergeCell ref="AS54:AS57"/>
    <mergeCell ref="AT54:AT57"/>
    <mergeCell ref="AU54:AU57"/>
    <mergeCell ref="AJ54:AJ57"/>
    <mergeCell ref="AK54:AK57"/>
    <mergeCell ref="AL54:AL57"/>
    <mergeCell ref="AM54:AM57"/>
    <mergeCell ref="AN54:AN57"/>
    <mergeCell ref="AO54:AO57"/>
    <mergeCell ref="R60:R61"/>
    <mergeCell ref="S60:S61"/>
    <mergeCell ref="Z60:Z61"/>
    <mergeCell ref="AA60:AA61"/>
    <mergeCell ref="AB60:AB61"/>
    <mergeCell ref="AC60:AC61"/>
    <mergeCell ref="L60:L61"/>
    <mergeCell ref="M60:M61"/>
    <mergeCell ref="N60:N61"/>
    <mergeCell ref="O60:O61"/>
    <mergeCell ref="P60:P61"/>
    <mergeCell ref="Q60:Q61"/>
    <mergeCell ref="BN54:BN57"/>
    <mergeCell ref="BO54:BO57"/>
    <mergeCell ref="BP54:BP57"/>
    <mergeCell ref="T55:T56"/>
    <mergeCell ref="A59:C59"/>
    <mergeCell ref="G60:G61"/>
    <mergeCell ref="H60:H61"/>
    <mergeCell ref="I60:I61"/>
    <mergeCell ref="J60:J61"/>
    <mergeCell ref="K60:K61"/>
    <mergeCell ref="BH54:BH57"/>
    <mergeCell ref="BI54:BI57"/>
    <mergeCell ref="BJ54:BJ57"/>
    <mergeCell ref="BK54:BK57"/>
    <mergeCell ref="BL54:BL57"/>
    <mergeCell ref="BM54:BM57"/>
    <mergeCell ref="BB54:BB57"/>
    <mergeCell ref="BC54:BC57"/>
    <mergeCell ref="BD54:BD57"/>
    <mergeCell ref="BE54:BE57"/>
    <mergeCell ref="AZ60:AZ61"/>
    <mergeCell ref="BA60:BA61"/>
    <mergeCell ref="AP60:AP61"/>
    <mergeCell ref="AQ60:AQ61"/>
    <mergeCell ref="AR60:AR61"/>
    <mergeCell ref="AS60:AS61"/>
    <mergeCell ref="AT60:AT61"/>
    <mergeCell ref="AU60:AU61"/>
    <mergeCell ref="AJ60:AJ61"/>
    <mergeCell ref="AK60:AK61"/>
    <mergeCell ref="AL60:AL61"/>
    <mergeCell ref="AM60:AM61"/>
    <mergeCell ref="AN60:AN61"/>
    <mergeCell ref="AO60:AO61"/>
    <mergeCell ref="AD60:AD61"/>
    <mergeCell ref="AE60:AE61"/>
    <mergeCell ref="AF60:AF61"/>
    <mergeCell ref="AG60:AG61"/>
    <mergeCell ref="AH60:AH61"/>
    <mergeCell ref="AI60:AI61"/>
    <mergeCell ref="I63:I68"/>
    <mergeCell ref="J63:J68"/>
    <mergeCell ref="K63:K68"/>
    <mergeCell ref="L63:L68"/>
    <mergeCell ref="M63:M68"/>
    <mergeCell ref="N63:N68"/>
    <mergeCell ref="BN60:BN61"/>
    <mergeCell ref="BO60:BO61"/>
    <mergeCell ref="BP60:BP61"/>
    <mergeCell ref="A62:C62"/>
    <mergeCell ref="A63:A68"/>
    <mergeCell ref="B63:C68"/>
    <mergeCell ref="D63:D68"/>
    <mergeCell ref="E63:F68"/>
    <mergeCell ref="G63:G68"/>
    <mergeCell ref="H63:H68"/>
    <mergeCell ref="BH60:BH61"/>
    <mergeCell ref="BI60:BI61"/>
    <mergeCell ref="BJ60:BJ61"/>
    <mergeCell ref="BK60:BK61"/>
    <mergeCell ref="BL60:BL61"/>
    <mergeCell ref="BM60:BM61"/>
    <mergeCell ref="BB60:BB61"/>
    <mergeCell ref="BC60:BC61"/>
    <mergeCell ref="BD60:BD61"/>
    <mergeCell ref="BE60:BE61"/>
    <mergeCell ref="BF60:BF61"/>
    <mergeCell ref="BG60:BG61"/>
    <mergeCell ref="AV60:AV61"/>
    <mergeCell ref="AW60:AW61"/>
    <mergeCell ref="AX60:AX61"/>
    <mergeCell ref="AY60:AY61"/>
    <mergeCell ref="AF63:AF68"/>
    <mergeCell ref="AG63:AG68"/>
    <mergeCell ref="AH63:AH68"/>
    <mergeCell ref="AI63:AI68"/>
    <mergeCell ref="AJ63:AJ68"/>
    <mergeCell ref="AK63:AK68"/>
    <mergeCell ref="Z63:Z68"/>
    <mergeCell ref="AA63:AA68"/>
    <mergeCell ref="AB63:AB68"/>
    <mergeCell ref="AC63:AC68"/>
    <mergeCell ref="AD63:AD68"/>
    <mergeCell ref="AE63:AE68"/>
    <mergeCell ref="O63:O68"/>
    <mergeCell ref="P63:P68"/>
    <mergeCell ref="Q63:Q68"/>
    <mergeCell ref="R63:R68"/>
    <mergeCell ref="S63:S68"/>
    <mergeCell ref="T63:T64"/>
    <mergeCell ref="AY63:AY68"/>
    <mergeCell ref="AZ63:AZ68"/>
    <mergeCell ref="BA63:BA68"/>
    <mergeCell ref="BB63:BB68"/>
    <mergeCell ref="BC63:BC68"/>
    <mergeCell ref="AR63:AR68"/>
    <mergeCell ref="AS63:AS68"/>
    <mergeCell ref="AT63:AT68"/>
    <mergeCell ref="AU63:AU68"/>
    <mergeCell ref="AV63:AV68"/>
    <mergeCell ref="AW63:AW68"/>
    <mergeCell ref="AL63:AL68"/>
    <mergeCell ref="AM63:AM68"/>
    <mergeCell ref="AN63:AN68"/>
    <mergeCell ref="AO63:AO68"/>
    <mergeCell ref="AP63:AP68"/>
    <mergeCell ref="AQ63:AQ68"/>
    <mergeCell ref="AE69:AE75"/>
    <mergeCell ref="AF69:AF75"/>
    <mergeCell ref="O69:O75"/>
    <mergeCell ref="P69:P70"/>
    <mergeCell ref="Q69:Q75"/>
    <mergeCell ref="R69:R75"/>
    <mergeCell ref="S69:S75"/>
    <mergeCell ref="Z69:Z75"/>
    <mergeCell ref="P71:P75"/>
    <mergeCell ref="BP63:BP68"/>
    <mergeCell ref="T67:T68"/>
    <mergeCell ref="G69:G70"/>
    <mergeCell ref="H69:H70"/>
    <mergeCell ref="I69:I70"/>
    <mergeCell ref="J69:J70"/>
    <mergeCell ref="K69:K70"/>
    <mergeCell ref="L69:L70"/>
    <mergeCell ref="M69:M75"/>
    <mergeCell ref="N69:N75"/>
    <mergeCell ref="BJ63:BJ68"/>
    <mergeCell ref="BK63:BK68"/>
    <mergeCell ref="BL63:BL68"/>
    <mergeCell ref="BM63:BM68"/>
    <mergeCell ref="BN63:BN68"/>
    <mergeCell ref="BO63:BO68"/>
    <mergeCell ref="BD63:BD68"/>
    <mergeCell ref="BE63:BE68"/>
    <mergeCell ref="BF63:BF68"/>
    <mergeCell ref="BG63:BG68"/>
    <mergeCell ref="BH63:BH68"/>
    <mergeCell ref="BI63:BI68"/>
    <mergeCell ref="AX63:AX68"/>
    <mergeCell ref="AS69:AS75"/>
    <mergeCell ref="AT69:AT75"/>
    <mergeCell ref="AU69:AU75"/>
    <mergeCell ref="AV69:AV75"/>
    <mergeCell ref="AW69:AW75"/>
    <mergeCell ref="AX69:AX75"/>
    <mergeCell ref="AM69:AM75"/>
    <mergeCell ref="AN69:AN75"/>
    <mergeCell ref="AO69:AO75"/>
    <mergeCell ref="AP69:AP75"/>
    <mergeCell ref="AQ69:AQ75"/>
    <mergeCell ref="AR69:AR75"/>
    <mergeCell ref="AG69:AG75"/>
    <mergeCell ref="AH69:AH75"/>
    <mergeCell ref="AI69:AI75"/>
    <mergeCell ref="AJ69:AJ75"/>
    <mergeCell ref="AK69:AK75"/>
    <mergeCell ref="AL69:AL75"/>
    <mergeCell ref="BK69:BK75"/>
    <mergeCell ref="BL69:BL75"/>
    <mergeCell ref="BM69:BM75"/>
    <mergeCell ref="BN69:BN75"/>
    <mergeCell ref="BO69:BO75"/>
    <mergeCell ref="BP69:BP75"/>
    <mergeCell ref="BE69:BE75"/>
    <mergeCell ref="BF69:BF75"/>
    <mergeCell ref="BG69:BG75"/>
    <mergeCell ref="BH69:BH75"/>
    <mergeCell ref="BI69:BI75"/>
    <mergeCell ref="BJ69:BJ75"/>
    <mergeCell ref="AY69:AY75"/>
    <mergeCell ref="AZ69:AZ75"/>
    <mergeCell ref="BA69:BA75"/>
    <mergeCell ref="BB69:BB75"/>
    <mergeCell ref="BC69:BC75"/>
    <mergeCell ref="BD69:BD75"/>
    <mergeCell ref="AA76:AA77"/>
    <mergeCell ref="AB76:AB77"/>
    <mergeCell ref="AC76:AC77"/>
    <mergeCell ref="AD76:AD77"/>
    <mergeCell ref="M76:M77"/>
    <mergeCell ref="N76:N77"/>
    <mergeCell ref="O76:O77"/>
    <mergeCell ref="P76:P77"/>
    <mergeCell ref="Q76:Q77"/>
    <mergeCell ref="R76:R77"/>
    <mergeCell ref="G76:G77"/>
    <mergeCell ref="H76:H77"/>
    <mergeCell ref="I76:I77"/>
    <mergeCell ref="J76:J77"/>
    <mergeCell ref="K76:K77"/>
    <mergeCell ref="L76:L77"/>
    <mergeCell ref="G71:G75"/>
    <mergeCell ref="H71:H75"/>
    <mergeCell ref="I71:I75"/>
    <mergeCell ref="J71:J75"/>
    <mergeCell ref="K71:K75"/>
    <mergeCell ref="L71:L75"/>
    <mergeCell ref="AA69:AA75"/>
    <mergeCell ref="AB69:AB75"/>
    <mergeCell ref="AC69:AC75"/>
    <mergeCell ref="AD69:AD75"/>
    <mergeCell ref="G78:G80"/>
    <mergeCell ref="H78:H80"/>
    <mergeCell ref="I78:I80"/>
    <mergeCell ref="J78:J80"/>
    <mergeCell ref="K78:K80"/>
    <mergeCell ref="L78:L80"/>
    <mergeCell ref="M78:M80"/>
    <mergeCell ref="N78:N80"/>
    <mergeCell ref="O78:O80"/>
    <mergeCell ref="BI76:BI77"/>
    <mergeCell ref="BJ76:BJ77"/>
    <mergeCell ref="BL76:BL77"/>
    <mergeCell ref="BM76:BM77"/>
    <mergeCell ref="BN76:BN77"/>
    <mergeCell ref="BO76:BO77"/>
    <mergeCell ref="BC76:BC77"/>
    <mergeCell ref="BD76:BD77"/>
    <mergeCell ref="BE76:BE77"/>
    <mergeCell ref="BF76:BF77"/>
    <mergeCell ref="BG76:BG77"/>
    <mergeCell ref="BH76:BH77"/>
    <mergeCell ref="AW76:AW77"/>
    <mergeCell ref="AX76:AX77"/>
    <mergeCell ref="AY76:AY77"/>
    <mergeCell ref="AZ76:AZ77"/>
    <mergeCell ref="BA76:BA77"/>
    <mergeCell ref="BB76:BB77"/>
    <mergeCell ref="AQ76:AQ77"/>
    <mergeCell ref="AR76:AR77"/>
    <mergeCell ref="AS76:AS77"/>
    <mergeCell ref="AT76:AT77"/>
    <mergeCell ref="AU76:AU77"/>
    <mergeCell ref="AJ78:AJ80"/>
    <mergeCell ref="AK78:AK80"/>
    <mergeCell ref="AL78:AL80"/>
    <mergeCell ref="AM78:AM80"/>
    <mergeCell ref="AB78:AB80"/>
    <mergeCell ref="AC78:AC80"/>
    <mergeCell ref="AD78:AD80"/>
    <mergeCell ref="AE78:AE80"/>
    <mergeCell ref="AF78:AF80"/>
    <mergeCell ref="AG78:AG80"/>
    <mergeCell ref="P78:P80"/>
    <mergeCell ref="Q78:Q80"/>
    <mergeCell ref="R78:R80"/>
    <mergeCell ref="S78:S80"/>
    <mergeCell ref="Z78:Z80"/>
    <mergeCell ref="AA78:AA80"/>
    <mergeCell ref="BP76:BP77"/>
    <mergeCell ref="AV76:AV77"/>
    <mergeCell ref="AK76:AK77"/>
    <mergeCell ref="AL76:AL77"/>
    <mergeCell ref="AM76:AM77"/>
    <mergeCell ref="AN76:AN77"/>
    <mergeCell ref="AO76:AO77"/>
    <mergeCell ref="AP76:AP77"/>
    <mergeCell ref="AE76:AE77"/>
    <mergeCell ref="AF76:AF77"/>
    <mergeCell ref="AG76:AG77"/>
    <mergeCell ref="AH76:AH77"/>
    <mergeCell ref="AI76:AI77"/>
    <mergeCell ref="AJ76:AJ77"/>
    <mergeCell ref="S76:S77"/>
    <mergeCell ref="Z76:Z77"/>
    <mergeCell ref="BL78:BL80"/>
    <mergeCell ref="BM78:BM80"/>
    <mergeCell ref="BN78:BN80"/>
    <mergeCell ref="BO78:BO80"/>
    <mergeCell ref="BP78:BP80"/>
    <mergeCell ref="A81:C81"/>
    <mergeCell ref="BF78:BF80"/>
    <mergeCell ref="BG78:BG80"/>
    <mergeCell ref="BH78:BH80"/>
    <mergeCell ref="BI78:BI80"/>
    <mergeCell ref="BJ78:BJ80"/>
    <mergeCell ref="BK78:BK80"/>
    <mergeCell ref="AZ78:AZ80"/>
    <mergeCell ref="BA78:BA80"/>
    <mergeCell ref="BB78:BB80"/>
    <mergeCell ref="BC78:BC80"/>
    <mergeCell ref="BD78:BD80"/>
    <mergeCell ref="BE78:BE80"/>
    <mergeCell ref="AT78:AT80"/>
    <mergeCell ref="AU78:AU80"/>
    <mergeCell ref="AV78:AV80"/>
    <mergeCell ref="AW78:AW80"/>
    <mergeCell ref="AX78:AX80"/>
    <mergeCell ref="AY78:AY80"/>
    <mergeCell ref="AN78:AN80"/>
    <mergeCell ref="AO78:AO80"/>
    <mergeCell ref="AP78:AP80"/>
    <mergeCell ref="AQ78:AQ80"/>
    <mergeCell ref="AR78:AR80"/>
    <mergeCell ref="AS78:AS80"/>
    <mergeCell ref="AH78:AH80"/>
    <mergeCell ref="AI78:AI80"/>
    <mergeCell ref="S82:S83"/>
    <mergeCell ref="Z82:Z83"/>
    <mergeCell ref="AA82:AA83"/>
    <mergeCell ref="AB82:AB83"/>
    <mergeCell ref="AC82:AC83"/>
    <mergeCell ref="AD82:AD83"/>
    <mergeCell ref="M82:M83"/>
    <mergeCell ref="N82:N83"/>
    <mergeCell ref="O82:O83"/>
    <mergeCell ref="P82:P83"/>
    <mergeCell ref="Q82:Q83"/>
    <mergeCell ref="R82:R83"/>
    <mergeCell ref="G82:G83"/>
    <mergeCell ref="H82:H83"/>
    <mergeCell ref="I82:I83"/>
    <mergeCell ref="J82:J83"/>
    <mergeCell ref="K82:K83"/>
    <mergeCell ref="L82:L83"/>
    <mergeCell ref="BA82:BA83"/>
    <mergeCell ref="BB82:BB83"/>
    <mergeCell ref="AQ82:AQ83"/>
    <mergeCell ref="AR82:AR83"/>
    <mergeCell ref="AS82:AS83"/>
    <mergeCell ref="AT82:AT83"/>
    <mergeCell ref="AU82:AU83"/>
    <mergeCell ref="AV82:AV83"/>
    <mergeCell ref="AK82:AK83"/>
    <mergeCell ref="AL82:AL83"/>
    <mergeCell ref="AM82:AM83"/>
    <mergeCell ref="AN82:AN83"/>
    <mergeCell ref="AO82:AO83"/>
    <mergeCell ref="AP82:AP83"/>
    <mergeCell ref="AE82:AE83"/>
    <mergeCell ref="AF82:AF83"/>
    <mergeCell ref="AG82:AG83"/>
    <mergeCell ref="AH82:AH83"/>
    <mergeCell ref="AI82:AI83"/>
    <mergeCell ref="AJ82:AJ83"/>
    <mergeCell ref="K85:K87"/>
    <mergeCell ref="L85:L87"/>
    <mergeCell ref="M85:M87"/>
    <mergeCell ref="N85:N87"/>
    <mergeCell ref="O85:O87"/>
    <mergeCell ref="P85:P87"/>
    <mergeCell ref="BO82:BO83"/>
    <mergeCell ref="BP82:BP83"/>
    <mergeCell ref="A84:C84"/>
    <mergeCell ref="D85:D87"/>
    <mergeCell ref="E85:E87"/>
    <mergeCell ref="F85:F87"/>
    <mergeCell ref="G85:G87"/>
    <mergeCell ref="H85:H87"/>
    <mergeCell ref="I85:I87"/>
    <mergeCell ref="J85:J87"/>
    <mergeCell ref="BI82:BI83"/>
    <mergeCell ref="BJ82:BJ83"/>
    <mergeCell ref="BK82:BK83"/>
    <mergeCell ref="BL82:BL83"/>
    <mergeCell ref="BM82:BM83"/>
    <mergeCell ref="BN82:BN83"/>
    <mergeCell ref="BC82:BC83"/>
    <mergeCell ref="BD82:BD83"/>
    <mergeCell ref="BE82:BE83"/>
    <mergeCell ref="BF82:BF83"/>
    <mergeCell ref="BG82:BG83"/>
    <mergeCell ref="BH82:BH83"/>
    <mergeCell ref="AW82:AW83"/>
    <mergeCell ref="AX82:AX83"/>
    <mergeCell ref="AY82:AY83"/>
    <mergeCell ref="AZ82:AZ83"/>
    <mergeCell ref="AJ85:AJ87"/>
    <mergeCell ref="AK85:AK87"/>
    <mergeCell ref="AL85:AL87"/>
    <mergeCell ref="AM85:AM87"/>
    <mergeCell ref="AN85:AN87"/>
    <mergeCell ref="AC85:AC87"/>
    <mergeCell ref="AD85:AD87"/>
    <mergeCell ref="AE85:AE87"/>
    <mergeCell ref="AF85:AF87"/>
    <mergeCell ref="AG85:AG87"/>
    <mergeCell ref="AH85:AH87"/>
    <mergeCell ref="Q85:Q87"/>
    <mergeCell ref="R85:R87"/>
    <mergeCell ref="S85:S87"/>
    <mergeCell ref="Z85:Z87"/>
    <mergeCell ref="AA85:AA87"/>
    <mergeCell ref="AB85:AB87"/>
    <mergeCell ref="B94:F94"/>
    <mergeCell ref="BM85:BM87"/>
    <mergeCell ref="BN85:BN87"/>
    <mergeCell ref="BO85:BO87"/>
    <mergeCell ref="BP85:BP87"/>
    <mergeCell ref="T86:T87"/>
    <mergeCell ref="A88:C88"/>
    <mergeCell ref="BG85:BG87"/>
    <mergeCell ref="BH85:BH87"/>
    <mergeCell ref="BI85:BI87"/>
    <mergeCell ref="BJ85:BJ87"/>
    <mergeCell ref="BK85:BK87"/>
    <mergeCell ref="BL85:BL87"/>
    <mergeCell ref="BA85:BA87"/>
    <mergeCell ref="BB85:BB87"/>
    <mergeCell ref="BC85:BC87"/>
    <mergeCell ref="BD85:BD87"/>
    <mergeCell ref="BE85:BE87"/>
    <mergeCell ref="BF85:BF87"/>
    <mergeCell ref="AU85:AU87"/>
    <mergeCell ref="AV85:AV87"/>
    <mergeCell ref="AW85:AW87"/>
    <mergeCell ref="AX85:AX87"/>
    <mergeCell ref="AY85:AY87"/>
    <mergeCell ref="AZ85:AZ87"/>
    <mergeCell ref="AO85:AO87"/>
    <mergeCell ref="AP85:AP87"/>
    <mergeCell ref="AQ85:AQ87"/>
    <mergeCell ref="AR85:AR87"/>
    <mergeCell ref="AS85:AS87"/>
    <mergeCell ref="AT85:AT87"/>
    <mergeCell ref="AI85:AI87"/>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J35"/>
  <sheetViews>
    <sheetView showGridLines="0" topLeftCell="O1" zoomScale="70" zoomScaleNormal="70" workbookViewId="0">
      <selection activeCell="X12" sqref="X12"/>
    </sheetView>
  </sheetViews>
  <sheetFormatPr baseColWidth="10" defaultColWidth="11.42578125" defaultRowHeight="14.25" x14ac:dyDescent="0.2"/>
  <cols>
    <col min="1" max="1" width="13.140625" style="477" customWidth="1"/>
    <col min="2" max="2" width="4" style="388" customWidth="1"/>
    <col min="3" max="3" width="23.5703125" style="388" customWidth="1"/>
    <col min="4" max="4" width="14.7109375" style="388" customWidth="1"/>
    <col min="5" max="5" width="10" style="388" customWidth="1"/>
    <col min="6" max="6" width="16.5703125" style="388" customWidth="1"/>
    <col min="7" max="7" width="22" style="388" customWidth="1"/>
    <col min="8" max="8" width="14" style="388" customWidth="1"/>
    <col min="9" max="9" width="43.5703125" style="478" customWidth="1"/>
    <col min="10" max="10" width="48" style="191" customWidth="1"/>
    <col min="11" max="12" width="21.140625" style="191" customWidth="1"/>
    <col min="13" max="13" width="35.7109375" style="191" customWidth="1"/>
    <col min="14" max="14" width="24.7109375" style="479" customWidth="1"/>
    <col min="15" max="15" width="35.140625" style="478" customWidth="1"/>
    <col min="16" max="16" width="13.7109375" style="481" customWidth="1"/>
    <col min="17" max="17" width="27.85546875" style="482" customWidth="1"/>
    <col min="18" max="18" width="54.85546875" style="478" customWidth="1"/>
    <col min="19" max="19" width="59.28515625" style="478" customWidth="1"/>
    <col min="20" max="20" width="34" style="478" customWidth="1"/>
    <col min="21" max="22" width="28.42578125" style="1607" customWidth="1"/>
    <col min="23" max="23" width="22.7109375" style="1607" bestFit="1" customWidth="1"/>
    <col min="24" max="24" width="10.42578125" style="484" bestFit="1" customWidth="1"/>
    <col min="25" max="25" width="29.7109375" style="485" bestFit="1" customWidth="1"/>
    <col min="26" max="31" width="9" style="388" bestFit="1" customWidth="1"/>
    <col min="32" max="33" width="7.7109375" style="388" bestFit="1" customWidth="1"/>
    <col min="34" max="35" width="9" style="388" bestFit="1" customWidth="1"/>
    <col min="36" max="37" width="7.7109375" style="388" bestFit="1" customWidth="1"/>
    <col min="38" max="39" width="6.42578125" style="388" bestFit="1" customWidth="1"/>
    <col min="40" max="41" width="7.7109375" style="388" bestFit="1" customWidth="1"/>
    <col min="42" max="45" width="3.85546875" style="388" bestFit="1" customWidth="1"/>
    <col min="46" max="49" width="3.42578125" style="388" bestFit="1" customWidth="1"/>
    <col min="50" max="55" width="7.7109375" style="388" bestFit="1" customWidth="1"/>
    <col min="56" max="57" width="9" style="388" bestFit="1" customWidth="1"/>
    <col min="58" max="58" width="17.28515625" style="388" customWidth="1"/>
    <col min="59" max="59" width="28.7109375" style="388" bestFit="1" customWidth="1"/>
    <col min="60" max="60" width="23.42578125" style="388" bestFit="1" customWidth="1"/>
    <col min="61" max="61" width="11.85546875" style="388" customWidth="1"/>
    <col min="62" max="63" width="19.28515625" style="388" customWidth="1"/>
    <col min="64" max="65" width="16.140625" style="486" customWidth="1"/>
    <col min="66" max="67" width="21.7109375" style="494" customWidth="1"/>
    <col min="68" max="68" width="27" style="489" customWidth="1"/>
    <col min="69" max="16384" width="11.42578125" style="388"/>
  </cols>
  <sheetData>
    <row r="1" spans="1:88" s="1553" customFormat="1" ht="15" customHeight="1" x14ac:dyDescent="0.2">
      <c r="A1" s="2521" t="s">
        <v>1256</v>
      </c>
      <c r="B1" s="2522"/>
      <c r="C1" s="2522"/>
      <c r="D1" s="2522"/>
      <c r="E1" s="2522"/>
      <c r="F1" s="2522"/>
      <c r="G1" s="2522"/>
      <c r="H1" s="2522"/>
      <c r="I1" s="2522"/>
      <c r="J1" s="2522"/>
      <c r="K1" s="2522"/>
      <c r="L1" s="2522"/>
      <c r="M1" s="2522"/>
      <c r="N1" s="2522"/>
      <c r="O1" s="2522"/>
      <c r="P1" s="2522"/>
      <c r="Q1" s="2522"/>
      <c r="R1" s="2522"/>
      <c r="S1" s="2522"/>
      <c r="T1" s="2522"/>
      <c r="U1" s="2522"/>
      <c r="V1" s="2522"/>
      <c r="W1" s="2522"/>
      <c r="X1" s="2522"/>
      <c r="Y1" s="2522"/>
      <c r="Z1" s="2522"/>
      <c r="AA1" s="2522"/>
      <c r="AB1" s="2522"/>
      <c r="AC1" s="2522"/>
      <c r="AD1" s="2522"/>
      <c r="AE1" s="2522"/>
      <c r="AF1" s="2522"/>
      <c r="AG1" s="2522"/>
      <c r="AH1" s="2522"/>
      <c r="AI1" s="2522"/>
      <c r="AJ1" s="2522"/>
      <c r="AK1" s="2522"/>
      <c r="AL1" s="2522"/>
      <c r="AM1" s="2522"/>
      <c r="AN1" s="2522"/>
      <c r="AO1" s="2522"/>
      <c r="AP1" s="2522"/>
      <c r="AQ1" s="2522"/>
      <c r="AR1" s="2522"/>
      <c r="AS1" s="2522"/>
      <c r="AT1" s="2522"/>
      <c r="AU1" s="2522"/>
      <c r="AV1" s="2522"/>
      <c r="AW1" s="2522"/>
      <c r="AX1" s="2522"/>
      <c r="AY1" s="2522"/>
      <c r="AZ1" s="2522"/>
      <c r="BA1" s="2522"/>
      <c r="BB1" s="2522"/>
      <c r="BC1" s="2522"/>
      <c r="BD1" s="2522"/>
      <c r="BE1" s="2522"/>
      <c r="BF1" s="2522"/>
      <c r="BG1" s="2522"/>
      <c r="BH1" s="2522"/>
      <c r="BI1" s="2522"/>
      <c r="BJ1" s="2522"/>
      <c r="BK1" s="2522"/>
      <c r="BL1" s="2522"/>
      <c r="BM1" s="2522"/>
      <c r="BN1" s="2523"/>
      <c r="BO1" s="386" t="s">
        <v>1</v>
      </c>
      <c r="BP1" s="735" t="s">
        <v>2</v>
      </c>
    </row>
    <row r="2" spans="1:88" s="1553" customFormat="1" ht="15" x14ac:dyDescent="0.2">
      <c r="A2" s="2521"/>
      <c r="B2" s="2522"/>
      <c r="C2" s="2522"/>
      <c r="D2" s="2522"/>
      <c r="E2" s="2522"/>
      <c r="F2" s="2522"/>
      <c r="G2" s="2522"/>
      <c r="H2" s="2522"/>
      <c r="I2" s="2522"/>
      <c r="J2" s="2522"/>
      <c r="K2" s="2522"/>
      <c r="L2" s="2522"/>
      <c r="M2" s="2522"/>
      <c r="N2" s="2522"/>
      <c r="O2" s="2522"/>
      <c r="P2" s="2522"/>
      <c r="Q2" s="2522"/>
      <c r="R2" s="2522"/>
      <c r="S2" s="2522"/>
      <c r="T2" s="2522"/>
      <c r="U2" s="2522"/>
      <c r="V2" s="2522"/>
      <c r="W2" s="2522"/>
      <c r="X2" s="2522"/>
      <c r="Y2" s="2522"/>
      <c r="Z2" s="2522"/>
      <c r="AA2" s="2522"/>
      <c r="AB2" s="2522"/>
      <c r="AC2" s="2522"/>
      <c r="AD2" s="2522"/>
      <c r="AE2" s="2522"/>
      <c r="AF2" s="2522"/>
      <c r="AG2" s="2522"/>
      <c r="AH2" s="2522"/>
      <c r="AI2" s="2522"/>
      <c r="AJ2" s="2522"/>
      <c r="AK2" s="2522"/>
      <c r="AL2" s="2522"/>
      <c r="AM2" s="2522"/>
      <c r="AN2" s="2522"/>
      <c r="AO2" s="2522"/>
      <c r="AP2" s="2522"/>
      <c r="AQ2" s="2522"/>
      <c r="AR2" s="2522"/>
      <c r="AS2" s="2522"/>
      <c r="AT2" s="2522"/>
      <c r="AU2" s="2522"/>
      <c r="AV2" s="2522"/>
      <c r="AW2" s="2522"/>
      <c r="AX2" s="2522"/>
      <c r="AY2" s="2522"/>
      <c r="AZ2" s="2522"/>
      <c r="BA2" s="2522"/>
      <c r="BB2" s="2522"/>
      <c r="BC2" s="2522"/>
      <c r="BD2" s="2522"/>
      <c r="BE2" s="2522"/>
      <c r="BF2" s="2522"/>
      <c r="BG2" s="2522"/>
      <c r="BH2" s="2522"/>
      <c r="BI2" s="2522"/>
      <c r="BJ2" s="2522"/>
      <c r="BK2" s="2522"/>
      <c r="BL2" s="2522"/>
      <c r="BM2" s="2522"/>
      <c r="BN2" s="2523"/>
      <c r="BO2" s="389" t="s">
        <v>3</v>
      </c>
      <c r="BP2" s="737">
        <v>6</v>
      </c>
    </row>
    <row r="3" spans="1:88" s="1553" customFormat="1" ht="15" x14ac:dyDescent="0.2">
      <c r="A3" s="2521"/>
      <c r="B3" s="2522"/>
      <c r="C3" s="2522"/>
      <c r="D3" s="2522"/>
      <c r="E3" s="2522"/>
      <c r="F3" s="2522"/>
      <c r="G3" s="2522"/>
      <c r="H3" s="2522"/>
      <c r="I3" s="2522"/>
      <c r="J3" s="2522"/>
      <c r="K3" s="2522"/>
      <c r="L3" s="2522"/>
      <c r="M3" s="2522"/>
      <c r="N3" s="2522"/>
      <c r="O3" s="2522"/>
      <c r="P3" s="2522"/>
      <c r="Q3" s="2522"/>
      <c r="R3" s="2522"/>
      <c r="S3" s="2522"/>
      <c r="T3" s="2522"/>
      <c r="U3" s="2522"/>
      <c r="V3" s="2522"/>
      <c r="W3" s="2522"/>
      <c r="X3" s="2522"/>
      <c r="Y3" s="2522"/>
      <c r="Z3" s="2522"/>
      <c r="AA3" s="2522"/>
      <c r="AB3" s="2522"/>
      <c r="AC3" s="2522"/>
      <c r="AD3" s="2522"/>
      <c r="AE3" s="2522"/>
      <c r="AF3" s="2522"/>
      <c r="AG3" s="2522"/>
      <c r="AH3" s="2522"/>
      <c r="AI3" s="2522"/>
      <c r="AJ3" s="2522"/>
      <c r="AK3" s="2522"/>
      <c r="AL3" s="2522"/>
      <c r="AM3" s="2522"/>
      <c r="AN3" s="2522"/>
      <c r="AO3" s="2522"/>
      <c r="AP3" s="2522"/>
      <c r="AQ3" s="2522"/>
      <c r="AR3" s="2522"/>
      <c r="AS3" s="2522"/>
      <c r="AT3" s="2522"/>
      <c r="AU3" s="2522"/>
      <c r="AV3" s="2522"/>
      <c r="AW3" s="2522"/>
      <c r="AX3" s="2522"/>
      <c r="AY3" s="2522"/>
      <c r="AZ3" s="2522"/>
      <c r="BA3" s="2522"/>
      <c r="BB3" s="2522"/>
      <c r="BC3" s="2522"/>
      <c r="BD3" s="2522"/>
      <c r="BE3" s="2522"/>
      <c r="BF3" s="2522"/>
      <c r="BG3" s="2522"/>
      <c r="BH3" s="2522"/>
      <c r="BI3" s="2522"/>
      <c r="BJ3" s="2522"/>
      <c r="BK3" s="2522"/>
      <c r="BL3" s="2522"/>
      <c r="BM3" s="2522"/>
      <c r="BN3" s="2523"/>
      <c r="BO3" s="389" t="s">
        <v>5</v>
      </c>
      <c r="BP3" s="738" t="s">
        <v>6</v>
      </c>
    </row>
    <row r="4" spans="1:88" s="739" customFormat="1" ht="15" x14ac:dyDescent="0.2">
      <c r="A4" s="2524"/>
      <c r="B4" s="2525"/>
      <c r="C4" s="2525"/>
      <c r="D4" s="2525"/>
      <c r="E4" s="2525"/>
      <c r="F4" s="2525"/>
      <c r="G4" s="2525"/>
      <c r="H4" s="2525"/>
      <c r="I4" s="2525"/>
      <c r="J4" s="2525"/>
      <c r="K4" s="2525"/>
      <c r="L4" s="2525"/>
      <c r="M4" s="2525"/>
      <c r="N4" s="2525"/>
      <c r="O4" s="2525"/>
      <c r="P4" s="2525"/>
      <c r="Q4" s="2525"/>
      <c r="R4" s="2525"/>
      <c r="S4" s="2525"/>
      <c r="T4" s="2525"/>
      <c r="U4" s="2525"/>
      <c r="V4" s="2525"/>
      <c r="W4" s="2525"/>
      <c r="X4" s="2525"/>
      <c r="Y4" s="2525"/>
      <c r="Z4" s="2525"/>
      <c r="AA4" s="2525"/>
      <c r="AB4" s="2525"/>
      <c r="AC4" s="2525"/>
      <c r="AD4" s="2525"/>
      <c r="AE4" s="2525"/>
      <c r="AF4" s="2525"/>
      <c r="AG4" s="2525"/>
      <c r="AH4" s="2525"/>
      <c r="AI4" s="2525"/>
      <c r="AJ4" s="2525"/>
      <c r="AK4" s="2525"/>
      <c r="AL4" s="2525"/>
      <c r="AM4" s="2525"/>
      <c r="AN4" s="2525"/>
      <c r="AO4" s="2525"/>
      <c r="AP4" s="2525"/>
      <c r="AQ4" s="2525"/>
      <c r="AR4" s="2525"/>
      <c r="AS4" s="2525"/>
      <c r="AT4" s="2525"/>
      <c r="AU4" s="2525"/>
      <c r="AV4" s="2525"/>
      <c r="AW4" s="2525"/>
      <c r="AX4" s="2525"/>
      <c r="AY4" s="2525"/>
      <c r="AZ4" s="2525"/>
      <c r="BA4" s="2525"/>
      <c r="BB4" s="2525"/>
      <c r="BC4" s="2525"/>
      <c r="BD4" s="2525"/>
      <c r="BE4" s="2525"/>
      <c r="BF4" s="2525"/>
      <c r="BG4" s="2525"/>
      <c r="BH4" s="2525"/>
      <c r="BI4" s="2525"/>
      <c r="BJ4" s="2525"/>
      <c r="BK4" s="2525"/>
      <c r="BL4" s="2525"/>
      <c r="BM4" s="2525"/>
      <c r="BN4" s="2526"/>
      <c r="BO4" s="389" t="s">
        <v>7</v>
      </c>
      <c r="BP4" s="740" t="s">
        <v>311</v>
      </c>
    </row>
    <row r="5" spans="1:88" s="366" customFormat="1" ht="15.75" x14ac:dyDescent="0.2">
      <c r="A5" s="2527" t="s">
        <v>312</v>
      </c>
      <c r="B5" s="2528"/>
      <c r="C5" s="2528"/>
      <c r="D5" s="2528"/>
      <c r="E5" s="2528"/>
      <c r="F5" s="2528"/>
      <c r="G5" s="2528"/>
      <c r="H5" s="2528"/>
      <c r="I5" s="2528"/>
      <c r="J5" s="2528"/>
      <c r="K5" s="2528"/>
      <c r="L5" s="999"/>
      <c r="M5" s="3124" t="s">
        <v>10</v>
      </c>
      <c r="N5" s="3124"/>
      <c r="O5" s="3124"/>
      <c r="P5" s="3124"/>
      <c r="Q5" s="3124"/>
      <c r="R5" s="3124"/>
      <c r="S5" s="3124"/>
      <c r="T5" s="3124"/>
      <c r="U5" s="3124"/>
      <c r="V5" s="3124"/>
      <c r="W5" s="3124"/>
      <c r="X5" s="3124"/>
      <c r="Y5" s="3124"/>
      <c r="Z5" s="3124"/>
      <c r="AA5" s="3124"/>
      <c r="AB5" s="3124"/>
      <c r="AC5" s="3124"/>
      <c r="AD5" s="3124"/>
      <c r="AE5" s="3124"/>
      <c r="AF5" s="3124"/>
      <c r="AG5" s="3124"/>
      <c r="AH5" s="3124"/>
      <c r="AI5" s="3124"/>
      <c r="AJ5" s="3124"/>
      <c r="AK5" s="3124"/>
      <c r="AL5" s="3124"/>
      <c r="AM5" s="3124"/>
      <c r="AN5" s="3124"/>
      <c r="AO5" s="3124"/>
      <c r="AP5" s="3124"/>
      <c r="AQ5" s="3124"/>
      <c r="AR5" s="3124"/>
      <c r="AS5" s="3124"/>
      <c r="AT5" s="3124"/>
      <c r="AU5" s="3124"/>
      <c r="AV5" s="3124"/>
      <c r="AW5" s="3124"/>
      <c r="AX5" s="3124"/>
      <c r="AY5" s="3124"/>
      <c r="AZ5" s="3124"/>
      <c r="BA5" s="3124"/>
      <c r="BB5" s="3124"/>
      <c r="BC5" s="3124"/>
      <c r="BD5" s="3124"/>
      <c r="BE5" s="3124"/>
      <c r="BF5" s="3124"/>
      <c r="BG5" s="3124"/>
      <c r="BH5" s="3124"/>
      <c r="BI5" s="3124"/>
      <c r="BJ5" s="3124"/>
      <c r="BK5" s="3124"/>
      <c r="BL5" s="3124"/>
      <c r="BM5" s="3124"/>
      <c r="BN5" s="3124"/>
      <c r="BO5" s="2531"/>
      <c r="BP5" s="3947"/>
      <c r="BQ5" s="1554"/>
      <c r="BR5" s="1554"/>
      <c r="BS5" s="1555"/>
      <c r="BT5" s="1555"/>
      <c r="BU5" s="1555"/>
      <c r="BV5" s="1555"/>
      <c r="BW5" s="1555"/>
      <c r="BX5" s="1555"/>
      <c r="BY5" s="1555"/>
      <c r="BZ5" s="1555"/>
      <c r="CA5" s="1555"/>
      <c r="CB5" s="1555"/>
      <c r="CC5" s="1555"/>
      <c r="CD5" s="1555"/>
      <c r="CE5" s="1555"/>
      <c r="CF5" s="1555"/>
      <c r="CG5" s="1555"/>
      <c r="CH5" s="1555"/>
      <c r="CI5" s="1555"/>
      <c r="CJ5" s="1555"/>
    </row>
    <row r="6" spans="1:88" s="366" customFormat="1" ht="16.5" thickBot="1" x14ac:dyDescent="0.25">
      <c r="A6" s="2529"/>
      <c r="B6" s="2530"/>
      <c r="C6" s="2530"/>
      <c r="D6" s="2530"/>
      <c r="E6" s="2530"/>
      <c r="F6" s="2530"/>
      <c r="G6" s="2530"/>
      <c r="H6" s="2530"/>
      <c r="I6" s="2530"/>
      <c r="J6" s="2530"/>
      <c r="K6" s="2530"/>
      <c r="L6" s="1000"/>
      <c r="M6" s="1024"/>
      <c r="N6" s="741"/>
      <c r="O6" s="397"/>
      <c r="P6" s="1000"/>
      <c r="Q6" s="1556"/>
      <c r="R6" s="1000"/>
      <c r="S6" s="1000"/>
      <c r="T6" s="1000"/>
      <c r="U6" s="1000"/>
      <c r="V6" s="1000"/>
      <c r="W6" s="1000"/>
      <c r="X6" s="1000"/>
      <c r="Y6" s="1000"/>
      <c r="Z6" s="3125" t="s">
        <v>11</v>
      </c>
      <c r="AA6" s="2530"/>
      <c r="AB6" s="2530"/>
      <c r="AC6" s="2530"/>
      <c r="AD6" s="2530"/>
      <c r="AE6" s="2530"/>
      <c r="AF6" s="2530"/>
      <c r="AG6" s="2530"/>
      <c r="AH6" s="2530"/>
      <c r="AI6" s="2530"/>
      <c r="AJ6" s="2530"/>
      <c r="AK6" s="2530"/>
      <c r="AL6" s="2530"/>
      <c r="AM6" s="2530"/>
      <c r="AN6" s="2530"/>
      <c r="AO6" s="2530"/>
      <c r="AP6" s="2530"/>
      <c r="AQ6" s="2530"/>
      <c r="AR6" s="2530"/>
      <c r="AS6" s="2530"/>
      <c r="AT6" s="2530"/>
      <c r="AU6" s="2530"/>
      <c r="AV6" s="2530"/>
      <c r="AW6" s="2530"/>
      <c r="AX6" s="2530"/>
      <c r="AY6" s="2530"/>
      <c r="AZ6" s="2530"/>
      <c r="BA6" s="2530"/>
      <c r="BB6" s="2530"/>
      <c r="BC6" s="1000"/>
      <c r="BD6" s="1557"/>
      <c r="BE6" s="1557"/>
      <c r="BF6" s="1557"/>
      <c r="BG6" s="1557"/>
      <c r="BH6" s="1557"/>
      <c r="BI6" s="1557"/>
      <c r="BJ6" s="1557"/>
      <c r="BK6" s="1557"/>
      <c r="BL6" s="400"/>
      <c r="BM6" s="400"/>
      <c r="BN6" s="400"/>
      <c r="BO6" s="400"/>
      <c r="BP6" s="743"/>
      <c r="BQ6" s="1554"/>
      <c r="BR6" s="1554"/>
      <c r="BS6" s="1555"/>
      <c r="BT6" s="1555"/>
      <c r="BU6" s="1555"/>
      <c r="BV6" s="1555"/>
      <c r="BW6" s="1555"/>
      <c r="BX6" s="1555"/>
      <c r="BY6" s="1555"/>
      <c r="BZ6" s="1555"/>
      <c r="CA6" s="1555"/>
      <c r="CB6" s="1555"/>
      <c r="CC6" s="1555"/>
      <c r="CD6" s="1555"/>
      <c r="CE6" s="1555"/>
      <c r="CF6" s="1555"/>
      <c r="CG6" s="1555"/>
      <c r="CH6" s="1555"/>
      <c r="CI6" s="1555"/>
      <c r="CJ6" s="1555"/>
    </row>
    <row r="7" spans="1:88" s="1558" customFormat="1" ht="15.75" x14ac:dyDescent="0.2">
      <c r="A7" s="3948" t="s">
        <v>12</v>
      </c>
      <c r="B7" s="3950" t="s">
        <v>13</v>
      </c>
      <c r="C7" s="3144"/>
      <c r="D7" s="3144" t="s">
        <v>12</v>
      </c>
      <c r="E7" s="3950" t="s">
        <v>14</v>
      </c>
      <c r="F7" s="3144"/>
      <c r="G7" s="3144" t="s">
        <v>12</v>
      </c>
      <c r="H7" s="3144" t="s">
        <v>12</v>
      </c>
      <c r="I7" s="3950" t="s">
        <v>15</v>
      </c>
      <c r="J7" s="3943" t="s">
        <v>16</v>
      </c>
      <c r="K7" s="3950" t="s">
        <v>598</v>
      </c>
      <c r="L7" s="3144"/>
      <c r="M7" s="3943" t="s">
        <v>18</v>
      </c>
      <c r="N7" s="3943" t="s">
        <v>19</v>
      </c>
      <c r="O7" s="3943" t="s">
        <v>10</v>
      </c>
      <c r="P7" s="3952" t="s">
        <v>20</v>
      </c>
      <c r="Q7" s="3954" t="s">
        <v>21</v>
      </c>
      <c r="R7" s="3950" t="s">
        <v>22</v>
      </c>
      <c r="S7" s="3950" t="s">
        <v>23</v>
      </c>
      <c r="T7" s="3943" t="s">
        <v>24</v>
      </c>
      <c r="U7" s="3956" t="s">
        <v>21</v>
      </c>
      <c r="V7" s="3957"/>
      <c r="W7" s="3958"/>
      <c r="X7" s="3940" t="s">
        <v>12</v>
      </c>
      <c r="Y7" s="3943" t="s">
        <v>25</v>
      </c>
      <c r="Z7" s="3945" t="s">
        <v>26</v>
      </c>
      <c r="AA7" s="3945"/>
      <c r="AB7" s="3945"/>
      <c r="AC7" s="1001"/>
      <c r="AD7" s="2555" t="s">
        <v>27</v>
      </c>
      <c r="AE7" s="2555"/>
      <c r="AF7" s="2555"/>
      <c r="AG7" s="2555"/>
      <c r="AH7" s="2555"/>
      <c r="AI7" s="2555"/>
      <c r="AJ7" s="2555"/>
      <c r="AK7" s="2556"/>
      <c r="AL7" s="2677" t="s">
        <v>28</v>
      </c>
      <c r="AM7" s="2678"/>
      <c r="AN7" s="2678"/>
      <c r="AO7" s="2678"/>
      <c r="AP7" s="2678"/>
      <c r="AQ7" s="2678"/>
      <c r="AR7" s="2678"/>
      <c r="AS7" s="2678"/>
      <c r="AT7" s="2678"/>
      <c r="AU7" s="2678"/>
      <c r="AV7" s="2678"/>
      <c r="AW7" s="2679"/>
      <c r="AX7" s="2910" t="s">
        <v>29</v>
      </c>
      <c r="AY7" s="3946"/>
      <c r="AZ7" s="3946"/>
      <c r="BA7" s="3946"/>
      <c r="BB7" s="3946"/>
      <c r="BC7" s="2911"/>
      <c r="BD7" s="2681" t="s">
        <v>30</v>
      </c>
      <c r="BE7" s="2682"/>
      <c r="BF7" s="3526" t="s">
        <v>31</v>
      </c>
      <c r="BG7" s="3527"/>
      <c r="BH7" s="3527"/>
      <c r="BI7" s="3527"/>
      <c r="BJ7" s="3527"/>
      <c r="BK7" s="3528"/>
      <c r="BL7" s="3129" t="s">
        <v>32</v>
      </c>
      <c r="BM7" s="3130"/>
      <c r="BN7" s="3129" t="s">
        <v>33</v>
      </c>
      <c r="BO7" s="3130"/>
      <c r="BP7" s="3962" t="s">
        <v>34</v>
      </c>
      <c r="BQ7" s="1554"/>
      <c r="BR7" s="1554"/>
      <c r="BS7" s="1554"/>
      <c r="BT7" s="1554"/>
      <c r="BU7" s="1554"/>
      <c r="BV7" s="1554"/>
      <c r="BW7" s="1554"/>
      <c r="BX7" s="1554"/>
      <c r="BY7" s="1554"/>
      <c r="BZ7" s="1554"/>
      <c r="CA7" s="1554"/>
      <c r="CB7" s="1554"/>
      <c r="CC7" s="1554"/>
      <c r="CD7" s="1554"/>
      <c r="CE7" s="1554"/>
      <c r="CF7" s="1554"/>
      <c r="CG7" s="1554"/>
      <c r="CH7" s="1554"/>
      <c r="CI7" s="1554"/>
      <c r="CJ7" s="1554"/>
    </row>
    <row r="8" spans="1:88" s="1558" customFormat="1" ht="140.25" customHeight="1" x14ac:dyDescent="0.2">
      <c r="A8" s="3949"/>
      <c r="B8" s="3951"/>
      <c r="C8" s="3145"/>
      <c r="D8" s="3145"/>
      <c r="E8" s="3951"/>
      <c r="F8" s="3145"/>
      <c r="G8" s="3145"/>
      <c r="H8" s="3145"/>
      <c r="I8" s="3951"/>
      <c r="J8" s="3944"/>
      <c r="K8" s="3951"/>
      <c r="L8" s="3145"/>
      <c r="M8" s="3944"/>
      <c r="N8" s="3944"/>
      <c r="O8" s="3944"/>
      <c r="P8" s="3953"/>
      <c r="Q8" s="3955"/>
      <c r="R8" s="3951"/>
      <c r="S8" s="3951"/>
      <c r="T8" s="3944"/>
      <c r="U8" s="3959"/>
      <c r="V8" s="3960"/>
      <c r="W8" s="3961"/>
      <c r="X8" s="3941"/>
      <c r="Y8" s="3944"/>
      <c r="Z8" s="3139" t="s">
        <v>38</v>
      </c>
      <c r="AA8" s="3140"/>
      <c r="AB8" s="3139" t="s">
        <v>39</v>
      </c>
      <c r="AC8" s="3140"/>
      <c r="AD8" s="3139" t="s">
        <v>40</v>
      </c>
      <c r="AE8" s="3140"/>
      <c r="AF8" s="3139" t="s">
        <v>41</v>
      </c>
      <c r="AG8" s="3140"/>
      <c r="AH8" s="3139" t="s">
        <v>42</v>
      </c>
      <c r="AI8" s="3140"/>
      <c r="AJ8" s="3139" t="s">
        <v>43</v>
      </c>
      <c r="AK8" s="3140"/>
      <c r="AL8" s="3139" t="s">
        <v>44</v>
      </c>
      <c r="AM8" s="3140"/>
      <c r="AN8" s="3139" t="s">
        <v>45</v>
      </c>
      <c r="AO8" s="3140"/>
      <c r="AP8" s="3139" t="s">
        <v>46</v>
      </c>
      <c r="AQ8" s="3140"/>
      <c r="AR8" s="3139" t="s">
        <v>47</v>
      </c>
      <c r="AS8" s="3140"/>
      <c r="AT8" s="3139" t="s">
        <v>48</v>
      </c>
      <c r="AU8" s="3140"/>
      <c r="AV8" s="3139" t="s">
        <v>317</v>
      </c>
      <c r="AW8" s="3140"/>
      <c r="AX8" s="3139" t="s">
        <v>50</v>
      </c>
      <c r="AY8" s="3140"/>
      <c r="AZ8" s="3139" t="s">
        <v>51</v>
      </c>
      <c r="BA8" s="3140"/>
      <c r="BB8" s="3939" t="s">
        <v>52</v>
      </c>
      <c r="BC8" s="3939"/>
      <c r="BD8" s="2683"/>
      <c r="BE8" s="2684"/>
      <c r="BF8" s="3515" t="s">
        <v>53</v>
      </c>
      <c r="BG8" s="3514" t="s">
        <v>54</v>
      </c>
      <c r="BH8" s="3515" t="s">
        <v>55</v>
      </c>
      <c r="BI8" s="3516" t="s">
        <v>56</v>
      </c>
      <c r="BJ8" s="3515" t="s">
        <v>57</v>
      </c>
      <c r="BK8" s="3521" t="s">
        <v>58</v>
      </c>
      <c r="BL8" s="3131"/>
      <c r="BM8" s="3132"/>
      <c r="BN8" s="3930"/>
      <c r="BO8" s="3931"/>
      <c r="BP8" s="3963"/>
      <c r="BQ8" s="1554"/>
      <c r="BR8" s="1554"/>
      <c r="BS8" s="1554"/>
      <c r="BT8" s="1554"/>
      <c r="BU8" s="1554"/>
      <c r="BV8" s="1554"/>
      <c r="BW8" s="1554"/>
      <c r="BX8" s="1554"/>
      <c r="BY8" s="1554"/>
      <c r="BZ8" s="1554"/>
      <c r="CA8" s="1554"/>
      <c r="CB8" s="1554"/>
      <c r="CC8" s="1554"/>
      <c r="CD8" s="1554"/>
      <c r="CE8" s="1554"/>
      <c r="CF8" s="1554"/>
      <c r="CG8" s="1554"/>
      <c r="CH8" s="1554"/>
      <c r="CI8" s="1554"/>
      <c r="CJ8" s="1554"/>
    </row>
    <row r="9" spans="1:88" s="1558" customFormat="1" ht="15.75" x14ac:dyDescent="0.2">
      <c r="A9" s="3949"/>
      <c r="B9" s="3951"/>
      <c r="C9" s="3145"/>
      <c r="D9" s="3145"/>
      <c r="E9" s="3951"/>
      <c r="F9" s="3145"/>
      <c r="G9" s="3145"/>
      <c r="H9" s="3145"/>
      <c r="I9" s="3951"/>
      <c r="J9" s="3944"/>
      <c r="K9" s="199" t="s">
        <v>59</v>
      </c>
      <c r="L9" s="199" t="s">
        <v>60</v>
      </c>
      <c r="M9" s="3944"/>
      <c r="N9" s="3944"/>
      <c r="O9" s="3944"/>
      <c r="P9" s="3953"/>
      <c r="Q9" s="3955"/>
      <c r="R9" s="3951"/>
      <c r="S9" s="3951"/>
      <c r="T9" s="3944"/>
      <c r="U9" s="1559" t="s">
        <v>229</v>
      </c>
      <c r="V9" s="1559" t="s">
        <v>230</v>
      </c>
      <c r="W9" s="1559" t="s">
        <v>231</v>
      </c>
      <c r="X9" s="3942"/>
      <c r="Y9" s="3944"/>
      <c r="Z9" s="1560" t="s">
        <v>59</v>
      </c>
      <c r="AA9" s="1560" t="s">
        <v>60</v>
      </c>
      <c r="AB9" s="1560" t="s">
        <v>59</v>
      </c>
      <c r="AC9" s="1560" t="s">
        <v>60</v>
      </c>
      <c r="AD9" s="1560" t="s">
        <v>59</v>
      </c>
      <c r="AE9" s="1560" t="s">
        <v>60</v>
      </c>
      <c r="AF9" s="1560" t="s">
        <v>59</v>
      </c>
      <c r="AG9" s="1560" t="s">
        <v>60</v>
      </c>
      <c r="AH9" s="1560" t="s">
        <v>59</v>
      </c>
      <c r="AI9" s="1560" t="s">
        <v>60</v>
      </c>
      <c r="AJ9" s="1560" t="s">
        <v>59</v>
      </c>
      <c r="AK9" s="1560" t="s">
        <v>60</v>
      </c>
      <c r="AL9" s="1560" t="s">
        <v>59</v>
      </c>
      <c r="AM9" s="1560" t="s">
        <v>60</v>
      </c>
      <c r="AN9" s="1560" t="s">
        <v>59</v>
      </c>
      <c r="AO9" s="1560" t="s">
        <v>60</v>
      </c>
      <c r="AP9" s="1560" t="s">
        <v>59</v>
      </c>
      <c r="AQ9" s="1560" t="s">
        <v>60</v>
      </c>
      <c r="AR9" s="1560" t="s">
        <v>59</v>
      </c>
      <c r="AS9" s="1560" t="s">
        <v>60</v>
      </c>
      <c r="AT9" s="1560" t="s">
        <v>59</v>
      </c>
      <c r="AU9" s="1560" t="s">
        <v>60</v>
      </c>
      <c r="AV9" s="1560" t="s">
        <v>59</v>
      </c>
      <c r="AW9" s="1560" t="s">
        <v>60</v>
      </c>
      <c r="AX9" s="1560" t="s">
        <v>59</v>
      </c>
      <c r="AY9" s="1560" t="s">
        <v>60</v>
      </c>
      <c r="AZ9" s="1560" t="s">
        <v>59</v>
      </c>
      <c r="BA9" s="1560" t="s">
        <v>60</v>
      </c>
      <c r="BB9" s="1560" t="s">
        <v>59</v>
      </c>
      <c r="BC9" s="1560" t="s">
        <v>60</v>
      </c>
      <c r="BD9" s="1560" t="s">
        <v>59</v>
      </c>
      <c r="BE9" s="1560" t="s">
        <v>60</v>
      </c>
      <c r="BF9" s="3515"/>
      <c r="BG9" s="3514"/>
      <c r="BH9" s="3515"/>
      <c r="BI9" s="3516"/>
      <c r="BJ9" s="3515"/>
      <c r="BK9" s="3522"/>
      <c r="BL9" s="1561" t="s">
        <v>59</v>
      </c>
      <c r="BM9" s="1561" t="s">
        <v>60</v>
      </c>
      <c r="BN9" s="1561" t="s">
        <v>59</v>
      </c>
      <c r="BO9" s="1562" t="s">
        <v>60</v>
      </c>
      <c r="BP9" s="3963"/>
      <c r="BQ9" s="1554"/>
      <c r="BR9" s="1554"/>
      <c r="BS9" s="1554"/>
      <c r="BT9" s="1554"/>
      <c r="BU9" s="1554"/>
      <c r="BV9" s="1554"/>
      <c r="BW9" s="1554"/>
      <c r="BX9" s="1554"/>
      <c r="BY9" s="1554"/>
      <c r="BZ9" s="1554"/>
      <c r="CA9" s="1554"/>
      <c r="CB9" s="1554"/>
      <c r="CC9" s="1554"/>
      <c r="CD9" s="1554"/>
      <c r="CE9" s="1554"/>
      <c r="CF9" s="1554"/>
      <c r="CG9" s="1554"/>
      <c r="CH9" s="1554"/>
      <c r="CI9" s="1554"/>
      <c r="CJ9" s="1554"/>
    </row>
    <row r="10" spans="1:88" s="4" customFormat="1" ht="15.75" x14ac:dyDescent="0.2">
      <c r="A10" s="203">
        <v>4</v>
      </c>
      <c r="B10" s="404" t="s">
        <v>62</v>
      </c>
      <c r="C10" s="405"/>
      <c r="D10" s="34"/>
      <c r="E10" s="34"/>
      <c r="F10" s="34"/>
      <c r="G10" s="1563"/>
      <c r="H10" s="1564"/>
      <c r="I10" s="44"/>
      <c r="J10" s="34"/>
      <c r="K10" s="34"/>
      <c r="L10" s="34"/>
      <c r="M10" s="34"/>
      <c r="N10" s="37"/>
      <c r="O10" s="35"/>
      <c r="P10" s="38"/>
      <c r="Q10" s="39"/>
      <c r="R10" s="35"/>
      <c r="S10" s="35"/>
      <c r="T10" s="35"/>
      <c r="U10" s="41"/>
      <c r="V10" s="41"/>
      <c r="W10" s="41"/>
      <c r="X10" s="42"/>
      <c r="Y10" s="37"/>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409"/>
      <c r="BM10" s="409"/>
      <c r="BN10" s="409"/>
      <c r="BO10" s="409"/>
      <c r="BP10" s="35"/>
      <c r="BQ10" s="3"/>
      <c r="BR10" s="3"/>
      <c r="BS10" s="3"/>
      <c r="BT10" s="3"/>
      <c r="BU10" s="3"/>
      <c r="BV10" s="3"/>
      <c r="BW10" s="3"/>
      <c r="BX10" s="3"/>
      <c r="BY10" s="3"/>
      <c r="BZ10" s="3"/>
      <c r="CA10" s="3"/>
      <c r="CB10" s="3"/>
      <c r="CC10" s="3"/>
      <c r="CD10" s="3"/>
      <c r="CE10" s="3"/>
      <c r="CF10" s="3"/>
      <c r="CG10" s="3"/>
      <c r="CH10" s="3"/>
      <c r="CI10" s="3"/>
      <c r="CJ10" s="3"/>
    </row>
    <row r="11" spans="1:88" s="3" customFormat="1" ht="15.75" x14ac:dyDescent="0.2">
      <c r="A11" s="2572"/>
      <c r="B11" s="2573"/>
      <c r="C11" s="2574"/>
      <c r="D11" s="218">
        <v>45</v>
      </c>
      <c r="E11" s="2898" t="s">
        <v>89</v>
      </c>
      <c r="F11" s="2898"/>
      <c r="G11" s="2898"/>
      <c r="H11" s="3813"/>
      <c r="I11" s="2898"/>
      <c r="J11" s="2898"/>
      <c r="K11" s="2898"/>
      <c r="L11" s="2898"/>
      <c r="M11" s="2898"/>
      <c r="N11" s="2899"/>
      <c r="O11" s="2898"/>
      <c r="P11" s="2899"/>
      <c r="Q11" s="417"/>
      <c r="R11" s="418"/>
      <c r="S11" s="418"/>
      <c r="T11" s="418"/>
      <c r="U11" s="1565"/>
      <c r="V11" s="1565"/>
      <c r="W11" s="1565"/>
      <c r="X11" s="1566"/>
      <c r="Y11" s="414"/>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3"/>
      <c r="BA11" s="413"/>
      <c r="BB11" s="413"/>
      <c r="BC11" s="413"/>
      <c r="BD11" s="413"/>
      <c r="BE11" s="413"/>
      <c r="BF11" s="413"/>
      <c r="BG11" s="413"/>
      <c r="BH11" s="413"/>
      <c r="BI11" s="413"/>
      <c r="BJ11" s="413"/>
      <c r="BK11" s="413"/>
      <c r="BL11" s="423"/>
      <c r="BM11" s="423"/>
      <c r="BN11" s="423"/>
      <c r="BO11" s="423"/>
      <c r="BP11" s="418"/>
    </row>
    <row r="12" spans="1:88" s="3" customFormat="1" ht="30" customHeight="1" x14ac:dyDescent="0.2">
      <c r="A12" s="424"/>
      <c r="B12" s="425"/>
      <c r="C12" s="425"/>
      <c r="D12" s="426"/>
      <c r="E12" s="427"/>
      <c r="F12" s="427"/>
      <c r="G12" s="2626" t="s">
        <v>64</v>
      </c>
      <c r="H12" s="2626" t="s">
        <v>1257</v>
      </c>
      <c r="I12" s="2698" t="s">
        <v>1258</v>
      </c>
      <c r="J12" s="2821" t="s">
        <v>1259</v>
      </c>
      <c r="K12" s="2988">
        <v>1</v>
      </c>
      <c r="L12" s="2721">
        <v>1</v>
      </c>
      <c r="M12" s="2792" t="s">
        <v>1260</v>
      </c>
      <c r="N12" s="3932" t="s">
        <v>1261</v>
      </c>
      <c r="O12" s="2698" t="s">
        <v>1262</v>
      </c>
      <c r="P12" s="3934">
        <f>SUM(U12:U17)/Q12</f>
        <v>1</v>
      </c>
      <c r="Q12" s="3937">
        <f>SUM(U12:U17)</f>
        <v>255021326</v>
      </c>
      <c r="R12" s="2741" t="s">
        <v>1263</v>
      </c>
      <c r="S12" s="2741" t="s">
        <v>1264</v>
      </c>
      <c r="T12" s="2741" t="s">
        <v>1265</v>
      </c>
      <c r="U12" s="1567">
        <v>21120163</v>
      </c>
      <c r="V12" s="1568">
        <v>6283333</v>
      </c>
      <c r="W12" s="1568">
        <v>6283333</v>
      </c>
      <c r="X12" s="1009">
        <v>20</v>
      </c>
      <c r="Y12" s="1008" t="s">
        <v>85</v>
      </c>
      <c r="Z12" s="2738">
        <v>294321</v>
      </c>
      <c r="AA12" s="2738">
        <v>294321</v>
      </c>
      <c r="AB12" s="2738">
        <v>283947</v>
      </c>
      <c r="AC12" s="2738">
        <v>283947</v>
      </c>
      <c r="AD12" s="2738">
        <v>135754</v>
      </c>
      <c r="AE12" s="2738">
        <v>135754</v>
      </c>
      <c r="AF12" s="2738">
        <v>44640</v>
      </c>
      <c r="AG12" s="2738">
        <v>44640</v>
      </c>
      <c r="AH12" s="2738">
        <v>308178</v>
      </c>
      <c r="AI12" s="2738">
        <v>308178</v>
      </c>
      <c r="AJ12" s="2738">
        <v>89696</v>
      </c>
      <c r="AK12" s="2738">
        <v>89696</v>
      </c>
      <c r="AL12" s="2738">
        <v>2145</v>
      </c>
      <c r="AM12" s="2738">
        <v>2145</v>
      </c>
      <c r="AN12" s="2738">
        <v>12718</v>
      </c>
      <c r="AO12" s="2738">
        <v>12718</v>
      </c>
      <c r="AP12" s="2738">
        <v>26</v>
      </c>
      <c r="AQ12" s="2738">
        <v>26</v>
      </c>
      <c r="AR12" s="2738">
        <v>37</v>
      </c>
      <c r="AS12" s="2738">
        <v>37</v>
      </c>
      <c r="AT12" s="2738">
        <v>0</v>
      </c>
      <c r="AU12" s="2738">
        <v>0</v>
      </c>
      <c r="AV12" s="2738">
        <v>0</v>
      </c>
      <c r="AW12" s="2738">
        <v>0</v>
      </c>
      <c r="AX12" s="2738">
        <v>52505</v>
      </c>
      <c r="AY12" s="2738">
        <v>52505</v>
      </c>
      <c r="AZ12" s="2738">
        <v>16897</v>
      </c>
      <c r="BA12" s="2738">
        <v>16897</v>
      </c>
      <c r="BB12" s="2738">
        <v>61646</v>
      </c>
      <c r="BC12" s="2738">
        <v>61646</v>
      </c>
      <c r="BD12" s="2738">
        <v>578268</v>
      </c>
      <c r="BE12" s="2738">
        <v>578268</v>
      </c>
      <c r="BF12" s="2738">
        <v>15</v>
      </c>
      <c r="BG12" s="3917">
        <f>+V12+V13+V14+V15+V16+V17</f>
        <v>209417831.33000001</v>
      </c>
      <c r="BH12" s="3917">
        <f>+W12+W13+W14+W15+W16+W17</f>
        <v>209417831.33000001</v>
      </c>
      <c r="BI12" s="2587">
        <f>+BH12/BG12</f>
        <v>1</v>
      </c>
      <c r="BJ12" s="2738" t="s">
        <v>1266</v>
      </c>
      <c r="BK12" s="2615" t="s">
        <v>1267</v>
      </c>
      <c r="BL12" s="3511">
        <v>44033</v>
      </c>
      <c r="BM12" s="3511">
        <v>43857</v>
      </c>
      <c r="BN12" s="3511">
        <v>44195</v>
      </c>
      <c r="BO12" s="3511">
        <v>44195</v>
      </c>
      <c r="BP12" s="2738" t="s">
        <v>1268</v>
      </c>
      <c r="BQ12" s="433"/>
    </row>
    <row r="13" spans="1:88" s="3" customFormat="1" ht="30" customHeight="1" x14ac:dyDescent="0.2">
      <c r="A13" s="424"/>
      <c r="B13" s="425"/>
      <c r="C13" s="425"/>
      <c r="D13" s="424"/>
      <c r="E13" s="425"/>
      <c r="F13" s="425"/>
      <c r="G13" s="2626"/>
      <c r="H13" s="2626"/>
      <c r="I13" s="2698"/>
      <c r="J13" s="2821"/>
      <c r="K13" s="2988"/>
      <c r="L13" s="2722"/>
      <c r="M13" s="2792"/>
      <c r="N13" s="3933"/>
      <c r="O13" s="2698"/>
      <c r="P13" s="3935"/>
      <c r="Q13" s="3938"/>
      <c r="R13" s="2742"/>
      <c r="S13" s="2742"/>
      <c r="T13" s="2742"/>
      <c r="U13" s="1569">
        <v>37000000</v>
      </c>
      <c r="V13" s="1570">
        <v>30533333</v>
      </c>
      <c r="W13" s="1570">
        <v>30533333</v>
      </c>
      <c r="X13" s="1009">
        <v>20</v>
      </c>
      <c r="Y13" s="1008" t="s">
        <v>85</v>
      </c>
      <c r="Z13" s="2739"/>
      <c r="AA13" s="2739"/>
      <c r="AB13" s="2739"/>
      <c r="AC13" s="2739"/>
      <c r="AD13" s="2739"/>
      <c r="AE13" s="2739"/>
      <c r="AF13" s="2739"/>
      <c r="AG13" s="2739"/>
      <c r="AH13" s="2739"/>
      <c r="AI13" s="2739"/>
      <c r="AJ13" s="2739"/>
      <c r="AK13" s="2739"/>
      <c r="AL13" s="2739"/>
      <c r="AM13" s="2739"/>
      <c r="AN13" s="2739"/>
      <c r="AO13" s="2739"/>
      <c r="AP13" s="2739"/>
      <c r="AQ13" s="2739"/>
      <c r="AR13" s="2739"/>
      <c r="AS13" s="2739"/>
      <c r="AT13" s="2739"/>
      <c r="AU13" s="2739"/>
      <c r="AV13" s="2739"/>
      <c r="AW13" s="2739"/>
      <c r="AX13" s="2739"/>
      <c r="AY13" s="2739"/>
      <c r="AZ13" s="2739"/>
      <c r="BA13" s="2739"/>
      <c r="BB13" s="2739"/>
      <c r="BC13" s="2739"/>
      <c r="BD13" s="2739"/>
      <c r="BE13" s="2739"/>
      <c r="BF13" s="2739"/>
      <c r="BG13" s="3918"/>
      <c r="BH13" s="3918"/>
      <c r="BI13" s="2588"/>
      <c r="BJ13" s="2739"/>
      <c r="BK13" s="2616"/>
      <c r="BL13" s="3512"/>
      <c r="BM13" s="3512"/>
      <c r="BN13" s="3512"/>
      <c r="BO13" s="3512"/>
      <c r="BP13" s="2739"/>
      <c r="BQ13" s="433"/>
    </row>
    <row r="14" spans="1:88" s="3" customFormat="1" ht="36" customHeight="1" x14ac:dyDescent="0.2">
      <c r="A14" s="424"/>
      <c r="B14" s="425"/>
      <c r="C14" s="425"/>
      <c r="D14" s="424"/>
      <c r="E14" s="425"/>
      <c r="F14" s="425"/>
      <c r="G14" s="2626"/>
      <c r="H14" s="2626"/>
      <c r="I14" s="2698"/>
      <c r="J14" s="2821"/>
      <c r="K14" s="2988"/>
      <c r="L14" s="2722"/>
      <c r="M14" s="2792"/>
      <c r="N14" s="3933"/>
      <c r="O14" s="2698"/>
      <c r="P14" s="3935"/>
      <c r="Q14" s="2584"/>
      <c r="R14" s="2742"/>
      <c r="S14" s="2742"/>
      <c r="T14" s="2742"/>
      <c r="U14" s="1569">
        <v>47000000</v>
      </c>
      <c r="V14" s="1568">
        <v>47000000</v>
      </c>
      <c r="W14" s="1568">
        <v>47000000</v>
      </c>
      <c r="X14" s="1009">
        <v>88</v>
      </c>
      <c r="Y14" s="1008" t="s">
        <v>411</v>
      </c>
      <c r="Z14" s="2739"/>
      <c r="AA14" s="2739"/>
      <c r="AB14" s="2739"/>
      <c r="AC14" s="2739"/>
      <c r="AD14" s="2739"/>
      <c r="AE14" s="2739"/>
      <c r="AF14" s="2739"/>
      <c r="AG14" s="2739"/>
      <c r="AH14" s="2739"/>
      <c r="AI14" s="2739"/>
      <c r="AJ14" s="2739"/>
      <c r="AK14" s="2739"/>
      <c r="AL14" s="2739"/>
      <c r="AM14" s="2739"/>
      <c r="AN14" s="2739"/>
      <c r="AO14" s="2739"/>
      <c r="AP14" s="2739"/>
      <c r="AQ14" s="2739"/>
      <c r="AR14" s="2739"/>
      <c r="AS14" s="2739"/>
      <c r="AT14" s="2739"/>
      <c r="AU14" s="2739"/>
      <c r="AV14" s="2739"/>
      <c r="AW14" s="2739"/>
      <c r="AX14" s="2739"/>
      <c r="AY14" s="2739"/>
      <c r="AZ14" s="2739"/>
      <c r="BA14" s="2739"/>
      <c r="BB14" s="2739"/>
      <c r="BC14" s="2739"/>
      <c r="BD14" s="2739"/>
      <c r="BE14" s="2739"/>
      <c r="BF14" s="2739"/>
      <c r="BG14" s="3918"/>
      <c r="BH14" s="3918"/>
      <c r="BI14" s="2588"/>
      <c r="BJ14" s="2739"/>
      <c r="BK14" s="2616"/>
      <c r="BL14" s="3512"/>
      <c r="BM14" s="3512"/>
      <c r="BN14" s="3512"/>
      <c r="BO14" s="3512"/>
      <c r="BP14" s="2739"/>
      <c r="BQ14" s="433"/>
    </row>
    <row r="15" spans="1:88" s="3" customFormat="1" ht="43.5" customHeight="1" x14ac:dyDescent="0.2">
      <c r="A15" s="424"/>
      <c r="B15" s="425"/>
      <c r="C15" s="425"/>
      <c r="D15" s="424"/>
      <c r="E15" s="425"/>
      <c r="F15" s="425"/>
      <c r="G15" s="2626"/>
      <c r="H15" s="2626"/>
      <c r="I15" s="2698"/>
      <c r="J15" s="2821"/>
      <c r="K15" s="2988"/>
      <c r="L15" s="2722"/>
      <c r="M15" s="2792"/>
      <c r="N15" s="3933"/>
      <c r="O15" s="2698"/>
      <c r="P15" s="3935"/>
      <c r="Q15" s="2584"/>
      <c r="R15" s="2742"/>
      <c r="S15" s="3346"/>
      <c r="T15" s="2698" t="s">
        <v>1269</v>
      </c>
      <c r="U15" s="1571">
        <v>95781000</v>
      </c>
      <c r="V15" s="1568">
        <v>95781000</v>
      </c>
      <c r="W15" s="1572">
        <v>95781000</v>
      </c>
      <c r="X15" s="1009">
        <v>20</v>
      </c>
      <c r="Y15" s="1008" t="s">
        <v>85</v>
      </c>
      <c r="Z15" s="2739"/>
      <c r="AA15" s="2739"/>
      <c r="AB15" s="2739"/>
      <c r="AC15" s="2739"/>
      <c r="AD15" s="2739"/>
      <c r="AE15" s="2739"/>
      <c r="AF15" s="2739"/>
      <c r="AG15" s="2739"/>
      <c r="AH15" s="2739"/>
      <c r="AI15" s="2739"/>
      <c r="AJ15" s="2739"/>
      <c r="AK15" s="2739"/>
      <c r="AL15" s="2739"/>
      <c r="AM15" s="2739"/>
      <c r="AN15" s="2739"/>
      <c r="AO15" s="2739"/>
      <c r="AP15" s="2739"/>
      <c r="AQ15" s="2739"/>
      <c r="AR15" s="2739"/>
      <c r="AS15" s="2739"/>
      <c r="AT15" s="2739"/>
      <c r="AU15" s="2739"/>
      <c r="AV15" s="2739"/>
      <c r="AW15" s="2739"/>
      <c r="AX15" s="2739"/>
      <c r="AY15" s="2739"/>
      <c r="AZ15" s="2739"/>
      <c r="BA15" s="2739"/>
      <c r="BB15" s="2739"/>
      <c r="BC15" s="2739"/>
      <c r="BD15" s="2739"/>
      <c r="BE15" s="2739"/>
      <c r="BF15" s="2739"/>
      <c r="BG15" s="3918"/>
      <c r="BH15" s="3918"/>
      <c r="BI15" s="2588"/>
      <c r="BJ15" s="2739"/>
      <c r="BK15" s="2616"/>
      <c r="BL15" s="3512"/>
      <c r="BM15" s="3512"/>
      <c r="BN15" s="3512"/>
      <c r="BO15" s="3512"/>
      <c r="BP15" s="2739"/>
      <c r="BQ15" s="433"/>
    </row>
    <row r="16" spans="1:88" s="3" customFormat="1" ht="37.5" customHeight="1" x14ac:dyDescent="0.2">
      <c r="A16" s="424"/>
      <c r="B16" s="425"/>
      <c r="C16" s="425"/>
      <c r="D16" s="424"/>
      <c r="E16" s="425"/>
      <c r="F16" s="425"/>
      <c r="G16" s="2626"/>
      <c r="H16" s="2626"/>
      <c r="I16" s="2698"/>
      <c r="J16" s="2821"/>
      <c r="K16" s="2988"/>
      <c r="L16" s="2722"/>
      <c r="M16" s="2792"/>
      <c r="N16" s="3933"/>
      <c r="O16" s="2698"/>
      <c r="P16" s="3935"/>
      <c r="Q16" s="2584"/>
      <c r="R16" s="2742"/>
      <c r="S16" s="3346"/>
      <c r="T16" s="2698"/>
      <c r="U16" s="1573">
        <v>21120163</v>
      </c>
      <c r="V16" s="1568">
        <v>13820832</v>
      </c>
      <c r="W16" s="1572">
        <v>13820832</v>
      </c>
      <c r="X16" s="1009">
        <v>20</v>
      </c>
      <c r="Y16" s="1008" t="s">
        <v>85</v>
      </c>
      <c r="Z16" s="2739"/>
      <c r="AA16" s="2739"/>
      <c r="AB16" s="2739"/>
      <c r="AC16" s="2739"/>
      <c r="AD16" s="2739"/>
      <c r="AE16" s="2739"/>
      <c r="AF16" s="2739"/>
      <c r="AG16" s="2739"/>
      <c r="AH16" s="2739"/>
      <c r="AI16" s="2739"/>
      <c r="AJ16" s="2739"/>
      <c r="AK16" s="2739"/>
      <c r="AL16" s="2739"/>
      <c r="AM16" s="2739"/>
      <c r="AN16" s="2739"/>
      <c r="AO16" s="2739"/>
      <c r="AP16" s="2739"/>
      <c r="AQ16" s="2739"/>
      <c r="AR16" s="2739"/>
      <c r="AS16" s="2739"/>
      <c r="AT16" s="2739"/>
      <c r="AU16" s="2739"/>
      <c r="AV16" s="2739"/>
      <c r="AW16" s="2739"/>
      <c r="AX16" s="2739"/>
      <c r="AY16" s="2739"/>
      <c r="AZ16" s="2739"/>
      <c r="BA16" s="2739"/>
      <c r="BB16" s="2739"/>
      <c r="BC16" s="2739"/>
      <c r="BD16" s="2739"/>
      <c r="BE16" s="2739"/>
      <c r="BF16" s="2739"/>
      <c r="BG16" s="3918"/>
      <c r="BH16" s="3918"/>
      <c r="BI16" s="2588"/>
      <c r="BJ16" s="2739"/>
      <c r="BK16" s="2616"/>
      <c r="BL16" s="3512"/>
      <c r="BM16" s="3512"/>
      <c r="BN16" s="3512"/>
      <c r="BO16" s="3512"/>
      <c r="BP16" s="2739"/>
      <c r="BQ16" s="433"/>
    </row>
    <row r="17" spans="1:69" s="3" customFormat="1" ht="52.5" customHeight="1" x14ac:dyDescent="0.2">
      <c r="A17" s="424"/>
      <c r="B17" s="425"/>
      <c r="C17" s="425"/>
      <c r="D17" s="424"/>
      <c r="E17" s="425"/>
      <c r="F17" s="425"/>
      <c r="G17" s="2626"/>
      <c r="H17" s="2626"/>
      <c r="I17" s="2698"/>
      <c r="J17" s="2821"/>
      <c r="K17" s="2988"/>
      <c r="L17" s="2723"/>
      <c r="M17" s="2792"/>
      <c r="N17" s="3933"/>
      <c r="O17" s="2698"/>
      <c r="P17" s="3936"/>
      <c r="Q17" s="2584"/>
      <c r="R17" s="2743"/>
      <c r="S17" s="3347"/>
      <c r="T17" s="2788"/>
      <c r="U17" s="1574">
        <v>33000000</v>
      </c>
      <c r="V17" s="1568">
        <v>15999333.33</v>
      </c>
      <c r="W17" s="1568">
        <v>15999333.33</v>
      </c>
      <c r="X17" s="1009">
        <v>88</v>
      </c>
      <c r="Y17" s="1008" t="s">
        <v>411</v>
      </c>
      <c r="Z17" s="2740"/>
      <c r="AA17" s="2740"/>
      <c r="AB17" s="2740"/>
      <c r="AC17" s="2740"/>
      <c r="AD17" s="2740"/>
      <c r="AE17" s="2740"/>
      <c r="AF17" s="2740"/>
      <c r="AG17" s="2740"/>
      <c r="AH17" s="2740"/>
      <c r="AI17" s="2740"/>
      <c r="AJ17" s="2740"/>
      <c r="AK17" s="2740"/>
      <c r="AL17" s="2740"/>
      <c r="AM17" s="2740"/>
      <c r="AN17" s="2740"/>
      <c r="AO17" s="2740"/>
      <c r="AP17" s="2740"/>
      <c r="AQ17" s="2740"/>
      <c r="AR17" s="2740"/>
      <c r="AS17" s="2740"/>
      <c r="AT17" s="2740"/>
      <c r="AU17" s="2740"/>
      <c r="AV17" s="2740"/>
      <c r="AW17" s="2740"/>
      <c r="AX17" s="2740"/>
      <c r="AY17" s="2740"/>
      <c r="AZ17" s="2740"/>
      <c r="BA17" s="2740"/>
      <c r="BB17" s="2740"/>
      <c r="BC17" s="2740"/>
      <c r="BD17" s="2740"/>
      <c r="BE17" s="2740"/>
      <c r="BF17" s="2740"/>
      <c r="BG17" s="3919"/>
      <c r="BH17" s="3919"/>
      <c r="BI17" s="2744"/>
      <c r="BJ17" s="2740"/>
      <c r="BK17" s="2752"/>
      <c r="BL17" s="3914"/>
      <c r="BM17" s="3914"/>
      <c r="BN17" s="3914"/>
      <c r="BO17" s="3914"/>
      <c r="BP17" s="2740"/>
      <c r="BQ17" s="433"/>
    </row>
    <row r="18" spans="1:69" s="3" customFormat="1" ht="39" customHeight="1" x14ac:dyDescent="0.2">
      <c r="A18" s="424"/>
      <c r="B18" s="425"/>
      <c r="C18" s="425"/>
      <c r="D18" s="424"/>
      <c r="E18" s="425"/>
      <c r="F18" s="425"/>
      <c r="G18" s="2626" t="s">
        <v>64</v>
      </c>
      <c r="H18" s="2626" t="s">
        <v>1270</v>
      </c>
      <c r="I18" s="2698" t="s">
        <v>1271</v>
      </c>
      <c r="J18" s="3546" t="s">
        <v>1272</v>
      </c>
      <c r="K18" s="2727">
        <v>1</v>
      </c>
      <c r="L18" s="2581">
        <v>1</v>
      </c>
      <c r="M18" s="3921" t="s">
        <v>1273</v>
      </c>
      <c r="N18" s="3922" t="s">
        <v>1274</v>
      </c>
      <c r="O18" s="2698" t="s">
        <v>1275</v>
      </c>
      <c r="P18" s="3923">
        <f>SUM(U18:U22)/Q18</f>
        <v>1</v>
      </c>
      <c r="Q18" s="3926">
        <f>SUM(U18:U22)</f>
        <v>786246103</v>
      </c>
      <c r="R18" s="3839" t="s">
        <v>1276</v>
      </c>
      <c r="S18" s="3927" t="s">
        <v>1277</v>
      </c>
      <c r="T18" s="3920" t="s">
        <v>1278</v>
      </c>
      <c r="U18" s="1575">
        <f>94385500+23040714</f>
        <v>117426214</v>
      </c>
      <c r="V18" s="1568">
        <v>117426214</v>
      </c>
      <c r="W18" s="1568">
        <v>117426214</v>
      </c>
      <c r="X18" s="1009">
        <v>20</v>
      </c>
      <c r="Y18" s="1576" t="s">
        <v>85</v>
      </c>
      <c r="Z18" s="2738">
        <v>294321</v>
      </c>
      <c r="AA18" s="2738">
        <v>294321</v>
      </c>
      <c r="AB18" s="2738">
        <v>283947</v>
      </c>
      <c r="AC18" s="2738">
        <v>283947</v>
      </c>
      <c r="AD18" s="2738">
        <v>135754</v>
      </c>
      <c r="AE18" s="2738">
        <v>135754</v>
      </c>
      <c r="AF18" s="2738">
        <v>44640</v>
      </c>
      <c r="AG18" s="2738">
        <v>44640</v>
      </c>
      <c r="AH18" s="2738">
        <v>308178</v>
      </c>
      <c r="AI18" s="2738">
        <v>308178</v>
      </c>
      <c r="AJ18" s="2738">
        <v>89696</v>
      </c>
      <c r="AK18" s="2738">
        <v>89696</v>
      </c>
      <c r="AL18" s="2738">
        <v>2145</v>
      </c>
      <c r="AM18" s="2738">
        <v>2145</v>
      </c>
      <c r="AN18" s="2738">
        <v>12718</v>
      </c>
      <c r="AO18" s="2738">
        <v>12718</v>
      </c>
      <c r="AP18" s="2738">
        <v>26</v>
      </c>
      <c r="AQ18" s="2738">
        <v>26</v>
      </c>
      <c r="AR18" s="2738">
        <v>37</v>
      </c>
      <c r="AS18" s="2738">
        <v>37</v>
      </c>
      <c r="AT18" s="2738">
        <v>0</v>
      </c>
      <c r="AU18" s="2738">
        <v>0</v>
      </c>
      <c r="AV18" s="2738">
        <v>0</v>
      </c>
      <c r="AW18" s="2738">
        <v>0</v>
      </c>
      <c r="AX18" s="2738">
        <v>52505</v>
      </c>
      <c r="AY18" s="2738">
        <v>52505</v>
      </c>
      <c r="AZ18" s="2738">
        <v>16897</v>
      </c>
      <c r="BA18" s="2738">
        <v>16897</v>
      </c>
      <c r="BB18" s="2738">
        <v>61646</v>
      </c>
      <c r="BC18" s="2738">
        <v>61646</v>
      </c>
      <c r="BD18" s="2738">
        <v>578268</v>
      </c>
      <c r="BE18" s="2738">
        <v>578268</v>
      </c>
      <c r="BF18" s="2738">
        <v>31</v>
      </c>
      <c r="BG18" s="3917">
        <f>+V18+V19+V20+V21+V22</f>
        <v>745103430</v>
      </c>
      <c r="BH18" s="3917">
        <f>+W18+W19+W20+W21+W22</f>
        <v>745103430</v>
      </c>
      <c r="BI18" s="2587">
        <f>+BH18/BG18</f>
        <v>1</v>
      </c>
      <c r="BJ18" s="2738" t="s">
        <v>1266</v>
      </c>
      <c r="BK18" s="2615" t="s">
        <v>1279</v>
      </c>
      <c r="BL18" s="3511">
        <v>44033</v>
      </c>
      <c r="BM18" s="3511">
        <v>43857</v>
      </c>
      <c r="BN18" s="3511">
        <v>44195</v>
      </c>
      <c r="BO18" s="3511">
        <v>44195</v>
      </c>
      <c r="BP18" s="2738" t="s">
        <v>1268</v>
      </c>
      <c r="BQ18" s="433"/>
    </row>
    <row r="19" spans="1:69" s="3" customFormat="1" ht="62.25" customHeight="1" x14ac:dyDescent="0.2">
      <c r="A19" s="424"/>
      <c r="B19" s="425"/>
      <c r="C19" s="425"/>
      <c r="D19" s="424"/>
      <c r="E19" s="425"/>
      <c r="F19" s="425"/>
      <c r="G19" s="2626"/>
      <c r="H19" s="2626"/>
      <c r="I19" s="2698"/>
      <c r="J19" s="3546"/>
      <c r="K19" s="2727"/>
      <c r="L19" s="2582"/>
      <c r="M19" s="3921"/>
      <c r="N19" s="3922"/>
      <c r="O19" s="2698"/>
      <c r="P19" s="3924"/>
      <c r="Q19" s="3926"/>
      <c r="R19" s="3840"/>
      <c r="S19" s="3928"/>
      <c r="T19" s="3920"/>
      <c r="U19" s="1575">
        <f>0+300000000+18039437</f>
        <v>318039437</v>
      </c>
      <c r="V19" s="1577">
        <v>316112286</v>
      </c>
      <c r="W19" s="1568">
        <v>316112286</v>
      </c>
      <c r="X19" s="1578">
        <v>88</v>
      </c>
      <c r="Y19" s="1008" t="s">
        <v>411</v>
      </c>
      <c r="Z19" s="2739"/>
      <c r="AA19" s="2739"/>
      <c r="AB19" s="2739"/>
      <c r="AC19" s="2739"/>
      <c r="AD19" s="2739"/>
      <c r="AE19" s="2739"/>
      <c r="AF19" s="2739"/>
      <c r="AG19" s="2739"/>
      <c r="AH19" s="2739"/>
      <c r="AI19" s="2739"/>
      <c r="AJ19" s="2739"/>
      <c r="AK19" s="2739"/>
      <c r="AL19" s="2739"/>
      <c r="AM19" s="2739"/>
      <c r="AN19" s="2739"/>
      <c r="AO19" s="2739"/>
      <c r="AP19" s="2739"/>
      <c r="AQ19" s="2739"/>
      <c r="AR19" s="2739"/>
      <c r="AS19" s="2739"/>
      <c r="AT19" s="2739"/>
      <c r="AU19" s="2739"/>
      <c r="AV19" s="2739"/>
      <c r="AW19" s="2739"/>
      <c r="AX19" s="2739"/>
      <c r="AY19" s="2739"/>
      <c r="AZ19" s="2739"/>
      <c r="BA19" s="2739"/>
      <c r="BB19" s="2739"/>
      <c r="BC19" s="2739"/>
      <c r="BD19" s="2739"/>
      <c r="BE19" s="2739"/>
      <c r="BF19" s="2739"/>
      <c r="BG19" s="3918"/>
      <c r="BH19" s="3918"/>
      <c r="BI19" s="2588"/>
      <c r="BJ19" s="2739"/>
      <c r="BK19" s="2616"/>
      <c r="BL19" s="3512"/>
      <c r="BM19" s="3512"/>
      <c r="BN19" s="3512"/>
      <c r="BO19" s="3512"/>
      <c r="BP19" s="2739"/>
      <c r="BQ19" s="433"/>
    </row>
    <row r="20" spans="1:69" s="3" customFormat="1" ht="50.25" customHeight="1" x14ac:dyDescent="0.2">
      <c r="A20" s="424"/>
      <c r="B20" s="425"/>
      <c r="C20" s="425"/>
      <c r="D20" s="424"/>
      <c r="E20" s="425"/>
      <c r="F20" s="425"/>
      <c r="G20" s="2626"/>
      <c r="H20" s="2626"/>
      <c r="I20" s="2698"/>
      <c r="J20" s="3546"/>
      <c r="K20" s="2727"/>
      <c r="L20" s="2582"/>
      <c r="M20" s="3921"/>
      <c r="N20" s="3922"/>
      <c r="O20" s="2698"/>
      <c r="P20" s="3924"/>
      <c r="Q20" s="3926"/>
      <c r="R20" s="3840"/>
      <c r="S20" s="3928"/>
      <c r="T20" s="1579" t="s">
        <v>1280</v>
      </c>
      <c r="U20" s="1575">
        <v>142973000</v>
      </c>
      <c r="V20" s="1570">
        <v>142973000</v>
      </c>
      <c r="W20" s="1580">
        <v>142973000</v>
      </c>
      <c r="X20" s="1009">
        <v>20</v>
      </c>
      <c r="Y20" s="1008" t="s">
        <v>85</v>
      </c>
      <c r="Z20" s="2739"/>
      <c r="AA20" s="2739"/>
      <c r="AB20" s="2739"/>
      <c r="AC20" s="2739"/>
      <c r="AD20" s="2739"/>
      <c r="AE20" s="2739"/>
      <c r="AF20" s="2739"/>
      <c r="AG20" s="2739"/>
      <c r="AH20" s="2739"/>
      <c r="AI20" s="2739"/>
      <c r="AJ20" s="2739"/>
      <c r="AK20" s="2739"/>
      <c r="AL20" s="2739"/>
      <c r="AM20" s="2739"/>
      <c r="AN20" s="2739"/>
      <c r="AO20" s="2739"/>
      <c r="AP20" s="2739"/>
      <c r="AQ20" s="2739"/>
      <c r="AR20" s="2739"/>
      <c r="AS20" s="2739"/>
      <c r="AT20" s="2739"/>
      <c r="AU20" s="2739"/>
      <c r="AV20" s="2739"/>
      <c r="AW20" s="2739"/>
      <c r="AX20" s="2739"/>
      <c r="AY20" s="2739"/>
      <c r="AZ20" s="2739"/>
      <c r="BA20" s="2739"/>
      <c r="BB20" s="2739"/>
      <c r="BC20" s="2739"/>
      <c r="BD20" s="2739"/>
      <c r="BE20" s="2739"/>
      <c r="BF20" s="2739"/>
      <c r="BG20" s="3918"/>
      <c r="BH20" s="3918"/>
      <c r="BI20" s="2588"/>
      <c r="BJ20" s="2739"/>
      <c r="BK20" s="2616"/>
      <c r="BL20" s="3512"/>
      <c r="BM20" s="3512"/>
      <c r="BN20" s="3512"/>
      <c r="BO20" s="3512"/>
      <c r="BP20" s="2739"/>
      <c r="BQ20" s="433"/>
    </row>
    <row r="21" spans="1:69" s="3" customFormat="1" ht="43.5" customHeight="1" x14ac:dyDescent="0.2">
      <c r="A21" s="424"/>
      <c r="B21" s="425"/>
      <c r="C21" s="425"/>
      <c r="D21" s="424"/>
      <c r="E21" s="425"/>
      <c r="F21" s="425"/>
      <c r="G21" s="2626"/>
      <c r="H21" s="2626"/>
      <c r="I21" s="2698"/>
      <c r="J21" s="3546"/>
      <c r="K21" s="2727"/>
      <c r="L21" s="2582"/>
      <c r="M21" s="3921"/>
      <c r="N21" s="3922"/>
      <c r="O21" s="2698"/>
      <c r="P21" s="3924"/>
      <c r="Q21" s="3926"/>
      <c r="R21" s="3840"/>
      <c r="S21" s="3928"/>
      <c r="T21" s="3915" t="s">
        <v>1281</v>
      </c>
      <c r="U21" s="1575">
        <f>94385500-23040714</f>
        <v>71344786</v>
      </c>
      <c r="V21" s="1570">
        <v>33995931</v>
      </c>
      <c r="W21" s="1570">
        <v>33995931</v>
      </c>
      <c r="X21" s="1009">
        <v>20</v>
      </c>
      <c r="Y21" s="1008" t="s">
        <v>85</v>
      </c>
      <c r="Z21" s="2739"/>
      <c r="AA21" s="2739"/>
      <c r="AB21" s="2739"/>
      <c r="AC21" s="2739"/>
      <c r="AD21" s="2739"/>
      <c r="AE21" s="2739"/>
      <c r="AF21" s="2739"/>
      <c r="AG21" s="2739"/>
      <c r="AH21" s="2739"/>
      <c r="AI21" s="2739"/>
      <c r="AJ21" s="2739"/>
      <c r="AK21" s="2739"/>
      <c r="AL21" s="2739"/>
      <c r="AM21" s="2739"/>
      <c r="AN21" s="2739"/>
      <c r="AO21" s="2739"/>
      <c r="AP21" s="2739"/>
      <c r="AQ21" s="2739"/>
      <c r="AR21" s="2739"/>
      <c r="AS21" s="2739"/>
      <c r="AT21" s="2739"/>
      <c r="AU21" s="2739"/>
      <c r="AV21" s="2739"/>
      <c r="AW21" s="2739"/>
      <c r="AX21" s="2739"/>
      <c r="AY21" s="2739"/>
      <c r="AZ21" s="2739"/>
      <c r="BA21" s="2739"/>
      <c r="BB21" s="2739"/>
      <c r="BC21" s="2739"/>
      <c r="BD21" s="2739"/>
      <c r="BE21" s="2739"/>
      <c r="BF21" s="2739"/>
      <c r="BG21" s="3918"/>
      <c r="BH21" s="3918"/>
      <c r="BI21" s="2588"/>
      <c r="BJ21" s="2739"/>
      <c r="BK21" s="2616"/>
      <c r="BL21" s="3512"/>
      <c r="BM21" s="3512"/>
      <c r="BN21" s="3512"/>
      <c r="BO21" s="3512"/>
      <c r="BP21" s="2739"/>
      <c r="BQ21" s="433"/>
    </row>
    <row r="22" spans="1:69" s="3" customFormat="1" ht="46.5" customHeight="1" x14ac:dyDescent="0.2">
      <c r="A22" s="424"/>
      <c r="B22" s="425"/>
      <c r="C22" s="425"/>
      <c r="D22" s="443"/>
      <c r="E22" s="444"/>
      <c r="F22" s="444"/>
      <c r="G22" s="2626"/>
      <c r="H22" s="2626"/>
      <c r="I22" s="2698"/>
      <c r="J22" s="3546"/>
      <c r="K22" s="2727"/>
      <c r="L22" s="2726"/>
      <c r="M22" s="3921"/>
      <c r="N22" s="3922"/>
      <c r="O22" s="2698"/>
      <c r="P22" s="3925"/>
      <c r="Q22" s="3926"/>
      <c r="R22" s="3842"/>
      <c r="S22" s="3929"/>
      <c r="T22" s="3915"/>
      <c r="U22" s="1581">
        <v>136462666</v>
      </c>
      <c r="V22" s="1570">
        <v>134595999</v>
      </c>
      <c r="W22" s="1570">
        <v>134595999</v>
      </c>
      <c r="X22" s="1578">
        <v>88</v>
      </c>
      <c r="Y22" s="1008" t="s">
        <v>411</v>
      </c>
      <c r="Z22" s="2740"/>
      <c r="AA22" s="2740"/>
      <c r="AB22" s="2740"/>
      <c r="AC22" s="2740"/>
      <c r="AD22" s="2740"/>
      <c r="AE22" s="2740"/>
      <c r="AF22" s="2740"/>
      <c r="AG22" s="2740"/>
      <c r="AH22" s="2740"/>
      <c r="AI22" s="2740"/>
      <c r="AJ22" s="2740"/>
      <c r="AK22" s="2740"/>
      <c r="AL22" s="2740"/>
      <c r="AM22" s="2740"/>
      <c r="AN22" s="2740"/>
      <c r="AO22" s="2740"/>
      <c r="AP22" s="2740"/>
      <c r="AQ22" s="2740"/>
      <c r="AR22" s="2740"/>
      <c r="AS22" s="2740"/>
      <c r="AT22" s="2740"/>
      <c r="AU22" s="2740"/>
      <c r="AV22" s="2740"/>
      <c r="AW22" s="2740"/>
      <c r="AX22" s="2740"/>
      <c r="AY22" s="2740"/>
      <c r="AZ22" s="2740"/>
      <c r="BA22" s="2740"/>
      <c r="BB22" s="2740"/>
      <c r="BC22" s="2740"/>
      <c r="BD22" s="2740"/>
      <c r="BE22" s="2740"/>
      <c r="BF22" s="2740"/>
      <c r="BG22" s="3919"/>
      <c r="BH22" s="3919"/>
      <c r="BI22" s="2744"/>
      <c r="BJ22" s="2740"/>
      <c r="BK22" s="2752"/>
      <c r="BL22" s="3914"/>
      <c r="BM22" s="3914"/>
      <c r="BN22" s="3914"/>
      <c r="BO22" s="3914"/>
      <c r="BP22" s="2740"/>
      <c r="BQ22" s="433"/>
    </row>
    <row r="23" spans="1:69" s="4" customFormat="1" ht="15.75" x14ac:dyDescent="0.2">
      <c r="A23" s="3635"/>
      <c r="B23" s="3916"/>
      <c r="C23" s="3637"/>
      <c r="D23" s="579">
        <v>42</v>
      </c>
      <c r="E23" s="1582" t="s">
        <v>63</v>
      </c>
      <c r="F23" s="581"/>
      <c r="G23" s="1583"/>
      <c r="H23" s="1583"/>
      <c r="I23" s="85"/>
      <c r="J23" s="1584"/>
      <c r="K23" s="1585"/>
      <c r="L23" s="1585"/>
      <c r="M23" s="2492"/>
      <c r="N23" s="1586"/>
      <c r="O23" s="85"/>
      <c r="P23" s="1587"/>
      <c r="Q23" s="1588"/>
      <c r="R23" s="583"/>
      <c r="S23" s="583"/>
      <c r="T23" s="583"/>
      <c r="U23" s="586"/>
      <c r="V23" s="1589"/>
      <c r="W23" s="1590"/>
      <c r="X23" s="587"/>
      <c r="Y23" s="82"/>
      <c r="Z23" s="1585"/>
      <c r="AA23" s="1585"/>
      <c r="AB23" s="1585"/>
      <c r="AC23" s="1585"/>
      <c r="AD23" s="1585"/>
      <c r="AE23" s="1585"/>
      <c r="AF23" s="1585"/>
      <c r="AG23" s="1585"/>
      <c r="AH23" s="1585"/>
      <c r="AI23" s="1585"/>
      <c r="AJ23" s="1585"/>
      <c r="AK23" s="1585"/>
      <c r="AL23" s="1585"/>
      <c r="AM23" s="1585"/>
      <c r="AN23" s="1585"/>
      <c r="AO23" s="1585"/>
      <c r="AP23" s="1585"/>
      <c r="AQ23" s="1585"/>
      <c r="AR23" s="1585"/>
      <c r="AS23" s="1585"/>
      <c r="AT23" s="1585"/>
      <c r="AU23" s="1585"/>
      <c r="AV23" s="1585"/>
      <c r="AW23" s="1585"/>
      <c r="AX23" s="1585"/>
      <c r="AY23" s="1585"/>
      <c r="AZ23" s="1585"/>
      <c r="BA23" s="1585"/>
      <c r="BB23" s="1585"/>
      <c r="BC23" s="1585"/>
      <c r="BD23" s="1585"/>
      <c r="BE23" s="1585"/>
      <c r="BF23" s="1585"/>
      <c r="BG23" s="1591"/>
      <c r="BH23" s="1591"/>
      <c r="BI23" s="1592"/>
      <c r="BJ23" s="1585"/>
      <c r="BK23" s="1593"/>
      <c r="BL23" s="1594"/>
      <c r="BM23" s="1594"/>
      <c r="BN23" s="1594"/>
      <c r="BO23" s="1594"/>
      <c r="BP23" s="82"/>
    </row>
    <row r="24" spans="1:69" s="4" customFormat="1" ht="120" x14ac:dyDescent="0.2">
      <c r="A24" s="262"/>
      <c r="B24" s="121"/>
      <c r="C24" s="121"/>
      <c r="D24" s="1244"/>
      <c r="E24" s="1595"/>
      <c r="F24" s="1596"/>
      <c r="G24" s="1003" t="s">
        <v>64</v>
      </c>
      <c r="H24" s="1003" t="s">
        <v>1282</v>
      </c>
      <c r="I24" s="1004" t="s">
        <v>1283</v>
      </c>
      <c r="J24" s="128" t="s">
        <v>1284</v>
      </c>
      <c r="K24" s="1017">
        <v>30</v>
      </c>
      <c r="L24" s="1017">
        <v>33</v>
      </c>
      <c r="M24" s="2493" t="s">
        <v>1285</v>
      </c>
      <c r="N24" s="1021" t="s">
        <v>1286</v>
      </c>
      <c r="O24" s="1004" t="s">
        <v>1287</v>
      </c>
      <c r="P24" s="1418">
        <f>+U24/Q24</f>
        <v>1</v>
      </c>
      <c r="Q24" s="1597">
        <v>60000000</v>
      </c>
      <c r="R24" s="1004" t="s">
        <v>1288</v>
      </c>
      <c r="S24" s="1004" t="s">
        <v>1289</v>
      </c>
      <c r="T24" s="1004" t="s">
        <v>1290</v>
      </c>
      <c r="U24" s="1598">
        <v>60000000</v>
      </c>
      <c r="V24" s="1599">
        <v>39216663</v>
      </c>
      <c r="W24" s="1600">
        <v>39216663</v>
      </c>
      <c r="X24" s="361">
        <v>20</v>
      </c>
      <c r="Y24" s="1008" t="s">
        <v>85</v>
      </c>
      <c r="Z24" s="126">
        <v>295972</v>
      </c>
      <c r="AA24" s="126"/>
      <c r="AB24" s="126">
        <v>285580</v>
      </c>
      <c r="AC24" s="126"/>
      <c r="AD24" s="126">
        <v>135545</v>
      </c>
      <c r="AE24" s="126"/>
      <c r="AF24" s="126">
        <v>44254</v>
      </c>
      <c r="AG24" s="126"/>
      <c r="AH24" s="126">
        <v>309146</v>
      </c>
      <c r="AI24" s="126"/>
      <c r="AJ24" s="126">
        <v>92607</v>
      </c>
      <c r="AK24" s="126"/>
      <c r="AL24" s="126">
        <v>2145</v>
      </c>
      <c r="AM24" s="126"/>
      <c r="AN24" s="126">
        <v>12718</v>
      </c>
      <c r="AO24" s="126"/>
      <c r="AP24" s="126">
        <v>26</v>
      </c>
      <c r="AQ24" s="126"/>
      <c r="AR24" s="126">
        <v>37</v>
      </c>
      <c r="AS24" s="126"/>
      <c r="AT24" s="126"/>
      <c r="AU24" s="126"/>
      <c r="AV24" s="126"/>
      <c r="AW24" s="126"/>
      <c r="AX24" s="126">
        <v>44350</v>
      </c>
      <c r="AY24" s="126"/>
      <c r="AZ24" s="126">
        <v>21944</v>
      </c>
      <c r="BA24" s="126"/>
      <c r="BB24" s="126">
        <v>75687</v>
      </c>
      <c r="BC24" s="126"/>
      <c r="BD24" s="126">
        <v>581552</v>
      </c>
      <c r="BE24" s="126"/>
      <c r="BF24" s="126">
        <v>8</v>
      </c>
      <c r="BG24" s="464">
        <f>+V24</f>
        <v>39216663</v>
      </c>
      <c r="BH24" s="1601">
        <f>+W24</f>
        <v>39216663</v>
      </c>
      <c r="BI24" s="1027">
        <f>+BH24/BG24</f>
        <v>1</v>
      </c>
      <c r="BJ24" s="1268" t="s">
        <v>85</v>
      </c>
      <c r="BK24" s="359" t="s">
        <v>1267</v>
      </c>
      <c r="BL24" s="1602">
        <v>44033</v>
      </c>
      <c r="BM24" s="1602">
        <v>43857</v>
      </c>
      <c r="BN24" s="1602">
        <v>44195</v>
      </c>
      <c r="BO24" s="1602">
        <v>44195</v>
      </c>
      <c r="BP24" s="1028" t="s">
        <v>1268</v>
      </c>
    </row>
    <row r="25" spans="1:69" s="4" customFormat="1" ht="41.25" customHeight="1" x14ac:dyDescent="0.2">
      <c r="A25" s="349"/>
      <c r="B25" s="263"/>
      <c r="C25" s="263"/>
      <c r="D25" s="971"/>
      <c r="E25" s="292"/>
      <c r="F25" s="972"/>
      <c r="G25" s="972"/>
      <c r="H25" s="972"/>
      <c r="I25" s="359"/>
      <c r="J25" s="971"/>
      <c r="K25" s="323"/>
      <c r="L25" s="323"/>
      <c r="M25" s="972"/>
      <c r="N25" s="1265"/>
      <c r="O25" s="359"/>
      <c r="P25" s="1603"/>
      <c r="Q25" s="470">
        <f>SUM(Q12:Q24)</f>
        <v>1101267429</v>
      </c>
      <c r="R25" s="359"/>
      <c r="S25" s="359"/>
      <c r="T25" s="359"/>
      <c r="U25" s="687">
        <f>SUM(U12:U24)</f>
        <v>1101267429</v>
      </c>
      <c r="V25" s="1604">
        <f>SUM(V12:V24)</f>
        <v>993737924.33000004</v>
      </c>
      <c r="W25" s="1604">
        <f>SUM(W12:W24)</f>
        <v>993737924.33000004</v>
      </c>
      <c r="X25" s="472"/>
      <c r="Y25" s="126"/>
      <c r="Z25" s="323"/>
      <c r="AA25" s="323"/>
      <c r="AB25" s="323"/>
      <c r="AC25" s="323"/>
      <c r="AD25" s="323"/>
      <c r="AE25" s="323"/>
      <c r="AF25" s="323"/>
      <c r="AG25" s="323"/>
      <c r="AH25" s="323"/>
      <c r="AI25" s="323"/>
      <c r="AJ25" s="323"/>
      <c r="AK25" s="323"/>
      <c r="AL25" s="323"/>
      <c r="AM25" s="323"/>
      <c r="AN25" s="323"/>
      <c r="AO25" s="323"/>
      <c r="AP25" s="323"/>
      <c r="AQ25" s="323"/>
      <c r="AR25" s="323"/>
      <c r="AS25" s="323"/>
      <c r="AT25" s="323"/>
      <c r="AU25" s="323"/>
      <c r="AV25" s="323"/>
      <c r="AW25" s="323"/>
      <c r="AX25" s="323"/>
      <c r="AY25" s="323"/>
      <c r="AZ25" s="323"/>
      <c r="BA25" s="323"/>
      <c r="BB25" s="323"/>
      <c r="BC25" s="323"/>
      <c r="BD25" s="323"/>
      <c r="BE25" s="323"/>
      <c r="BF25" s="323"/>
      <c r="BG25" s="473">
        <f>SUM(BG12:BG24)</f>
        <v>993737924.33000004</v>
      </c>
      <c r="BH25" s="473">
        <f>SUM(BH12:BH24)</f>
        <v>993737924.33000004</v>
      </c>
      <c r="BI25" s="1605">
        <f>BH25/BG25</f>
        <v>1</v>
      </c>
      <c r="BJ25" s="323"/>
      <c r="BK25" s="323"/>
      <c r="BL25" s="364"/>
      <c r="BM25" s="364"/>
      <c r="BN25" s="365"/>
      <c r="BO25" s="365"/>
      <c r="BP25" s="1004"/>
    </row>
    <row r="26" spans="1:69" ht="15" x14ac:dyDescent="0.2">
      <c r="A26" s="121"/>
      <c r="B26" s="4"/>
      <c r="C26" s="4"/>
      <c r="D26" s="4"/>
      <c r="E26" s="4"/>
      <c r="F26" s="4"/>
      <c r="G26" s="4"/>
      <c r="H26" s="4"/>
      <c r="I26" s="170"/>
      <c r="J26" s="3"/>
      <c r="K26" s="3"/>
      <c r="L26" s="3"/>
      <c r="M26" s="3"/>
      <c r="N26" s="172"/>
      <c r="O26" s="170"/>
      <c r="P26" s="173"/>
      <c r="Q26" s="1606"/>
      <c r="R26" s="170"/>
      <c r="S26" s="170"/>
      <c r="T26" s="170"/>
      <c r="U26" s="176"/>
      <c r="V26" s="176"/>
      <c r="W26" s="176"/>
      <c r="X26" s="177"/>
      <c r="Y26" s="18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859"/>
      <c r="BM26" s="859"/>
      <c r="BN26" s="181"/>
      <c r="BO26" s="181"/>
      <c r="BP26" s="182"/>
    </row>
    <row r="27" spans="1:69" ht="30" customHeight="1" x14ac:dyDescent="0.2">
      <c r="T27" s="489"/>
      <c r="V27" s="1607">
        <v>993737924.33000004</v>
      </c>
      <c r="W27" s="1607">
        <v>993737924.33000004</v>
      </c>
      <c r="BG27" s="1607">
        <v>993737924.33000004</v>
      </c>
      <c r="BH27" s="1607">
        <v>993737924.33000004</v>
      </c>
    </row>
    <row r="28" spans="1:69" ht="18" x14ac:dyDescent="0.25">
      <c r="A28" s="1608"/>
      <c r="T28" s="1609"/>
      <c r="U28" s="1610"/>
      <c r="V28" s="1611"/>
      <c r="W28" s="1611"/>
      <c r="X28" s="1612"/>
      <c r="Y28" s="1613"/>
    </row>
    <row r="29" spans="1:69" ht="15" x14ac:dyDescent="0.2">
      <c r="T29" s="1609"/>
      <c r="U29" s="1610"/>
      <c r="V29" s="1614"/>
      <c r="W29" s="1611"/>
      <c r="X29" s="1612"/>
      <c r="Y29" s="1613"/>
    </row>
    <row r="30" spans="1:69" ht="15" x14ac:dyDescent="0.2">
      <c r="B30" s="492"/>
      <c r="C30" s="492"/>
      <c r="D30" s="492"/>
      <c r="E30" s="492"/>
      <c r="F30" s="492"/>
      <c r="G30" s="492"/>
      <c r="T30" s="1609"/>
      <c r="U30" s="1610"/>
      <c r="V30" s="1614"/>
      <c r="W30" s="1611"/>
      <c r="X30" s="1612"/>
      <c r="Y30" s="1613"/>
    </row>
    <row r="31" spans="1:69" ht="15.75" x14ac:dyDescent="0.25">
      <c r="B31" s="2650" t="s">
        <v>1291</v>
      </c>
      <c r="C31" s="2650"/>
      <c r="D31" s="2650"/>
      <c r="E31" s="2650"/>
      <c r="F31" s="2650"/>
      <c r="T31" s="1609"/>
      <c r="U31" s="1610"/>
      <c r="V31" s="1614"/>
      <c r="W31" s="1611"/>
      <c r="X31" s="1612"/>
      <c r="Y31" s="1613"/>
    </row>
    <row r="32" spans="1:69" ht="15.75" x14ac:dyDescent="0.25">
      <c r="B32" s="2650" t="s">
        <v>1292</v>
      </c>
      <c r="C32" s="2650"/>
      <c r="D32" s="2650"/>
      <c r="E32" s="2650"/>
      <c r="F32" s="2650"/>
      <c r="T32" s="1609"/>
      <c r="U32" s="1610"/>
      <c r="V32" s="1614"/>
      <c r="W32" s="1611"/>
      <c r="X32" s="1612"/>
      <c r="Y32" s="1613"/>
    </row>
    <row r="33" spans="2:25" ht="15" x14ac:dyDescent="0.2">
      <c r="B33" s="191"/>
      <c r="C33" s="479"/>
      <c r="D33" s="478"/>
      <c r="E33" s="481"/>
      <c r="F33" s="482"/>
      <c r="T33" s="1609"/>
      <c r="U33" s="1610"/>
      <c r="V33" s="1614"/>
      <c r="W33" s="1611"/>
      <c r="X33" s="1612"/>
      <c r="Y33" s="1613"/>
    </row>
    <row r="34" spans="2:25" ht="37.5" customHeight="1" x14ac:dyDescent="0.2">
      <c r="T34" s="1609"/>
      <c r="U34" s="1610"/>
      <c r="V34" s="1615"/>
      <c r="W34" s="1611"/>
      <c r="X34" s="1612"/>
      <c r="Y34" s="1613"/>
    </row>
    <row r="35" spans="2:25" ht="15.75" x14ac:dyDescent="0.2">
      <c r="T35" s="1609"/>
      <c r="U35" s="495"/>
      <c r="V35" s="495"/>
      <c r="W35" s="495"/>
      <c r="X35" s="1612"/>
      <c r="Y35" s="1613"/>
    </row>
  </sheetData>
  <sheetProtection password="A60F" sheet="1" objects="1" scenarios="1"/>
  <mergeCells count="176">
    <mergeCell ref="A1:BN4"/>
    <mergeCell ref="A5:K6"/>
    <mergeCell ref="M5:BP5"/>
    <mergeCell ref="Z6:BB6"/>
    <mergeCell ref="A7:A9"/>
    <mergeCell ref="B7:C9"/>
    <mergeCell ref="D7:D9"/>
    <mergeCell ref="E7:F9"/>
    <mergeCell ref="G7:G9"/>
    <mergeCell ref="H7:H9"/>
    <mergeCell ref="P7:P9"/>
    <mergeCell ref="Q7:Q9"/>
    <mergeCell ref="R7:R9"/>
    <mergeCell ref="S7:S9"/>
    <mergeCell ref="T7:T9"/>
    <mergeCell ref="U7:W8"/>
    <mergeCell ref="I7:I9"/>
    <mergeCell ref="J7:J9"/>
    <mergeCell ref="K7:L8"/>
    <mergeCell ref="M7:M9"/>
    <mergeCell ref="N7:N9"/>
    <mergeCell ref="O7:O9"/>
    <mergeCell ref="BP7:BP9"/>
    <mergeCell ref="BG8:BG9"/>
    <mergeCell ref="BH8:BH9"/>
    <mergeCell ref="BI8:BI9"/>
    <mergeCell ref="BJ8:BJ9"/>
    <mergeCell ref="X7:X9"/>
    <mergeCell ref="Y7:Y9"/>
    <mergeCell ref="Z7:AB7"/>
    <mergeCell ref="AD7:AI7"/>
    <mergeCell ref="AJ7:AK7"/>
    <mergeCell ref="AL7:AW7"/>
    <mergeCell ref="Z8:AA8"/>
    <mergeCell ref="AB8:AC8"/>
    <mergeCell ref="AD8:AE8"/>
    <mergeCell ref="AF8:AG8"/>
    <mergeCell ref="AL8:AM8"/>
    <mergeCell ref="AN8:AO8"/>
    <mergeCell ref="AP8:AQ8"/>
    <mergeCell ref="AR8:AS8"/>
    <mergeCell ref="AX7:BC7"/>
    <mergeCell ref="BD7:BE8"/>
    <mergeCell ref="BF7:BK7"/>
    <mergeCell ref="BL7:BM8"/>
    <mergeCell ref="BN7:BO8"/>
    <mergeCell ref="N12:N17"/>
    <mergeCell ref="O12:O17"/>
    <mergeCell ref="P12:P17"/>
    <mergeCell ref="Q12:Q17"/>
    <mergeCell ref="R12:R17"/>
    <mergeCell ref="S12:S17"/>
    <mergeCell ref="BK8:BK9"/>
    <mergeCell ref="AT8:AU8"/>
    <mergeCell ref="AV8:AW8"/>
    <mergeCell ref="AX8:AY8"/>
    <mergeCell ref="AZ8:BA8"/>
    <mergeCell ref="BB8:BC8"/>
    <mergeCell ref="BF8:BF9"/>
    <mergeCell ref="AH8:AI8"/>
    <mergeCell ref="AJ8:AK8"/>
    <mergeCell ref="AG12:AG17"/>
    <mergeCell ref="AH12:AH17"/>
    <mergeCell ref="AI12:AI17"/>
    <mergeCell ref="AJ12:AJ17"/>
    <mergeCell ref="T12:T14"/>
    <mergeCell ref="Z12:Z17"/>
    <mergeCell ref="AA12:AA17"/>
    <mergeCell ref="A11:C11"/>
    <mergeCell ref="E11:P11"/>
    <mergeCell ref="G12:G17"/>
    <mergeCell ref="H12:H17"/>
    <mergeCell ref="I12:I17"/>
    <mergeCell ref="J12:J17"/>
    <mergeCell ref="K12:K17"/>
    <mergeCell ref="L12:L17"/>
    <mergeCell ref="M12:M17"/>
    <mergeCell ref="AB12:AB17"/>
    <mergeCell ref="AC12:AC17"/>
    <mergeCell ref="AD12:AD17"/>
    <mergeCell ref="G18:G22"/>
    <mergeCell ref="H18:H22"/>
    <mergeCell ref="I18:I22"/>
    <mergeCell ref="J18:J22"/>
    <mergeCell ref="K18:K22"/>
    <mergeCell ref="L18:L22"/>
    <mergeCell ref="M18:M22"/>
    <mergeCell ref="N18:N22"/>
    <mergeCell ref="O18:O22"/>
    <mergeCell ref="P18:P22"/>
    <mergeCell ref="Q18:Q22"/>
    <mergeCell ref="R18:R22"/>
    <mergeCell ref="S18:S22"/>
    <mergeCell ref="BD12:BD17"/>
    <mergeCell ref="BE12:BE17"/>
    <mergeCell ref="BF12:BF17"/>
    <mergeCell ref="BG12:BG17"/>
    <mergeCell ref="BH12:BH17"/>
    <mergeCell ref="AW12:AW17"/>
    <mergeCell ref="AX12:AX17"/>
    <mergeCell ref="AY12:AY17"/>
    <mergeCell ref="AZ12:AZ17"/>
    <mergeCell ref="BA12:BA17"/>
    <mergeCell ref="BB12:BB17"/>
    <mergeCell ref="AH18:AH22"/>
    <mergeCell ref="AI18:AI22"/>
    <mergeCell ref="AJ18:AJ22"/>
    <mergeCell ref="T18:T19"/>
    <mergeCell ref="Z18:Z22"/>
    <mergeCell ref="AA18:AA22"/>
    <mergeCell ref="AB18:AB22"/>
    <mergeCell ref="AC18:AC22"/>
    <mergeCell ref="AD18:AD22"/>
    <mergeCell ref="AE18:AE22"/>
    <mergeCell ref="AF18:AF22"/>
    <mergeCell ref="AG18:AG22"/>
    <mergeCell ref="BO12:BO17"/>
    <mergeCell ref="BP12:BP17"/>
    <mergeCell ref="T15:T17"/>
    <mergeCell ref="BK12:BK17"/>
    <mergeCell ref="BL12:BL17"/>
    <mergeCell ref="BM12:BM17"/>
    <mergeCell ref="BN12:BN17"/>
    <mergeCell ref="AT12:AT17"/>
    <mergeCell ref="AU12:AU17"/>
    <mergeCell ref="AV12:AV17"/>
    <mergeCell ref="AK12:AK17"/>
    <mergeCell ref="AL12:AL17"/>
    <mergeCell ref="AM12:AM17"/>
    <mergeCell ref="AN12:AN17"/>
    <mergeCell ref="AO12:AO17"/>
    <mergeCell ref="AP12:AP17"/>
    <mergeCell ref="AE12:AE17"/>
    <mergeCell ref="AF12:AF17"/>
    <mergeCell ref="AQ12:AQ17"/>
    <mergeCell ref="AR12:AR17"/>
    <mergeCell ref="AS12:AS17"/>
    <mergeCell ref="BI12:BI17"/>
    <mergeCell ref="BJ12:BJ17"/>
    <mergeCell ref="BC12:BC17"/>
    <mergeCell ref="AT18:AT22"/>
    <mergeCell ref="AU18:AU22"/>
    <mergeCell ref="AV18:AV22"/>
    <mergeCell ref="AK18:AK22"/>
    <mergeCell ref="AL18:AL22"/>
    <mergeCell ref="AM18:AM22"/>
    <mergeCell ref="AN18:AN22"/>
    <mergeCell ref="AO18:AO22"/>
    <mergeCell ref="AP18:AP22"/>
    <mergeCell ref="AQ18:AQ22"/>
    <mergeCell ref="AR18:AR22"/>
    <mergeCell ref="AS18:AS22"/>
    <mergeCell ref="BO18:BO22"/>
    <mergeCell ref="BP18:BP22"/>
    <mergeCell ref="T21:T22"/>
    <mergeCell ref="A23:C23"/>
    <mergeCell ref="B31:F31"/>
    <mergeCell ref="B32:F32"/>
    <mergeCell ref="BI18:BI22"/>
    <mergeCell ref="BJ18:BJ22"/>
    <mergeCell ref="BK18:BK22"/>
    <mergeCell ref="BL18:BL22"/>
    <mergeCell ref="BM18:BM22"/>
    <mergeCell ref="BN18:BN22"/>
    <mergeCell ref="BC18:BC22"/>
    <mergeCell ref="BD18:BD22"/>
    <mergeCell ref="BE18:BE22"/>
    <mergeCell ref="BF18:BF22"/>
    <mergeCell ref="BG18:BG22"/>
    <mergeCell ref="BH18:BH22"/>
    <mergeCell ref="AW18:AW22"/>
    <mergeCell ref="AX18:AX22"/>
    <mergeCell ref="AY18:AY22"/>
    <mergeCell ref="AZ18:AZ22"/>
    <mergeCell ref="BA18:BA22"/>
    <mergeCell ref="BB18:BB2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vt:i4>
      </vt:variant>
    </vt:vector>
  </HeadingPairs>
  <TitlesOfParts>
    <vt:vector size="17" baseType="lpstr">
      <vt:lpstr>F-PLA 07 SGTO PA ADMINISTRATIVA</vt:lpstr>
      <vt:lpstr>F-PLA-07 SGTO PA PLANEACION</vt:lpstr>
      <vt:lpstr>F-PLA 07 SGTO PA HACIENDA</vt:lpstr>
      <vt:lpstr>F-PLA 07 SGTO PA INFRA</vt:lpstr>
      <vt:lpstr>F-PLA 07 SGTO PA INTERIOR</vt:lpstr>
      <vt:lpstr>F-PLA 07 SGTO PA CULTURA</vt:lpstr>
      <vt:lpstr>F-PLA 07 SGTO PA TURISMO</vt:lpstr>
      <vt:lpstr>F-PLA-07 SGTO PA AGRICULTURA</vt:lpstr>
      <vt:lpstr>F-PLA-07 PA PRIVADA</vt:lpstr>
      <vt:lpstr>P.A F PLA- 07 SGTO PA EDUCACION</vt:lpstr>
      <vt:lpstr>F-PLA-07 SGTO PA FAMILIA</vt:lpstr>
      <vt:lpstr>F-PLA 07 SGTO PA TIC </vt:lpstr>
      <vt:lpstr>F-PLA-07 SGTO PA INDEPORTES</vt:lpstr>
      <vt:lpstr>F-PLA-07 SGTO PA PROMOTORA</vt:lpstr>
      <vt:lpstr>F-PLA 07 SGTO PA IDTQ</vt:lpstr>
      <vt:lpstr>'F-PLA-07 SGTO PA PLANEACION'!Área_de_impresión</vt:lpstr>
      <vt:lpstr>'F-PLA-07 SGTO PA PLANEACION'!Títulos_a_imprimir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2021-01-21T16:05:20Z</dcterms:created>
  <dcterms:modified xsi:type="dcterms:W3CDTF">2021-02-12T14:45:35Z</dcterms:modified>
</cp:coreProperties>
</file>